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worksheets/sheet162.xml" ContentType="application/vnd.openxmlformats-officedocument.spreadsheetml.worksheet+xml"/>
  <Override PartName="/xl/worksheets/sheet163.xml" ContentType="application/vnd.openxmlformats-officedocument.spreadsheetml.worksheet+xml"/>
  <Override PartName="/xl/worksheets/sheet164.xml" ContentType="application/vnd.openxmlformats-officedocument.spreadsheetml.worksheet+xml"/>
  <Override PartName="/xl/worksheets/sheet165.xml" ContentType="application/vnd.openxmlformats-officedocument.spreadsheetml.worksheet+xml"/>
  <Override PartName="/xl/worksheets/sheet166.xml" ContentType="application/vnd.openxmlformats-officedocument.spreadsheetml.worksheet+xml"/>
  <Override PartName="/xl/worksheets/sheet167.xml" ContentType="application/vnd.openxmlformats-officedocument.spreadsheetml.worksheet+xml"/>
  <Override PartName="/xl/worksheets/sheet168.xml" ContentType="application/vnd.openxmlformats-officedocument.spreadsheetml.worksheet+xml"/>
  <Override PartName="/xl/worksheets/sheet169.xml" ContentType="application/vnd.openxmlformats-officedocument.spreadsheetml.worksheet+xml"/>
  <Override PartName="/xl/worksheets/sheet170.xml" ContentType="application/vnd.openxmlformats-officedocument.spreadsheetml.worksheet+xml"/>
  <Override PartName="/xl/worksheets/sheet171.xml" ContentType="application/vnd.openxmlformats-officedocument.spreadsheetml.worksheet+xml"/>
  <Override PartName="/xl/worksheets/sheet172.xml" ContentType="application/vnd.openxmlformats-officedocument.spreadsheetml.worksheet+xml"/>
  <Override PartName="/xl/worksheets/sheet173.xml" ContentType="application/vnd.openxmlformats-officedocument.spreadsheetml.worksheet+xml"/>
  <Override PartName="/xl/worksheets/sheet174.xml" ContentType="application/vnd.openxmlformats-officedocument.spreadsheetml.worksheet+xml"/>
  <Override PartName="/xl/worksheets/sheet175.xml" ContentType="application/vnd.openxmlformats-officedocument.spreadsheetml.worksheet+xml"/>
  <Override PartName="/xl/worksheets/sheet176.xml" ContentType="application/vnd.openxmlformats-officedocument.spreadsheetml.worksheet+xml"/>
  <Override PartName="/xl/worksheets/sheet177.xml" ContentType="application/vnd.openxmlformats-officedocument.spreadsheetml.worksheet+xml"/>
  <Override PartName="/xl/worksheets/sheet178.xml" ContentType="application/vnd.openxmlformats-officedocument.spreadsheetml.worksheet+xml"/>
  <Override PartName="/xl/worksheets/sheet179.xml" ContentType="application/vnd.openxmlformats-officedocument.spreadsheetml.worksheet+xml"/>
  <Override PartName="/xl/worksheets/sheet180.xml" ContentType="application/vnd.openxmlformats-officedocument.spreadsheetml.worksheet+xml"/>
  <Override PartName="/xl/worksheets/sheet181.xml" ContentType="application/vnd.openxmlformats-officedocument.spreadsheetml.worksheet+xml"/>
  <Override PartName="/xl/worksheets/sheet182.xml" ContentType="application/vnd.openxmlformats-officedocument.spreadsheetml.worksheet+xml"/>
  <Override PartName="/xl/worksheets/sheet183.xml" ContentType="application/vnd.openxmlformats-officedocument.spreadsheetml.worksheet+xml"/>
  <Override PartName="/xl/worksheets/sheet184.xml" ContentType="application/vnd.openxmlformats-officedocument.spreadsheetml.worksheet+xml"/>
  <Override PartName="/xl/worksheets/sheet185.xml" ContentType="application/vnd.openxmlformats-officedocument.spreadsheetml.worksheet+xml"/>
  <Override PartName="/xl/worksheets/sheet186.xml" ContentType="application/vnd.openxmlformats-officedocument.spreadsheetml.worksheet+xml"/>
  <Override PartName="/xl/worksheets/sheet187.xml" ContentType="application/vnd.openxmlformats-officedocument.spreadsheetml.worksheet+xml"/>
  <Override PartName="/xl/worksheets/sheet188.xml" ContentType="application/vnd.openxmlformats-officedocument.spreadsheetml.worksheet+xml"/>
  <Override PartName="/xl/worksheets/sheet189.xml" ContentType="application/vnd.openxmlformats-officedocument.spreadsheetml.worksheet+xml"/>
  <Override PartName="/xl/worksheets/sheet190.xml" ContentType="application/vnd.openxmlformats-officedocument.spreadsheetml.worksheet+xml"/>
  <Override PartName="/xl/worksheets/sheet191.xml" ContentType="application/vnd.openxmlformats-officedocument.spreadsheetml.worksheet+xml"/>
  <Override PartName="/xl/worksheets/sheet19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2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F:\Webservices\LMS\API_Automation\Data_Sheet\"/>
    </mc:Choice>
  </mc:AlternateContent>
  <xr:revisionPtr revIDLastSave="0" documentId="13_ncr:1_{0C1BAF7D-98DF-4B59-85AD-94B0973C1F9A}" xr6:coauthVersionLast="45" xr6:coauthVersionMax="45" xr10:uidLastSave="{00000000-0000-0000-0000-000000000000}"/>
  <bookViews>
    <workbookView xWindow="-120" yWindow="-120" windowWidth="20730" windowHeight="11310" tabRatio="952" firstSheet="178" activeTab="178" xr2:uid="{314ED050-BA0D-4725-97E7-D82C1D02C557}"/>
  </bookViews>
  <sheets>
    <sheet name="ReSchedule_MonthlyTC1" sheetId="2" r:id="rId1"/>
    <sheet name="ReSchedule_MonthlyTC1_1" sheetId="3" r:id="rId2"/>
    <sheet name="ReSchedule_MonthlyTC1_2" sheetId="4" r:id="rId3"/>
    <sheet name="ReSchedule_MonthlyTC2" sheetId="5" r:id="rId4"/>
    <sheet name="ReSchedule_MonthlyTC2_1" sheetId="6" r:id="rId5"/>
    <sheet name="ReSchedule_MonthlyTC2_2" sheetId="7" r:id="rId6"/>
    <sheet name="ReSchedule_MonthlyTC3" sheetId="8" r:id="rId7"/>
    <sheet name="ReSchedule_MonthlyTC3_1" sheetId="9" r:id="rId8"/>
    <sheet name="ReSchedule_MonthlyTC3_2" sheetId="10" r:id="rId9"/>
    <sheet name="ReSchedule_MonthlyTC4" sheetId="11" r:id="rId10"/>
    <sheet name="ReSchedule_MonthlyTC4_1" sheetId="14" r:id="rId11"/>
    <sheet name="ReSchedule_MonthlyTC4_2" sheetId="13" r:id="rId12"/>
    <sheet name="ReSchedule_MonthlyTC4_3" sheetId="15" r:id="rId13"/>
    <sheet name="ReSchedule_MonthlyTC4_4" sheetId="16" r:id="rId14"/>
    <sheet name="ReSchedule_MonthlyTC5" sheetId="17" r:id="rId15"/>
    <sheet name="ReSchedule_MonthlyTC5_1" sheetId="18" r:id="rId16"/>
    <sheet name="ReSchedule_MonthlyTC5_2" sheetId="19" r:id="rId17"/>
    <sheet name="ReSchedule_MonthlyTC6" sheetId="20" r:id="rId18"/>
    <sheet name="ReSchedule_MonthlyTC6_1" sheetId="21" r:id="rId19"/>
    <sheet name="ReSchedule_MonthlyTC6_2" sheetId="23" r:id="rId20"/>
    <sheet name="ReSchedule_MonthlyTC7" sheetId="24" r:id="rId21"/>
    <sheet name="ReSchedule_MonthlyTC7_1" sheetId="25" r:id="rId22"/>
    <sheet name="ReSchedule_MonthlyTC7_2" sheetId="26" r:id="rId23"/>
    <sheet name="ReSchedule_MonthlyTC8" sheetId="27" r:id="rId24"/>
    <sheet name="ReSchedule_MonthlyTC8_1" sheetId="28" r:id="rId25"/>
    <sheet name="ReSchedule_MonthlyTC8_2" sheetId="29" r:id="rId26"/>
    <sheet name="ReSchedule_MonthlyTC9" sheetId="30" r:id="rId27"/>
    <sheet name="ReSchedule_MonthlyTC9_1" sheetId="31" r:id="rId28"/>
    <sheet name="ReSchedule_MonthlyTC9_2" sheetId="40" r:id="rId29"/>
    <sheet name="ReSchedule_MonthlyTC9_3" sheetId="32" r:id="rId30"/>
    <sheet name="ReSchedule_MonthlyTC9_4" sheetId="39" r:id="rId31"/>
    <sheet name="ReSchedule_MonthlyTC10" sheetId="33" r:id="rId32"/>
    <sheet name="ReSchedule_MonthlyTC10_1" sheetId="34" r:id="rId33"/>
    <sheet name="ReSchedule_MonthlyTC10_2" sheetId="35" r:id="rId34"/>
    <sheet name="ReSchedule_MonthlyTC10_3" sheetId="37" r:id="rId35"/>
    <sheet name="ReSchedule_MonthlyTC10_4" sheetId="38" r:id="rId36"/>
    <sheet name="ReSchedule_MonthlyTC11" sheetId="41" r:id="rId37"/>
    <sheet name="ReSchedule_MonthlyTC11_1" sheetId="43" r:id="rId38"/>
    <sheet name="ReSchedule_MonthlyTC11_2" sheetId="44" r:id="rId39"/>
    <sheet name="ReSchedule_MonthlyTC11_3" sheetId="45" r:id="rId40"/>
    <sheet name="ReSchedule_MonthlyTC11_4" sheetId="46" r:id="rId41"/>
    <sheet name="ReSchedule_MonthlyTC12" sheetId="47" r:id="rId42"/>
    <sheet name="ReSchedule_MonthlyTC12_1" sheetId="48" r:id="rId43"/>
    <sheet name="ReSchedule_MonthlyTC12_2" sheetId="49" r:id="rId44"/>
    <sheet name="ReSchedule_MonthlyTC13" sheetId="50" r:id="rId45"/>
    <sheet name="ReSchedule_MonthlyTC13_1" sheetId="51" r:id="rId46"/>
    <sheet name="ReSchedule_MonthlyTC13_2" sheetId="52" r:id="rId47"/>
    <sheet name="ReSchedule_MonthlyTC14" sheetId="53" r:id="rId48"/>
    <sheet name="ReSchedule_MonthlyTC14_1" sheetId="54" r:id="rId49"/>
    <sheet name="ReSchedule_MonthlyTC14_2" sheetId="58" r:id="rId50"/>
    <sheet name="ReSchedule_MonthlyTC14_3" sheetId="56" r:id="rId51"/>
    <sheet name="ReSchedule_MonthlyTC14_4" sheetId="57" r:id="rId52"/>
    <sheet name="ReSchedule_MonthlyTC15" sheetId="59" r:id="rId53"/>
    <sheet name="ReSchedule_MonthlyTC15_1" sheetId="60" r:id="rId54"/>
    <sheet name="ReSchedule_MonthlyTC15_2" sheetId="62" r:id="rId55"/>
    <sheet name="ReSchedule_MonthlyTC16" sheetId="63" r:id="rId56"/>
    <sheet name="ReSchedule_MonthlyTC16_1" sheetId="64" r:id="rId57"/>
    <sheet name="ReSchedule_MonthlyTC16_2" sheetId="65" r:id="rId58"/>
    <sheet name="ReSchedule_MonthlyTC17" sheetId="66" r:id="rId59"/>
    <sheet name="ReSchedule_MonthlyTC17_1" sheetId="68" r:id="rId60"/>
    <sheet name="ReSchedule_MonthlyTC17_2" sheetId="69" r:id="rId61"/>
    <sheet name="ReSchedule_MonthlyTC18" sheetId="70" r:id="rId62"/>
    <sheet name="ReSchedule_MonthlyTC18_1" sheetId="71" r:id="rId63"/>
    <sheet name="ReSchedule_MonthlyTC18_2" sheetId="72" r:id="rId64"/>
    <sheet name="ReSchedule_MonthlyTC19" sheetId="73" r:id="rId65"/>
    <sheet name="ReSchedule_MonthlyTC19_1" sheetId="74" r:id="rId66"/>
    <sheet name="ReSchedule_MonthlyTC19_2" sheetId="75" r:id="rId67"/>
    <sheet name="ReSchedule_MonthlyTC20" sheetId="76" r:id="rId68"/>
    <sheet name="ReSchedule_MonthlyTC20_1" sheetId="77" r:id="rId69"/>
    <sheet name="ReSchedule_MonthlyTC20_2" sheetId="78" r:id="rId70"/>
    <sheet name="ReSchedule_MonthlyTC21" sheetId="79" r:id="rId71"/>
    <sheet name="ReSchedule_MonthlyTC21_1" sheetId="80" r:id="rId72"/>
    <sheet name="ReSchedule_MonthlyTC21_2" sheetId="81" r:id="rId73"/>
    <sheet name="ReSchedule_MonthlyTC22" sheetId="82" r:id="rId74"/>
    <sheet name="ReSchedule_MonthlyTC22_1" sheetId="83" r:id="rId75"/>
    <sheet name="ReSchedule_MonthlyTC22_2" sheetId="84" r:id="rId76"/>
    <sheet name="ReSchedule_MonthlyTC23" sheetId="87" r:id="rId77"/>
    <sheet name="ReSchedule_MonthlyTC23_1" sheetId="88" r:id="rId78"/>
    <sheet name="ReSchedule_MonthlyTC23_2" sheetId="89" r:id="rId79"/>
    <sheet name="ReSchedule_MonthlyTC24" sheetId="90" r:id="rId80"/>
    <sheet name="ReSchedule_MonthlyTC24_1" sheetId="91" r:id="rId81"/>
    <sheet name="ReSchedule_MonthlyTC24_2" sheetId="92" r:id="rId82"/>
    <sheet name="ReSchedule_MonthlyTC25" sheetId="93" r:id="rId83"/>
    <sheet name="ReSchedule_MonthlyTC25_1" sheetId="94" r:id="rId84"/>
    <sheet name="ReSchedule_MonthlyTC25_2" sheetId="95" r:id="rId85"/>
    <sheet name="ReSchedule_MonthlyTC26" sheetId="96" r:id="rId86"/>
    <sheet name="ReSchedule_MonthlyTC26_1" sheetId="97" r:id="rId87"/>
    <sheet name="ReSchedule_MonthlyTC26_2" sheetId="98" r:id="rId88"/>
    <sheet name="ReSchedule_MonthlyTC27" sheetId="99" r:id="rId89"/>
    <sheet name="ReSchedule_MonthlyTC27_1" sheetId="101" r:id="rId90"/>
    <sheet name="ReSchedule_MonthlyTC27_2" sheetId="102" r:id="rId91"/>
    <sheet name="ReSchedule_DailyTC28" sheetId="103" r:id="rId92"/>
    <sheet name="ReSchedule_DailyTC28_1" sheetId="104" r:id="rId93"/>
    <sheet name="ReSchedule_DailyTC29" sheetId="106" r:id="rId94"/>
    <sheet name="ReSchedule_DailyTC29_1" sheetId="107" r:id="rId95"/>
    <sheet name="ReSchedule_DailyTC30" sheetId="108" r:id="rId96"/>
    <sheet name="ReSchedule_DailyTC30_1" sheetId="109" r:id="rId97"/>
    <sheet name="ReSchedule_DailyTC31" sheetId="110" r:id="rId98"/>
    <sheet name="ReSchedule_DailyTC31_1" sheetId="111" r:id="rId99"/>
    <sheet name="ReSchedule_DailyTC32" sheetId="112" r:id="rId100"/>
    <sheet name="ReSchedule_DailyTC32_1" sheetId="113" r:id="rId101"/>
    <sheet name="ReSchedule_DailyTC33" sheetId="114" r:id="rId102"/>
    <sheet name="ReSchedule_DailyTC33_1" sheetId="115" r:id="rId103"/>
    <sheet name="ReSchedule_DailyTC34" sheetId="116" r:id="rId104"/>
    <sheet name="ReSchedule_DailyTC34_1" sheetId="117" r:id="rId105"/>
    <sheet name="ReSchedule_MonthlyTC35" sheetId="121" r:id="rId106"/>
    <sheet name="ReSchedule_MonthlyTC35_1" sheetId="122" r:id="rId107"/>
    <sheet name="ReSchedule_MonthlyTC35_2" sheetId="123" r:id="rId108"/>
    <sheet name="ReSchedule_MonthlyTC36" sheetId="124" r:id="rId109"/>
    <sheet name="ReSchedule_MonthlyTC36_1" sheetId="125" r:id="rId110"/>
    <sheet name="ReSchedule_MonthlyTC36_2" sheetId="126" r:id="rId111"/>
    <sheet name="ReSchedule_MonthlyTC37" sheetId="127" r:id="rId112"/>
    <sheet name="ReSchedule_MonthlyTC37_1" sheetId="128" r:id="rId113"/>
    <sheet name="ReSchedule_MonthlyTC37_2" sheetId="129" r:id="rId114"/>
    <sheet name="ReSchedule_MonthlyTC38" sheetId="130" r:id="rId115"/>
    <sheet name="ReSchedule_MonthlyTC38_1" sheetId="131" r:id="rId116"/>
    <sheet name="ReSchedule_MonthlyTC38_2" sheetId="132" r:id="rId117"/>
    <sheet name="ReSchedule_MonthlyTC39" sheetId="133" r:id="rId118"/>
    <sheet name="ReSchedule_MonthlyTC39_1" sheetId="134" r:id="rId119"/>
    <sheet name="ReSchedule_MonthlyTC39_2" sheetId="135" r:id="rId120"/>
    <sheet name="ReSchedule_MonthlyTC40" sheetId="136" r:id="rId121"/>
    <sheet name="ReSchedule_MonthlyTC40_1" sheetId="137" r:id="rId122"/>
    <sheet name="ReSchedule_MonthlyTC40_2" sheetId="138" r:id="rId123"/>
    <sheet name="ReSchedule_MonthlyTC41" sheetId="139" r:id="rId124"/>
    <sheet name="ReSchedule_MonthlyTC41_1" sheetId="140" r:id="rId125"/>
    <sheet name="ReSchedule_MonthlyTC41_2" sheetId="141" r:id="rId126"/>
    <sheet name="ReSchedule_MonthlyTC42" sheetId="142" r:id="rId127"/>
    <sheet name="ReSchedule_MonthlyTC42_1" sheetId="143" r:id="rId128"/>
    <sheet name="ReSchedule_MonthlyTC42_2" sheetId="144" r:id="rId129"/>
    <sheet name="ReSchedule_WeeklyTC1" sheetId="145" r:id="rId130"/>
    <sheet name="ReSchedule_WeeklyTC1_1" sheetId="146" r:id="rId131"/>
    <sheet name="ReSchedule_WeeklyTC1_2" sheetId="147" r:id="rId132"/>
    <sheet name="ReSchedule_WeeklyTC1_3" sheetId="148" r:id="rId133"/>
    <sheet name="ReSchedule_WeeklyTC1_4" sheetId="149" r:id="rId134"/>
    <sheet name="ReSchedule_WeeklyTC1_5" sheetId="155" r:id="rId135"/>
    <sheet name="ReSchedule_WeeklyTC1_6" sheetId="156" r:id="rId136"/>
    <sheet name="ReSchedule_WeeklyTC1_7" sheetId="157" r:id="rId137"/>
    <sheet name="ReSchedule_WeeklyTC1_8" sheetId="158" r:id="rId138"/>
    <sheet name="ReSchedule_WeeklyTC2" sheetId="154" r:id="rId139"/>
    <sheet name="ReSchedule_WeeklyTC2_1" sheetId="150" r:id="rId140"/>
    <sheet name="ReSchedule_WeeklyTC2_2" sheetId="151" r:id="rId141"/>
    <sheet name="ReSchedule_WeeklyTC2_3" sheetId="152" r:id="rId142"/>
    <sheet name="ReSchedule_WeeklyTC2_4" sheetId="153" r:id="rId143"/>
    <sheet name="ReSchedule_WeeklyTC3" sheetId="159" r:id="rId144"/>
    <sheet name="ReSchedule_WeeklyTC3_1" sheetId="160" r:id="rId145"/>
    <sheet name="ReSchedule_WeeklyTC3_2" sheetId="161" r:id="rId146"/>
    <sheet name="ReSchedule_WeeklyTC3_3" sheetId="162" r:id="rId147"/>
    <sheet name="ReSchedule_WeeklyTC3_4" sheetId="163" r:id="rId148"/>
    <sheet name="ReSchedule_WeeklyTC4" sheetId="205" r:id="rId149"/>
    <sheet name="ReSchedule_WeeklyTC4_1" sheetId="206" r:id="rId150"/>
    <sheet name="ReSchedule_WeeklyTC4_2" sheetId="207" r:id="rId151"/>
    <sheet name="ReSchedule_WeeklyTC4_3" sheetId="208" r:id="rId152"/>
    <sheet name="ReSchedule_WeeklyTC4_4" sheetId="209" r:id="rId153"/>
    <sheet name="ReSchedule_WeeklyTC4_5" sheetId="210" r:id="rId154"/>
    <sheet name="ReSchedule_WeeklyTC4_6" sheetId="211" r:id="rId155"/>
    <sheet name="ReSchedule_BimonthlyTC1" sheetId="164" r:id="rId156"/>
    <sheet name="ReSchedule_BimonthlyTC1_1" sheetId="165" r:id="rId157"/>
    <sheet name="ReSchedule_BimonthlyTC1_2" sheetId="166" r:id="rId158"/>
    <sheet name="ReSchedule_BimonthlyTC1_3" sheetId="167" r:id="rId159"/>
    <sheet name="ReSchedule_BimonthlyTC1_4" sheetId="168" r:id="rId160"/>
    <sheet name="ReSchedule_BimonthlyTC1_5" sheetId="169" r:id="rId161"/>
    <sheet name="ReSchedule_BimonthlyTC1_6" sheetId="170" r:id="rId162"/>
    <sheet name="ReSchedule_BimonthlyTC2" sheetId="171" r:id="rId163"/>
    <sheet name="ReSchedule_BimonthlyTC2_1" sheetId="174" r:id="rId164"/>
    <sheet name="ReSchedule_BimonthlyTC2_2" sheetId="175" r:id="rId165"/>
    <sheet name="ReSchedule_BimonthlyTC2_3" sheetId="178" r:id="rId166"/>
    <sheet name="ReSchedule_BimonthlyTC2_4" sheetId="179" r:id="rId167"/>
    <sheet name="ReSchedule_BimonthlyTC2_5" sheetId="180" r:id="rId168"/>
    <sheet name="ReSchedule_BimonthlyTC2_6" sheetId="181" r:id="rId169"/>
    <sheet name="ReSchedule_AnnualTC1" sheetId="182" r:id="rId170"/>
    <sheet name="ReSchedule_AnnualTC1_1" sheetId="183" r:id="rId171"/>
    <sheet name="ReSchedule_AnnualTC1_2" sheetId="184" r:id="rId172"/>
    <sheet name="ReSchedule_QuarterlyTC1" sheetId="185" r:id="rId173"/>
    <sheet name="ReSchedule_QuarterlyTC1_1" sheetId="186" r:id="rId174"/>
    <sheet name="ReSchedule_QuarterlyTC1_2" sheetId="187" r:id="rId175"/>
    <sheet name="ReSchedule_SemiAnnualyTC1" sheetId="188" r:id="rId176"/>
    <sheet name="ReSchedule_SemiAnnualyTC1_1" sheetId="189" r:id="rId177"/>
    <sheet name="ReSchedule_SemiAnnualyTC1_2" sheetId="190" r:id="rId178"/>
    <sheet name="ReSchedule_MonthlyTC43" sheetId="191" r:id="rId179"/>
    <sheet name="ReSchedule_MonthlyTC43_1" sheetId="192" r:id="rId180"/>
    <sheet name="ReSchedule_MonthlyTC43_2" sheetId="193" r:id="rId181"/>
    <sheet name="ReSchedule_MonthlyTC44" sheetId="194" r:id="rId182"/>
    <sheet name="ReSchedule_MonthlyTC44_1" sheetId="195" r:id="rId183"/>
    <sheet name="ReSchedule_MonthlyTC44_2" sheetId="196" r:id="rId184"/>
    <sheet name="ReSchedule_MonthlyTC45" sheetId="197" r:id="rId185"/>
    <sheet name="ReSchedule_MonthlyTC45_1" sheetId="198" r:id="rId186"/>
    <sheet name="ReSchedule_MonthlyTC45_2" sheetId="199" r:id="rId187"/>
    <sheet name="ReSchedule_MonthlyTC45_3" sheetId="200" r:id="rId188"/>
    <sheet name="ReSchedule_MonthlyTC46" sheetId="201" r:id="rId189"/>
    <sheet name="ReSchedule_MonthlyTC46_1" sheetId="202" r:id="rId190"/>
    <sheet name="ReSchedule_MonthlyTC47" sheetId="203" r:id="rId191"/>
    <sheet name="ReSchedule_MonthlyTC47_1" sheetId="204" r:id="rId19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92" i="211" l="1"/>
  <c r="B91" i="211"/>
  <c r="B90" i="211"/>
  <c r="B89" i="211"/>
  <c r="B88" i="211"/>
  <c r="B87" i="211"/>
  <c r="B86" i="211"/>
  <c r="B85" i="211"/>
  <c r="B84" i="211"/>
  <c r="B83" i="211"/>
  <c r="B82" i="211"/>
  <c r="B81" i="211"/>
  <c r="B80" i="211"/>
  <c r="B79" i="211"/>
  <c r="B78" i="211"/>
  <c r="B77" i="211"/>
  <c r="B76" i="211"/>
  <c r="B75" i="211"/>
  <c r="B74" i="211"/>
  <c r="B73" i="211"/>
  <c r="B72" i="211"/>
  <c r="B71" i="211"/>
  <c r="B70" i="211"/>
  <c r="B69" i="211"/>
  <c r="B68" i="211"/>
  <c r="B67" i="211"/>
  <c r="B66" i="211"/>
  <c r="B65" i="211"/>
  <c r="B64" i="211"/>
  <c r="B63" i="211"/>
  <c r="B62" i="211"/>
  <c r="B61" i="211"/>
  <c r="B60" i="211"/>
  <c r="B59" i="211"/>
  <c r="B58" i="211"/>
  <c r="B57" i="211"/>
  <c r="A55" i="211"/>
  <c r="A54" i="211"/>
  <c r="A53" i="211"/>
  <c r="B52" i="211"/>
  <c r="B51" i="211"/>
  <c r="B50" i="211"/>
  <c r="B49" i="211"/>
  <c r="B48" i="211"/>
  <c r="B47" i="211"/>
  <c r="B46" i="211"/>
  <c r="B45" i="211"/>
  <c r="B44" i="211"/>
  <c r="B43" i="211"/>
  <c r="B42" i="211"/>
  <c r="B41" i="211"/>
  <c r="B40" i="211"/>
  <c r="B39" i="211"/>
  <c r="B38" i="211"/>
  <c r="B37" i="211"/>
  <c r="B36" i="211"/>
  <c r="B35" i="211"/>
  <c r="B34" i="211"/>
  <c r="B33" i="211"/>
  <c r="B32" i="211"/>
  <c r="B31" i="211"/>
  <c r="B30" i="211"/>
  <c r="B29" i="211"/>
  <c r="C28" i="211"/>
  <c r="B28" i="211"/>
  <c r="B27" i="211"/>
  <c r="B26" i="211"/>
  <c r="B25" i="211"/>
  <c r="B24" i="211"/>
  <c r="B23" i="211"/>
  <c r="B22" i="211"/>
  <c r="B21" i="211"/>
  <c r="C20" i="211"/>
  <c r="B20" i="211"/>
  <c r="B19" i="211"/>
  <c r="B18" i="211"/>
  <c r="B17" i="211"/>
  <c r="C16" i="211"/>
  <c r="B16" i="211"/>
  <c r="B56" i="211" s="1"/>
  <c r="B15" i="211"/>
  <c r="B55" i="211" s="1"/>
  <c r="B14" i="211"/>
  <c r="B54" i="211" s="1"/>
  <c r="B13" i="211"/>
  <c r="B53" i="211" s="1"/>
  <c r="B12" i="211"/>
  <c r="B11" i="211"/>
  <c r="B10" i="211"/>
  <c r="B9" i="211"/>
  <c r="C8" i="211"/>
  <c r="B8" i="211"/>
  <c r="B7" i="211"/>
  <c r="B6" i="211"/>
  <c r="B5" i="211"/>
  <c r="F4" i="211"/>
  <c r="G4" i="211" s="1"/>
  <c r="F5" i="211" s="1"/>
  <c r="B4" i="211"/>
  <c r="F1" i="211"/>
  <c r="D1" i="211"/>
  <c r="B92" i="210"/>
  <c r="C91" i="210"/>
  <c r="B91" i="210"/>
  <c r="B90" i="210"/>
  <c r="B89" i="210"/>
  <c r="B88" i="210"/>
  <c r="C87" i="210"/>
  <c r="B87" i="210"/>
  <c r="B86" i="210"/>
  <c r="B85" i="210"/>
  <c r="B84" i="210"/>
  <c r="B83" i="210"/>
  <c r="B82" i="210"/>
  <c r="B81" i="210"/>
  <c r="C80" i="210"/>
  <c r="B80" i="210"/>
  <c r="B79" i="210"/>
  <c r="C78" i="210"/>
  <c r="B78" i="210"/>
  <c r="B77" i="210"/>
  <c r="B76" i="210"/>
  <c r="C75" i="210"/>
  <c r="B75" i="210"/>
  <c r="B74" i="210"/>
  <c r="C73" i="210"/>
  <c r="B73" i="210"/>
  <c r="B72" i="210"/>
  <c r="B71" i="210"/>
  <c r="C70" i="210"/>
  <c r="B70" i="210"/>
  <c r="B69" i="210"/>
  <c r="B68" i="210"/>
  <c r="C67" i="210"/>
  <c r="B67" i="210"/>
  <c r="C66" i="210"/>
  <c r="B66" i="210"/>
  <c r="C65" i="210"/>
  <c r="B65" i="210"/>
  <c r="B64" i="210"/>
  <c r="B63" i="210"/>
  <c r="B62" i="210"/>
  <c r="C61" i="210"/>
  <c r="B61" i="210"/>
  <c r="B60" i="210"/>
  <c r="B59" i="210"/>
  <c r="C58" i="210"/>
  <c r="B58" i="210"/>
  <c r="C57" i="210"/>
  <c r="B57" i="210"/>
  <c r="B55" i="210"/>
  <c r="A55" i="210"/>
  <c r="A54" i="210"/>
  <c r="A53" i="210"/>
  <c r="B52" i="210"/>
  <c r="B51" i="210"/>
  <c r="B50" i="210"/>
  <c r="B49" i="210"/>
  <c r="B48" i="210"/>
  <c r="B46" i="210"/>
  <c r="B45" i="210"/>
  <c r="B44" i="210"/>
  <c r="B43" i="210"/>
  <c r="B42" i="210"/>
  <c r="B41" i="210"/>
  <c r="B40" i="210"/>
  <c r="B39" i="210"/>
  <c r="B38" i="210"/>
  <c r="B37" i="210"/>
  <c r="B36" i="210"/>
  <c r="B35" i="210"/>
  <c r="C34" i="210"/>
  <c r="B34" i="210"/>
  <c r="B33" i="210"/>
  <c r="B32" i="210"/>
  <c r="B31" i="210"/>
  <c r="B30" i="210"/>
  <c r="B29" i="210"/>
  <c r="B28" i="210"/>
  <c r="B27" i="210"/>
  <c r="C26" i="210"/>
  <c r="B26" i="210"/>
  <c r="B25" i="210"/>
  <c r="B24" i="210"/>
  <c r="B23" i="210"/>
  <c r="C22" i="210"/>
  <c r="B22" i="210"/>
  <c r="B21" i="210"/>
  <c r="B20" i="210"/>
  <c r="B19" i="210"/>
  <c r="B18" i="210"/>
  <c r="B17" i="210"/>
  <c r="B16" i="210"/>
  <c r="B56" i="210" s="1"/>
  <c r="B15" i="210"/>
  <c r="B14" i="210"/>
  <c r="B54" i="210" s="1"/>
  <c r="B13" i="210"/>
  <c r="B53" i="210" s="1"/>
  <c r="B12" i="210"/>
  <c r="B11" i="210"/>
  <c r="B10" i="210"/>
  <c r="B9" i="210"/>
  <c r="B8" i="210"/>
  <c r="B7" i="210"/>
  <c r="B6" i="210"/>
  <c r="B5" i="210"/>
  <c r="B47" i="210" s="1"/>
  <c r="F4" i="210"/>
  <c r="E4" i="210" s="1"/>
  <c r="B4" i="210"/>
  <c r="F1" i="210"/>
  <c r="C79" i="210" s="1"/>
  <c r="D1" i="210"/>
  <c r="C6" i="210" s="1"/>
  <c r="C92" i="209"/>
  <c r="D92" i="209" s="1"/>
  <c r="B92" i="209"/>
  <c r="B91" i="209"/>
  <c r="B90" i="209"/>
  <c r="B89" i="209"/>
  <c r="C88" i="209"/>
  <c r="B88" i="209"/>
  <c r="B87" i="209"/>
  <c r="B86" i="209"/>
  <c r="B85" i="209"/>
  <c r="B84" i="209"/>
  <c r="B83" i="209"/>
  <c r="B82" i="209"/>
  <c r="B81" i="209"/>
  <c r="B80" i="209"/>
  <c r="B79" i="209"/>
  <c r="B78" i="209"/>
  <c r="B77" i="209"/>
  <c r="B76" i="209"/>
  <c r="B75" i="209"/>
  <c r="B74" i="209"/>
  <c r="B73" i="209"/>
  <c r="B72" i="209"/>
  <c r="B71" i="209"/>
  <c r="B70" i="209"/>
  <c r="B69" i="209"/>
  <c r="B68" i="209"/>
  <c r="B67" i="209"/>
  <c r="B66" i="209"/>
  <c r="B65" i="209"/>
  <c r="B64" i="209"/>
  <c r="B63" i="209"/>
  <c r="C62" i="209"/>
  <c r="B62" i="209"/>
  <c r="B61" i="209"/>
  <c r="B60" i="209"/>
  <c r="B59" i="209"/>
  <c r="B58" i="209"/>
  <c r="B57" i="209"/>
  <c r="B56" i="209"/>
  <c r="B55" i="209"/>
  <c r="B54" i="209"/>
  <c r="B53" i="209"/>
  <c r="B52" i="209"/>
  <c r="B51" i="209"/>
  <c r="B50" i="209"/>
  <c r="B49" i="209"/>
  <c r="B48" i="209"/>
  <c r="C47" i="209"/>
  <c r="B47" i="209"/>
  <c r="B46" i="209"/>
  <c r="B45" i="209"/>
  <c r="C44" i="209"/>
  <c r="B44" i="209"/>
  <c r="B43" i="209"/>
  <c r="B42" i="209"/>
  <c r="B41" i="209"/>
  <c r="B40" i="209"/>
  <c r="B39" i="209"/>
  <c r="B38" i="209"/>
  <c r="C37" i="209"/>
  <c r="B37" i="209"/>
  <c r="B36" i="209"/>
  <c r="B35" i="209"/>
  <c r="B34" i="209"/>
  <c r="C33" i="209"/>
  <c r="B33" i="209"/>
  <c r="C32" i="209"/>
  <c r="B32" i="209"/>
  <c r="B31" i="209"/>
  <c r="B30" i="209"/>
  <c r="B29" i="209"/>
  <c r="C28" i="209"/>
  <c r="B28" i="209"/>
  <c r="B27" i="209"/>
  <c r="B26" i="209"/>
  <c r="B25" i="209"/>
  <c r="B24" i="209"/>
  <c r="B23" i="209"/>
  <c r="B22" i="209"/>
  <c r="B21" i="209"/>
  <c r="B20" i="209"/>
  <c r="B19" i="209"/>
  <c r="B18" i="209"/>
  <c r="B17" i="209"/>
  <c r="B16" i="209"/>
  <c r="B15" i="209"/>
  <c r="B14" i="209"/>
  <c r="B13" i="209"/>
  <c r="B12" i="209"/>
  <c r="B11" i="209"/>
  <c r="B10" i="209"/>
  <c r="B9" i="209"/>
  <c r="B8" i="209"/>
  <c r="B7" i="209"/>
  <c r="B6" i="209"/>
  <c r="C5" i="209"/>
  <c r="B5" i="209"/>
  <c r="F4" i="209"/>
  <c r="B4" i="209"/>
  <c r="J2" i="209"/>
  <c r="J1" i="209"/>
  <c r="F1" i="209"/>
  <c r="C68" i="209" s="1"/>
  <c r="D1" i="209"/>
  <c r="B92" i="208"/>
  <c r="B91" i="208"/>
  <c r="B90" i="208"/>
  <c r="B89" i="208"/>
  <c r="B88" i="208"/>
  <c r="B87" i="208"/>
  <c r="B86" i="208"/>
  <c r="B85" i="208"/>
  <c r="B84" i="208"/>
  <c r="B83" i="208"/>
  <c r="B82" i="208"/>
  <c r="B81" i="208"/>
  <c r="B80" i="208"/>
  <c r="B79" i="208"/>
  <c r="B78" i="208"/>
  <c r="B77" i="208"/>
  <c r="B76" i="208"/>
  <c r="B75" i="208"/>
  <c r="B74" i="208"/>
  <c r="B73" i="208"/>
  <c r="B72" i="208"/>
  <c r="B71" i="208"/>
  <c r="B70" i="208"/>
  <c r="B69" i="208"/>
  <c r="B68" i="208"/>
  <c r="B67" i="208"/>
  <c r="B66" i="208"/>
  <c r="B65" i="208"/>
  <c r="B64" i="208"/>
  <c r="B63" i="208"/>
  <c r="B62" i="208"/>
  <c r="B61" i="208"/>
  <c r="B60" i="208"/>
  <c r="B59" i="208"/>
  <c r="B58" i="208"/>
  <c r="B57" i="208"/>
  <c r="B56" i="208"/>
  <c r="B55" i="208"/>
  <c r="B54" i="208"/>
  <c r="B52" i="208"/>
  <c r="C51" i="208"/>
  <c r="B51" i="208"/>
  <c r="B50" i="208"/>
  <c r="B49" i="208"/>
  <c r="B48" i="208"/>
  <c r="C47" i="208"/>
  <c r="B47" i="208"/>
  <c r="B46" i="208"/>
  <c r="B45" i="208"/>
  <c r="C44" i="208"/>
  <c r="B44" i="208"/>
  <c r="B43" i="208"/>
  <c r="B42" i="208"/>
  <c r="B41" i="208"/>
  <c r="C40" i="208"/>
  <c r="B40" i="208"/>
  <c r="B39" i="208"/>
  <c r="B38" i="208"/>
  <c r="B37" i="208"/>
  <c r="B36" i="208"/>
  <c r="C35" i="208"/>
  <c r="B35" i="208"/>
  <c r="B34" i="208"/>
  <c r="B33" i="208"/>
  <c r="B32" i="208"/>
  <c r="C31" i="208"/>
  <c r="B31" i="208"/>
  <c r="B30" i="208"/>
  <c r="B29" i="208"/>
  <c r="C28" i="208"/>
  <c r="B28" i="208"/>
  <c r="B27" i="208"/>
  <c r="B26" i="208"/>
  <c r="B25" i="208"/>
  <c r="C24" i="208"/>
  <c r="B24" i="208"/>
  <c r="B23" i="208"/>
  <c r="B22" i="208"/>
  <c r="B21" i="208"/>
  <c r="B20" i="208"/>
  <c r="C19" i="208"/>
  <c r="B19" i="208"/>
  <c r="B18" i="208"/>
  <c r="B17" i="208"/>
  <c r="B16" i="208"/>
  <c r="C15" i="208"/>
  <c r="B15" i="208"/>
  <c r="C14" i="208"/>
  <c r="B14" i="208"/>
  <c r="B13" i="208"/>
  <c r="B53" i="208" s="1"/>
  <c r="C12" i="208"/>
  <c r="B12" i="208"/>
  <c r="C11" i="208"/>
  <c r="B11" i="208"/>
  <c r="C10" i="208"/>
  <c r="B10" i="208"/>
  <c r="B9" i="208"/>
  <c r="C8" i="208"/>
  <c r="B8" i="208"/>
  <c r="C7" i="208"/>
  <c r="B7" i="208"/>
  <c r="C6" i="208"/>
  <c r="B6" i="208"/>
  <c r="E5" i="208"/>
  <c r="C5" i="208"/>
  <c r="B5" i="208"/>
  <c r="F4" i="208"/>
  <c r="G4" i="208" s="1"/>
  <c r="F5" i="208" s="1"/>
  <c r="E4" i="208"/>
  <c r="B4" i="208"/>
  <c r="F1" i="208"/>
  <c r="D1" i="208"/>
  <c r="B92" i="207"/>
  <c r="C91" i="207"/>
  <c r="B91" i="207"/>
  <c r="B90" i="207"/>
  <c r="B89" i="207"/>
  <c r="C88" i="207"/>
  <c r="B88" i="207"/>
  <c r="B87" i="207"/>
  <c r="B86" i="207"/>
  <c r="B85" i="207"/>
  <c r="B84" i="207"/>
  <c r="C83" i="207"/>
  <c r="B83" i="207"/>
  <c r="B82" i="207"/>
  <c r="B81" i="207"/>
  <c r="C80" i="207"/>
  <c r="B80" i="207"/>
  <c r="C79" i="207"/>
  <c r="B79" i="207"/>
  <c r="B78" i="207"/>
  <c r="B77" i="207"/>
  <c r="B76" i="207"/>
  <c r="C75" i="207"/>
  <c r="B75" i="207"/>
  <c r="B74" i="207"/>
  <c r="B73" i="207"/>
  <c r="C72" i="207"/>
  <c r="B72" i="207"/>
  <c r="B71" i="207"/>
  <c r="B70" i="207"/>
  <c r="B69" i="207"/>
  <c r="B68" i="207"/>
  <c r="C67" i="207"/>
  <c r="B67" i="207"/>
  <c r="B66" i="207"/>
  <c r="B65" i="207"/>
  <c r="C64" i="207"/>
  <c r="B64" i="207"/>
  <c r="C63" i="207"/>
  <c r="B63" i="207"/>
  <c r="B62" i="207"/>
  <c r="B61" i="207"/>
  <c r="B60" i="207"/>
  <c r="B59" i="207"/>
  <c r="B58" i="207"/>
  <c r="B57" i="207"/>
  <c r="B56" i="207"/>
  <c r="B55" i="207"/>
  <c r="B54" i="207"/>
  <c r="B53" i="207"/>
  <c r="D52" i="207"/>
  <c r="C52" i="207"/>
  <c r="B52" i="207"/>
  <c r="B51" i="207"/>
  <c r="C50" i="207"/>
  <c r="B50" i="207"/>
  <c r="C49" i="207"/>
  <c r="B49" i="207"/>
  <c r="C48" i="207"/>
  <c r="B48" i="207"/>
  <c r="B47" i="207"/>
  <c r="C46" i="207"/>
  <c r="B46" i="207"/>
  <c r="C45" i="207"/>
  <c r="B45" i="207"/>
  <c r="C44" i="207"/>
  <c r="B44" i="207"/>
  <c r="B43" i="207"/>
  <c r="C42" i="207"/>
  <c r="B42" i="207"/>
  <c r="C41" i="207"/>
  <c r="B41" i="207"/>
  <c r="C40" i="207"/>
  <c r="B40" i="207"/>
  <c r="B39" i="207"/>
  <c r="C38" i="207"/>
  <c r="B38" i="207"/>
  <c r="C37" i="207"/>
  <c r="B37" i="207"/>
  <c r="C36" i="207"/>
  <c r="B36" i="207"/>
  <c r="B35" i="207"/>
  <c r="C34" i="207"/>
  <c r="B34" i="207"/>
  <c r="C33" i="207"/>
  <c r="B33" i="207"/>
  <c r="C32" i="207"/>
  <c r="B32" i="207"/>
  <c r="B31" i="207"/>
  <c r="C30" i="207"/>
  <c r="B30" i="207"/>
  <c r="C29" i="207"/>
  <c r="B29" i="207"/>
  <c r="C28" i="207"/>
  <c r="B28" i="207"/>
  <c r="B27" i="207"/>
  <c r="C26" i="207"/>
  <c r="B26" i="207"/>
  <c r="C25" i="207"/>
  <c r="B25" i="207"/>
  <c r="C24" i="207"/>
  <c r="B24" i="207"/>
  <c r="B23" i="207"/>
  <c r="C22" i="207"/>
  <c r="B22" i="207"/>
  <c r="C21" i="207"/>
  <c r="B21" i="207"/>
  <c r="C20" i="207"/>
  <c r="B20" i="207"/>
  <c r="B19" i="207"/>
  <c r="C18" i="207"/>
  <c r="B18" i="207"/>
  <c r="C17" i="207"/>
  <c r="B17" i="207"/>
  <c r="C16" i="207"/>
  <c r="B16" i="207"/>
  <c r="B15" i="207"/>
  <c r="C14" i="207"/>
  <c r="B14" i="207"/>
  <c r="C13" i="207"/>
  <c r="B13" i="207"/>
  <c r="C12" i="207"/>
  <c r="B12" i="207"/>
  <c r="B11" i="207"/>
  <c r="C10" i="207"/>
  <c r="B10" i="207"/>
  <c r="C9" i="207"/>
  <c r="B9" i="207"/>
  <c r="C8" i="207"/>
  <c r="B8" i="207"/>
  <c r="B7" i="207"/>
  <c r="C6" i="207"/>
  <c r="B6" i="207"/>
  <c r="C5" i="207"/>
  <c r="B5" i="207"/>
  <c r="F4" i="207"/>
  <c r="B4" i="207"/>
  <c r="J2" i="207"/>
  <c r="J1" i="207"/>
  <c r="F1" i="207"/>
  <c r="C84" i="207" s="1"/>
  <c r="D1" i="207"/>
  <c r="C51" i="207" s="1"/>
  <c r="C92" i="206"/>
  <c r="D92" i="206" s="1"/>
  <c r="B92" i="206"/>
  <c r="C91" i="206"/>
  <c r="B91" i="206"/>
  <c r="B90" i="206"/>
  <c r="C89" i="206"/>
  <c r="B89" i="206"/>
  <c r="C88" i="206"/>
  <c r="B88" i="206"/>
  <c r="C87" i="206"/>
  <c r="B87" i="206"/>
  <c r="B86" i="206"/>
  <c r="C85" i="206"/>
  <c r="B85" i="206"/>
  <c r="C84" i="206"/>
  <c r="B84" i="206"/>
  <c r="C83" i="206"/>
  <c r="B83" i="206"/>
  <c r="B82" i="206"/>
  <c r="C81" i="206"/>
  <c r="B81" i="206"/>
  <c r="C80" i="206"/>
  <c r="B80" i="206"/>
  <c r="C79" i="206"/>
  <c r="B79" i="206"/>
  <c r="B78" i="206"/>
  <c r="C77" i="206"/>
  <c r="B77" i="206"/>
  <c r="C76" i="206"/>
  <c r="B76" i="206"/>
  <c r="C75" i="206"/>
  <c r="B75" i="206"/>
  <c r="B74" i="206"/>
  <c r="C73" i="206"/>
  <c r="B73" i="206"/>
  <c r="C72" i="206"/>
  <c r="B72" i="206"/>
  <c r="C71" i="206"/>
  <c r="B71" i="206"/>
  <c r="B70" i="206"/>
  <c r="C69" i="206"/>
  <c r="B69" i="206"/>
  <c r="C68" i="206"/>
  <c r="B68" i="206"/>
  <c r="C67" i="206"/>
  <c r="B67" i="206"/>
  <c r="B66" i="206"/>
  <c r="C65" i="206"/>
  <c r="B65" i="206"/>
  <c r="C64" i="206"/>
  <c r="B64" i="206"/>
  <c r="C63" i="206"/>
  <c r="B63" i="206"/>
  <c r="B62" i="206"/>
  <c r="C61" i="206"/>
  <c r="B61" i="206"/>
  <c r="C60" i="206"/>
  <c r="B60" i="206"/>
  <c r="C59" i="206"/>
  <c r="B59" i="206"/>
  <c r="B58" i="206"/>
  <c r="C57" i="206"/>
  <c r="B57" i="206"/>
  <c r="C56" i="206"/>
  <c r="B56" i="206"/>
  <c r="C55" i="206"/>
  <c r="B55" i="206"/>
  <c r="B54" i="206"/>
  <c r="B52" i="206"/>
  <c r="B51" i="206"/>
  <c r="B50" i="206"/>
  <c r="B49" i="206"/>
  <c r="B48" i="206"/>
  <c r="B47" i="206"/>
  <c r="B46" i="206"/>
  <c r="C45" i="206"/>
  <c r="B45" i="206"/>
  <c r="B44" i="206"/>
  <c r="C43" i="206"/>
  <c r="B43" i="206"/>
  <c r="B42" i="206"/>
  <c r="B41" i="206"/>
  <c r="B40" i="206"/>
  <c r="B39" i="206"/>
  <c r="B38" i="206"/>
  <c r="B37" i="206"/>
  <c r="B36" i="206"/>
  <c r="C35" i="206"/>
  <c r="B35" i="206"/>
  <c r="B34" i="206"/>
  <c r="B33" i="206"/>
  <c r="B32" i="206"/>
  <c r="C31" i="206"/>
  <c r="B31" i="206"/>
  <c r="B30" i="206"/>
  <c r="B29" i="206"/>
  <c r="B28" i="206"/>
  <c r="B27" i="206"/>
  <c r="B26" i="206"/>
  <c r="B25" i="206"/>
  <c r="B24" i="206"/>
  <c r="B23" i="206"/>
  <c r="B22" i="206"/>
  <c r="B21" i="206"/>
  <c r="B20" i="206"/>
  <c r="B19" i="206"/>
  <c r="B18" i="206"/>
  <c r="B17" i="206"/>
  <c r="B16" i="206"/>
  <c r="B15" i="206"/>
  <c r="C14" i="206"/>
  <c r="B14" i="206"/>
  <c r="B13" i="206"/>
  <c r="B53" i="206" s="1"/>
  <c r="B12" i="206"/>
  <c r="B11" i="206"/>
  <c r="B10" i="206"/>
  <c r="B9" i="206"/>
  <c r="B8" i="206"/>
  <c r="B7" i="206"/>
  <c r="B6" i="206"/>
  <c r="C5" i="206"/>
  <c r="B5" i="206"/>
  <c r="G4" i="206"/>
  <c r="F5" i="206" s="1"/>
  <c r="F4" i="206"/>
  <c r="B4" i="206"/>
  <c r="E4" i="206" s="1"/>
  <c r="F1" i="206"/>
  <c r="C90" i="206" s="1"/>
  <c r="D1" i="206"/>
  <c r="B108" i="204"/>
  <c r="C107" i="204"/>
  <c r="B107" i="204"/>
  <c r="C106" i="204"/>
  <c r="B106" i="204"/>
  <c r="C105" i="204"/>
  <c r="B105" i="204"/>
  <c r="C104" i="204"/>
  <c r="B104" i="204"/>
  <c r="B103" i="204"/>
  <c r="B102" i="204"/>
  <c r="B101" i="204"/>
  <c r="B100" i="204"/>
  <c r="B99" i="204"/>
  <c r="B98" i="204"/>
  <c r="B97" i="204"/>
  <c r="B96" i="204"/>
  <c r="B95" i="204"/>
  <c r="B94" i="204"/>
  <c r="B93" i="204"/>
  <c r="B92" i="204"/>
  <c r="B91" i="204"/>
  <c r="B90" i="204"/>
  <c r="B89" i="204"/>
  <c r="B88" i="204"/>
  <c r="B87" i="204"/>
  <c r="B86" i="204"/>
  <c r="B85" i="204"/>
  <c r="B84" i="204"/>
  <c r="B83" i="204"/>
  <c r="B82" i="204"/>
  <c r="B81" i="204"/>
  <c r="B80" i="204"/>
  <c r="B79" i="204"/>
  <c r="B78" i="204"/>
  <c r="B77" i="204"/>
  <c r="B76" i="204"/>
  <c r="B75" i="204"/>
  <c r="C74" i="204"/>
  <c r="B74" i="204"/>
  <c r="B73" i="204"/>
  <c r="B72" i="204"/>
  <c r="B71" i="204"/>
  <c r="B70" i="204"/>
  <c r="C69" i="204"/>
  <c r="B69" i="204"/>
  <c r="B68" i="204"/>
  <c r="C67" i="204"/>
  <c r="B67" i="204"/>
  <c r="B66" i="204"/>
  <c r="B65" i="204"/>
  <c r="B64" i="204"/>
  <c r="B63" i="204"/>
  <c r="C62" i="204"/>
  <c r="B62" i="204"/>
  <c r="B61" i="204"/>
  <c r="B60" i="204"/>
  <c r="B59" i="204"/>
  <c r="B58" i="204"/>
  <c r="B56" i="204"/>
  <c r="B55" i="204"/>
  <c r="B54" i="204"/>
  <c r="B53" i="204"/>
  <c r="B52" i="204"/>
  <c r="B51" i="204"/>
  <c r="B50" i="204"/>
  <c r="B49" i="204"/>
  <c r="B48" i="204"/>
  <c r="F47" i="204"/>
  <c r="E47" i="204"/>
  <c r="C46" i="204"/>
  <c r="D46" i="204" s="1"/>
  <c r="B46" i="204"/>
  <c r="B45" i="204"/>
  <c r="B44" i="204"/>
  <c r="B43" i="204"/>
  <c r="C42" i="204"/>
  <c r="B42" i="204"/>
  <c r="B41" i="204"/>
  <c r="B40" i="204"/>
  <c r="B39" i="204"/>
  <c r="C38" i="204"/>
  <c r="B38" i="204"/>
  <c r="B37" i="204"/>
  <c r="B36" i="204"/>
  <c r="B35" i="204"/>
  <c r="C34" i="204"/>
  <c r="B34" i="204"/>
  <c r="B33" i="204"/>
  <c r="B32" i="204"/>
  <c r="B31" i="204"/>
  <c r="C30" i="204"/>
  <c r="B30" i="204"/>
  <c r="B29" i="204"/>
  <c r="B28" i="204"/>
  <c r="B27" i="204"/>
  <c r="C26" i="204"/>
  <c r="B26" i="204"/>
  <c r="B25" i="204"/>
  <c r="B24" i="204"/>
  <c r="B23" i="204"/>
  <c r="C22" i="204"/>
  <c r="B22" i="204"/>
  <c r="B21" i="204"/>
  <c r="B20" i="204"/>
  <c r="B19" i="204"/>
  <c r="C18" i="204"/>
  <c r="B18" i="204"/>
  <c r="B17" i="204"/>
  <c r="B16" i="204"/>
  <c r="B15" i="204"/>
  <c r="B57" i="204" s="1"/>
  <c r="C14" i="204"/>
  <c r="B14" i="204"/>
  <c r="B13" i="204"/>
  <c r="B12" i="204"/>
  <c r="B11" i="204"/>
  <c r="C10" i="204"/>
  <c r="B10" i="204"/>
  <c r="B9" i="204"/>
  <c r="B8" i="204"/>
  <c r="B7" i="204"/>
  <c r="C6" i="204"/>
  <c r="B6" i="204"/>
  <c r="F5" i="204"/>
  <c r="E5" i="204"/>
  <c r="B5" i="204"/>
  <c r="B47" i="204" s="1"/>
  <c r="B4" i="204"/>
  <c r="M2" i="204"/>
  <c r="K2" i="204"/>
  <c r="C75" i="204" s="1"/>
  <c r="F1" i="204"/>
  <c r="C63" i="204" s="1"/>
  <c r="D1" i="204"/>
  <c r="C51" i="204" s="1"/>
  <c r="B107" i="202"/>
  <c r="B106" i="202"/>
  <c r="B105" i="202"/>
  <c r="B104" i="202"/>
  <c r="B103" i="202"/>
  <c r="B102" i="202"/>
  <c r="B101" i="202"/>
  <c r="B100" i="202"/>
  <c r="B99" i="202"/>
  <c r="B98" i="202"/>
  <c r="B97" i="202"/>
  <c r="B96" i="202"/>
  <c r="B95" i="202"/>
  <c r="B94" i="202"/>
  <c r="B93" i="202"/>
  <c r="B92" i="202"/>
  <c r="B91" i="202"/>
  <c r="B90" i="202"/>
  <c r="B89" i="202"/>
  <c r="B88" i="202"/>
  <c r="C87" i="202"/>
  <c r="B87" i="202"/>
  <c r="B86" i="202"/>
  <c r="B85" i="202"/>
  <c r="B84" i="202"/>
  <c r="B83" i="202"/>
  <c r="B82" i="202"/>
  <c r="C81" i="202"/>
  <c r="B81" i="202"/>
  <c r="B80" i="202"/>
  <c r="C79" i="202"/>
  <c r="B79" i="202"/>
  <c r="B78" i="202"/>
  <c r="B77" i="202"/>
  <c r="B76" i="202"/>
  <c r="B75" i="202"/>
  <c r="B74" i="202"/>
  <c r="C73" i="202"/>
  <c r="B73" i="202"/>
  <c r="B72" i="202"/>
  <c r="B71" i="202"/>
  <c r="B70" i="202"/>
  <c r="B69" i="202"/>
  <c r="B68" i="202"/>
  <c r="B67" i="202"/>
  <c r="B66" i="202"/>
  <c r="B65" i="202"/>
  <c r="B64" i="202"/>
  <c r="B63" i="202"/>
  <c r="B62" i="202"/>
  <c r="C61" i="202"/>
  <c r="B61" i="202"/>
  <c r="B60" i="202"/>
  <c r="C59" i="202"/>
  <c r="B59" i="202"/>
  <c r="B58" i="202"/>
  <c r="B56" i="202"/>
  <c r="B55" i="202"/>
  <c r="B54" i="202"/>
  <c r="C53" i="202"/>
  <c r="B53" i="202"/>
  <c r="B52" i="202"/>
  <c r="B51" i="202"/>
  <c r="C50" i="202"/>
  <c r="B50" i="202"/>
  <c r="B49" i="202"/>
  <c r="B48" i="202"/>
  <c r="F47" i="202"/>
  <c r="C46" i="202"/>
  <c r="D46" i="202" s="1"/>
  <c r="B46" i="202"/>
  <c r="B45" i="202"/>
  <c r="B44" i="202"/>
  <c r="C43" i="202"/>
  <c r="B43" i="202"/>
  <c r="C42" i="202"/>
  <c r="B42" i="202"/>
  <c r="B41" i="202"/>
  <c r="B40" i="202"/>
  <c r="C39" i="202"/>
  <c r="B39" i="202"/>
  <c r="C38" i="202"/>
  <c r="B38" i="202"/>
  <c r="B37" i="202"/>
  <c r="B36" i="202"/>
  <c r="C35" i="202"/>
  <c r="B35" i="202"/>
  <c r="C34" i="202"/>
  <c r="B34" i="202"/>
  <c r="B33" i="202"/>
  <c r="B32" i="202"/>
  <c r="C31" i="202"/>
  <c r="B31" i="202"/>
  <c r="C30" i="202"/>
  <c r="B30" i="202"/>
  <c r="C29" i="202"/>
  <c r="B29" i="202"/>
  <c r="B28" i="202"/>
  <c r="C27" i="202"/>
  <c r="B27" i="202"/>
  <c r="C26" i="202"/>
  <c r="B26" i="202"/>
  <c r="C25" i="202"/>
  <c r="B25" i="202"/>
  <c r="B24" i="202"/>
  <c r="C23" i="202"/>
  <c r="B23" i="202"/>
  <c r="C22" i="202"/>
  <c r="B22" i="202"/>
  <c r="C21" i="202"/>
  <c r="B21" i="202"/>
  <c r="B20" i="202"/>
  <c r="C19" i="202"/>
  <c r="B19" i="202"/>
  <c r="C18" i="202"/>
  <c r="B18" i="202"/>
  <c r="C17" i="202"/>
  <c r="B17" i="202"/>
  <c r="B16" i="202"/>
  <c r="C15" i="202"/>
  <c r="B15" i="202"/>
  <c r="B57" i="202" s="1"/>
  <c r="C14" i="202"/>
  <c r="B14" i="202"/>
  <c r="C13" i="202"/>
  <c r="B13" i="202"/>
  <c r="B12" i="202"/>
  <c r="C11" i="202"/>
  <c r="B11" i="202"/>
  <c r="C10" i="202"/>
  <c r="B10" i="202"/>
  <c r="C9" i="202"/>
  <c r="B9" i="202"/>
  <c r="B8" i="202"/>
  <c r="C7" i="202"/>
  <c r="B7" i="202"/>
  <c r="C6" i="202"/>
  <c r="B6" i="202"/>
  <c r="F5" i="202"/>
  <c r="E5" i="202" s="1"/>
  <c r="E47" i="202" s="1"/>
  <c r="C5" i="202"/>
  <c r="C47" i="202" s="1"/>
  <c r="B5" i="202"/>
  <c r="B47" i="202" s="1"/>
  <c r="B4" i="202"/>
  <c r="M2" i="202"/>
  <c r="K2" i="202"/>
  <c r="C71" i="202" s="1"/>
  <c r="F1" i="202"/>
  <c r="C65" i="202" s="1"/>
  <c r="D1" i="202"/>
  <c r="C48" i="202" s="1"/>
  <c r="C106" i="200"/>
  <c r="D106" i="200" s="1"/>
  <c r="B106" i="200"/>
  <c r="B105" i="200"/>
  <c r="B104" i="200"/>
  <c r="C103" i="200"/>
  <c r="B103" i="200"/>
  <c r="C102" i="200"/>
  <c r="B102" i="200"/>
  <c r="B101" i="200"/>
  <c r="B100" i="200"/>
  <c r="C99" i="200"/>
  <c r="B99" i="200"/>
  <c r="C98" i="200"/>
  <c r="B98" i="200"/>
  <c r="B97" i="200"/>
  <c r="B96" i="200"/>
  <c r="C95" i="200"/>
  <c r="B95" i="200"/>
  <c r="C94" i="200"/>
  <c r="B94" i="200"/>
  <c r="B93" i="200"/>
  <c r="B92" i="200"/>
  <c r="C91" i="200"/>
  <c r="B91" i="200"/>
  <c r="C90" i="200"/>
  <c r="B90" i="200"/>
  <c r="B89" i="200"/>
  <c r="B88" i="200"/>
  <c r="C87" i="200"/>
  <c r="B87" i="200"/>
  <c r="C86" i="200"/>
  <c r="B86" i="200"/>
  <c r="B85" i="200"/>
  <c r="B84" i="200"/>
  <c r="C83" i="200"/>
  <c r="B83" i="200"/>
  <c r="C82" i="200"/>
  <c r="B82" i="200"/>
  <c r="B81" i="200"/>
  <c r="B80" i="200"/>
  <c r="C79" i="200"/>
  <c r="B79" i="200"/>
  <c r="C78" i="200"/>
  <c r="B78" i="200"/>
  <c r="B77" i="200"/>
  <c r="B76" i="200"/>
  <c r="C75" i="200"/>
  <c r="B75" i="200"/>
  <c r="C74" i="200"/>
  <c r="B74" i="200"/>
  <c r="B73" i="200"/>
  <c r="B72" i="200"/>
  <c r="C71" i="200"/>
  <c r="B71" i="200"/>
  <c r="C70" i="200"/>
  <c r="B70" i="200"/>
  <c r="B69" i="200"/>
  <c r="B68" i="200"/>
  <c r="C67" i="200"/>
  <c r="B67" i="200"/>
  <c r="C66" i="200"/>
  <c r="B66" i="200"/>
  <c r="B65" i="200"/>
  <c r="B64" i="200"/>
  <c r="C63" i="200"/>
  <c r="B63" i="200"/>
  <c r="C62" i="200"/>
  <c r="B62" i="200"/>
  <c r="B61" i="200"/>
  <c r="B60" i="200"/>
  <c r="C59" i="200"/>
  <c r="B59" i="200"/>
  <c r="C58" i="200"/>
  <c r="B58" i="200"/>
  <c r="B57" i="200"/>
  <c r="B56" i="200"/>
  <c r="C55" i="200"/>
  <c r="B55" i="200"/>
  <c r="C54" i="200"/>
  <c r="B54" i="200"/>
  <c r="B53" i="200"/>
  <c r="B52" i="200"/>
  <c r="C51" i="200"/>
  <c r="B51" i="200"/>
  <c r="C50" i="200"/>
  <c r="B50" i="200"/>
  <c r="B49" i="200"/>
  <c r="B48" i="200"/>
  <c r="C47" i="200"/>
  <c r="B47" i="200"/>
  <c r="F46" i="200"/>
  <c r="C46" i="200"/>
  <c r="B46" i="200"/>
  <c r="C45" i="200"/>
  <c r="D45" i="200" s="1"/>
  <c r="B45" i="200"/>
  <c r="C44" i="200"/>
  <c r="B44" i="200"/>
  <c r="C43" i="200"/>
  <c r="B43" i="200"/>
  <c r="B42" i="200"/>
  <c r="C41" i="200"/>
  <c r="B41" i="200"/>
  <c r="C40" i="200"/>
  <c r="B40" i="200"/>
  <c r="C39" i="200"/>
  <c r="B39" i="200"/>
  <c r="B38" i="200"/>
  <c r="C37" i="200"/>
  <c r="B37" i="200"/>
  <c r="C36" i="200"/>
  <c r="B36" i="200"/>
  <c r="C35" i="200"/>
  <c r="B35" i="200"/>
  <c r="B34" i="200"/>
  <c r="C33" i="200"/>
  <c r="B33" i="200"/>
  <c r="C32" i="200"/>
  <c r="B32" i="200"/>
  <c r="C31" i="200"/>
  <c r="B31" i="200"/>
  <c r="B30" i="200"/>
  <c r="C29" i="200"/>
  <c r="B29" i="200"/>
  <c r="C28" i="200"/>
  <c r="B28" i="200"/>
  <c r="C27" i="200"/>
  <c r="B27" i="200"/>
  <c r="B26" i="200"/>
  <c r="C25" i="200"/>
  <c r="B25" i="200"/>
  <c r="C24" i="200"/>
  <c r="B24" i="200"/>
  <c r="C23" i="200"/>
  <c r="B23" i="200"/>
  <c r="B22" i="200"/>
  <c r="C21" i="200"/>
  <c r="B21" i="200"/>
  <c r="C20" i="200"/>
  <c r="B20" i="200"/>
  <c r="C19" i="200"/>
  <c r="B19" i="200"/>
  <c r="B18" i="200"/>
  <c r="C17" i="200"/>
  <c r="B17" i="200"/>
  <c r="C16" i="200"/>
  <c r="B16" i="200"/>
  <c r="C15" i="200"/>
  <c r="B15" i="200"/>
  <c r="B14" i="200"/>
  <c r="C13" i="200"/>
  <c r="B13" i="200"/>
  <c r="C12" i="200"/>
  <c r="B12" i="200"/>
  <c r="C11" i="200"/>
  <c r="B11" i="200"/>
  <c r="B10" i="200"/>
  <c r="C9" i="200"/>
  <c r="B9" i="200"/>
  <c r="C8" i="200"/>
  <c r="B8" i="200"/>
  <c r="C7" i="200"/>
  <c r="B7" i="200"/>
  <c r="B6" i="200"/>
  <c r="C5" i="200"/>
  <c r="B5" i="200"/>
  <c r="F4" i="200"/>
  <c r="E4" i="200" s="1"/>
  <c r="D4" i="200" s="1"/>
  <c r="C4" i="200"/>
  <c r="B4" i="200"/>
  <c r="H2" i="200"/>
  <c r="C72" i="200" s="1"/>
  <c r="L1" i="200"/>
  <c r="C104" i="200" s="1"/>
  <c r="D1" i="200"/>
  <c r="C52" i="200" s="1"/>
  <c r="B87" i="199"/>
  <c r="C86" i="199"/>
  <c r="B86" i="199"/>
  <c r="B85" i="199"/>
  <c r="C84" i="199"/>
  <c r="B84" i="199"/>
  <c r="B83" i="199"/>
  <c r="B82" i="199"/>
  <c r="B81" i="199"/>
  <c r="B80" i="199"/>
  <c r="C79" i="199"/>
  <c r="B79" i="199"/>
  <c r="B78" i="199"/>
  <c r="B77" i="199"/>
  <c r="B76" i="199"/>
  <c r="B75" i="199"/>
  <c r="C74" i="199"/>
  <c r="B74" i="199"/>
  <c r="B73" i="199"/>
  <c r="B72" i="199"/>
  <c r="B71" i="199"/>
  <c r="B70" i="199"/>
  <c r="B69" i="199"/>
  <c r="B68" i="199"/>
  <c r="B67" i="199"/>
  <c r="B66" i="199"/>
  <c r="B65" i="199"/>
  <c r="B64" i="199"/>
  <c r="B63" i="199"/>
  <c r="B62" i="199"/>
  <c r="B61" i="199"/>
  <c r="B60" i="199"/>
  <c r="B59" i="199"/>
  <c r="B58" i="199"/>
  <c r="B57" i="199"/>
  <c r="C56" i="199"/>
  <c r="B56" i="199"/>
  <c r="B55" i="199"/>
  <c r="B54" i="199"/>
  <c r="B53" i="199"/>
  <c r="C52" i="199"/>
  <c r="B52" i="199"/>
  <c r="C51" i="199"/>
  <c r="B51" i="199"/>
  <c r="B50" i="199"/>
  <c r="B49" i="199"/>
  <c r="C48" i="199"/>
  <c r="B48" i="199"/>
  <c r="C47" i="199"/>
  <c r="B47" i="199"/>
  <c r="F46" i="199"/>
  <c r="E46" i="199" s="1"/>
  <c r="C46" i="199"/>
  <c r="D46" i="199" s="1"/>
  <c r="B46" i="199"/>
  <c r="B45" i="199"/>
  <c r="B44" i="199"/>
  <c r="C43" i="199"/>
  <c r="B43" i="199"/>
  <c r="B42" i="199"/>
  <c r="B41" i="199"/>
  <c r="B40" i="199"/>
  <c r="C39" i="199"/>
  <c r="B39" i="199"/>
  <c r="B38" i="199"/>
  <c r="B37" i="199"/>
  <c r="B36" i="199"/>
  <c r="B35" i="199"/>
  <c r="C34" i="199"/>
  <c r="B34" i="199"/>
  <c r="B33" i="199"/>
  <c r="B32" i="199"/>
  <c r="B31" i="199"/>
  <c r="C30" i="199"/>
  <c r="B30" i="199"/>
  <c r="C29" i="199"/>
  <c r="B29" i="199"/>
  <c r="B28" i="199"/>
  <c r="B27" i="199"/>
  <c r="C26" i="199"/>
  <c r="B26" i="199"/>
  <c r="C25" i="199"/>
  <c r="B25" i="199"/>
  <c r="C24" i="199"/>
  <c r="B24" i="199"/>
  <c r="B23" i="199"/>
  <c r="B22" i="199"/>
  <c r="C21" i="199"/>
  <c r="B21" i="199"/>
  <c r="C20" i="199"/>
  <c r="B20" i="199"/>
  <c r="B19" i="199"/>
  <c r="B18" i="199"/>
  <c r="C17" i="199"/>
  <c r="B17" i="199"/>
  <c r="C16" i="199"/>
  <c r="B16" i="199"/>
  <c r="C15" i="199"/>
  <c r="B15" i="199"/>
  <c r="B14" i="199"/>
  <c r="C13" i="199"/>
  <c r="B13" i="199"/>
  <c r="C12" i="199"/>
  <c r="B12" i="199"/>
  <c r="C11" i="199"/>
  <c r="B11" i="199"/>
  <c r="B10" i="199"/>
  <c r="C9" i="199"/>
  <c r="B9" i="199"/>
  <c r="C8" i="199"/>
  <c r="B8" i="199"/>
  <c r="C7" i="199"/>
  <c r="B7" i="199"/>
  <c r="B6" i="199"/>
  <c r="C5" i="199"/>
  <c r="B5" i="199"/>
  <c r="F4" i="199"/>
  <c r="C4" i="199"/>
  <c r="B4" i="199"/>
  <c r="H2" i="199"/>
  <c r="C71" i="199" s="1"/>
  <c r="L1" i="199"/>
  <c r="C82" i="199" s="1"/>
  <c r="D1" i="199"/>
  <c r="C58" i="199" s="1"/>
  <c r="B88" i="198"/>
  <c r="B87" i="198"/>
  <c r="B86" i="198"/>
  <c r="C85" i="198"/>
  <c r="B85" i="198"/>
  <c r="B84" i="198"/>
  <c r="B83" i="198"/>
  <c r="B82" i="198"/>
  <c r="C81" i="198"/>
  <c r="B81" i="198"/>
  <c r="B80" i="198"/>
  <c r="B79" i="198"/>
  <c r="B78" i="198"/>
  <c r="C77" i="198"/>
  <c r="B77" i="198"/>
  <c r="B76" i="198"/>
  <c r="B75" i="198"/>
  <c r="B74" i="198"/>
  <c r="C73" i="198"/>
  <c r="B73" i="198"/>
  <c r="B72" i="198"/>
  <c r="B71" i="198"/>
  <c r="B70" i="198"/>
  <c r="C69" i="198"/>
  <c r="B69" i="198"/>
  <c r="B68" i="198"/>
  <c r="B67" i="198"/>
  <c r="B66" i="198"/>
  <c r="C65" i="198"/>
  <c r="B65" i="198"/>
  <c r="B64" i="198"/>
  <c r="B63" i="198"/>
  <c r="B62" i="198"/>
  <c r="C61" i="198"/>
  <c r="B61" i="198"/>
  <c r="B60" i="198"/>
  <c r="B59" i="198"/>
  <c r="B58" i="198"/>
  <c r="C57" i="198"/>
  <c r="B56" i="198"/>
  <c r="B55" i="198"/>
  <c r="B54" i="198"/>
  <c r="C53" i="198"/>
  <c r="B53" i="198"/>
  <c r="B52" i="198"/>
  <c r="B51" i="198"/>
  <c r="B50" i="198"/>
  <c r="C49" i="198"/>
  <c r="B49" i="198"/>
  <c r="B48" i="198"/>
  <c r="B46" i="198"/>
  <c r="B45" i="198"/>
  <c r="B44" i="198"/>
  <c r="C43" i="198"/>
  <c r="B43" i="198"/>
  <c r="B42" i="198"/>
  <c r="B41" i="198"/>
  <c r="B40" i="198"/>
  <c r="C39" i="198"/>
  <c r="B39" i="198"/>
  <c r="B38" i="198"/>
  <c r="B37" i="198"/>
  <c r="B36" i="198"/>
  <c r="C35" i="198"/>
  <c r="B35" i="198"/>
  <c r="B34" i="198"/>
  <c r="B33" i="198"/>
  <c r="B32" i="198"/>
  <c r="C31" i="198"/>
  <c r="B31" i="198"/>
  <c r="B30" i="198"/>
  <c r="B29" i="198"/>
  <c r="B28" i="198"/>
  <c r="C27" i="198"/>
  <c r="B27" i="198"/>
  <c r="B26" i="198"/>
  <c r="B25" i="198"/>
  <c r="C24" i="198"/>
  <c r="B24" i="198"/>
  <c r="C23" i="198"/>
  <c r="B23" i="198"/>
  <c r="B22" i="198"/>
  <c r="B21" i="198"/>
  <c r="C20" i="198"/>
  <c r="B20" i="198"/>
  <c r="C19" i="198"/>
  <c r="B19" i="198"/>
  <c r="B18" i="198"/>
  <c r="B17" i="198"/>
  <c r="C16" i="198"/>
  <c r="B16" i="198"/>
  <c r="C15" i="198"/>
  <c r="B15" i="198"/>
  <c r="B57" i="198" s="1"/>
  <c r="B14" i="198"/>
  <c r="B13" i="198"/>
  <c r="C12" i="198"/>
  <c r="B12" i="198"/>
  <c r="C11" i="198"/>
  <c r="B11" i="198"/>
  <c r="B10" i="198"/>
  <c r="B9" i="198"/>
  <c r="C8" i="198"/>
  <c r="B8" i="198"/>
  <c r="C7" i="198"/>
  <c r="B7" i="198"/>
  <c r="B6" i="198"/>
  <c r="F5" i="198"/>
  <c r="F47" i="198" s="1"/>
  <c r="B5" i="198"/>
  <c r="E5" i="198" s="1"/>
  <c r="E47" i="198" s="1"/>
  <c r="B4" i="198"/>
  <c r="J2" i="198"/>
  <c r="C86" i="198" s="1"/>
  <c r="F1" i="198"/>
  <c r="C70" i="198" s="1"/>
  <c r="D1" i="198"/>
  <c r="C46" i="198" s="1"/>
  <c r="D46" i="198" s="1"/>
  <c r="C5" i="198" l="1"/>
  <c r="C9" i="198"/>
  <c r="C13" i="198"/>
  <c r="C17" i="198"/>
  <c r="C21" i="198"/>
  <c r="C25" i="198"/>
  <c r="C29" i="198"/>
  <c r="C33" i="198"/>
  <c r="C37" i="198"/>
  <c r="C41" i="198"/>
  <c r="C45" i="198"/>
  <c r="C27" i="199"/>
  <c r="C37" i="199"/>
  <c r="C42" i="199"/>
  <c r="C54" i="199"/>
  <c r="C59" i="199"/>
  <c r="C64" i="199"/>
  <c r="C48" i="198"/>
  <c r="C52" i="198"/>
  <c r="C56" i="198"/>
  <c r="C60" i="198"/>
  <c r="C64" i="198"/>
  <c r="C68" i="198"/>
  <c r="C72" i="198"/>
  <c r="C76" i="198"/>
  <c r="C80" i="198"/>
  <c r="C84" i="198"/>
  <c r="C88" i="198"/>
  <c r="D88" i="198" s="1"/>
  <c r="C66" i="199"/>
  <c r="C76" i="199"/>
  <c r="C28" i="198"/>
  <c r="C32" i="198"/>
  <c r="C36" i="198"/>
  <c r="C40" i="198"/>
  <c r="C44" i="198"/>
  <c r="B47" i="198"/>
  <c r="C78" i="199"/>
  <c r="C83" i="199"/>
  <c r="C69" i="199"/>
  <c r="C65" i="199"/>
  <c r="C51" i="198"/>
  <c r="C55" i="198"/>
  <c r="C59" i="198"/>
  <c r="C63" i="198"/>
  <c r="C67" i="198"/>
  <c r="C71" i="198"/>
  <c r="C75" i="198"/>
  <c r="C79" i="198"/>
  <c r="C83" i="198"/>
  <c r="C87" i="198"/>
  <c r="E4" i="199"/>
  <c r="D4" i="199" s="1"/>
  <c r="G4" i="199" s="1"/>
  <c r="F5" i="199" s="1"/>
  <c r="C19" i="199"/>
  <c r="C23" i="199"/>
  <c r="C31" i="199"/>
  <c r="C41" i="199"/>
  <c r="C63" i="199"/>
  <c r="C68" i="199"/>
  <c r="C70" i="199"/>
  <c r="C75" i="199"/>
  <c r="C80" i="199"/>
  <c r="C50" i="198"/>
  <c r="C54" i="198"/>
  <c r="C58" i="198"/>
  <c r="C62" i="198"/>
  <c r="C66" i="198"/>
  <c r="C74" i="198"/>
  <c r="C78" i="198"/>
  <c r="C82" i="198"/>
  <c r="C44" i="199"/>
  <c r="C40" i="199"/>
  <c r="C36" i="199"/>
  <c r="C32" i="199"/>
  <c r="C28" i="199"/>
  <c r="C61" i="199"/>
  <c r="C57" i="199"/>
  <c r="C53" i="199"/>
  <c r="C49" i="199"/>
  <c r="C6" i="199"/>
  <c r="C10" i="199"/>
  <c r="C14" i="199"/>
  <c r="C18" i="199"/>
  <c r="C22" i="199"/>
  <c r="C33" i="199"/>
  <c r="C38" i="199"/>
  <c r="G46" i="199"/>
  <c r="F47" i="199" s="1"/>
  <c r="C50" i="199"/>
  <c r="C55" i="199"/>
  <c r="C60" i="199"/>
  <c r="C76" i="202"/>
  <c r="C72" i="202"/>
  <c r="C68" i="202"/>
  <c r="C74" i="202"/>
  <c r="C70" i="202"/>
  <c r="C75" i="202"/>
  <c r="C77" i="202"/>
  <c r="C69" i="202"/>
  <c r="C57" i="202"/>
  <c r="C6" i="198"/>
  <c r="C10" i="198"/>
  <c r="C14" i="198"/>
  <c r="C18" i="198"/>
  <c r="C22" i="198"/>
  <c r="C26" i="198"/>
  <c r="C30" i="198"/>
  <c r="C34" i="198"/>
  <c r="C38" i="198"/>
  <c r="C42" i="198"/>
  <c r="C87" i="199"/>
  <c r="D87" i="199" s="1"/>
  <c r="C85" i="199"/>
  <c r="C81" i="199"/>
  <c r="C77" i="199"/>
  <c r="C73" i="199"/>
  <c r="C35" i="199"/>
  <c r="C45" i="199"/>
  <c r="D45" i="199" s="1"/>
  <c r="C62" i="199"/>
  <c r="C67" i="199"/>
  <c r="C72" i="199"/>
  <c r="G4" i="200"/>
  <c r="F5" i="200" s="1"/>
  <c r="C104" i="202"/>
  <c r="C100" i="202"/>
  <c r="C96" i="202"/>
  <c r="C92" i="202"/>
  <c r="C88" i="202"/>
  <c r="C84" i="202"/>
  <c r="C80" i="202"/>
  <c r="C105" i="202"/>
  <c r="C101" i="202"/>
  <c r="C97" i="202"/>
  <c r="C93" i="202"/>
  <c r="C89" i="202"/>
  <c r="C106" i="202"/>
  <c r="C102" i="202"/>
  <c r="C98" i="202"/>
  <c r="C94" i="202"/>
  <c r="C90" i="202"/>
  <c r="C86" i="202"/>
  <c r="C82" i="202"/>
  <c r="C78" i="202"/>
  <c r="C6" i="200"/>
  <c r="C10" i="200"/>
  <c r="C14" i="200"/>
  <c r="C18" i="200"/>
  <c r="C22" i="200"/>
  <c r="C26" i="200"/>
  <c r="C30" i="200"/>
  <c r="C34" i="200"/>
  <c r="C38" i="200"/>
  <c r="C42" i="200"/>
  <c r="C49" i="202"/>
  <c r="C55" i="202"/>
  <c r="C58" i="202"/>
  <c r="C91" i="202"/>
  <c r="C101" i="204"/>
  <c r="C97" i="204"/>
  <c r="C93" i="204"/>
  <c r="C89" i="204"/>
  <c r="C85" i="204"/>
  <c r="C100" i="204"/>
  <c r="C95" i="204"/>
  <c r="C90" i="204"/>
  <c r="C88" i="204"/>
  <c r="C103" i="204"/>
  <c r="C98" i="204"/>
  <c r="C83" i="204"/>
  <c r="C96" i="204"/>
  <c r="C91" i="204"/>
  <c r="C86" i="204"/>
  <c r="C80" i="204"/>
  <c r="C99" i="204"/>
  <c r="C102" i="204"/>
  <c r="C92" i="204"/>
  <c r="C82" i="204"/>
  <c r="C78" i="204"/>
  <c r="C94" i="204"/>
  <c r="C84" i="204"/>
  <c r="C87" i="204"/>
  <c r="C81" i="204"/>
  <c r="C79" i="204"/>
  <c r="E46" i="200"/>
  <c r="D46" i="200" s="1"/>
  <c r="G46" i="200" s="1"/>
  <c r="F47" i="200" s="1"/>
  <c r="C49" i="200"/>
  <c r="C53" i="200"/>
  <c r="C57" i="200"/>
  <c r="C61" i="200"/>
  <c r="C65" i="200"/>
  <c r="C69" i="200"/>
  <c r="C73" i="200"/>
  <c r="C77" i="200"/>
  <c r="C81" i="200"/>
  <c r="C85" i="200"/>
  <c r="C89" i="200"/>
  <c r="C93" i="200"/>
  <c r="C97" i="200"/>
  <c r="C101" i="200"/>
  <c r="C105" i="200"/>
  <c r="C33" i="202"/>
  <c r="C37" i="202"/>
  <c r="C41" i="202"/>
  <c r="C45" i="202"/>
  <c r="C85" i="202"/>
  <c r="C95" i="202"/>
  <c r="D5" i="206"/>
  <c r="G5" i="206" s="1"/>
  <c r="F6" i="206" s="1"/>
  <c r="D5" i="202"/>
  <c r="C67" i="202"/>
  <c r="C99" i="202"/>
  <c r="C48" i="200"/>
  <c r="C56" i="200"/>
  <c r="C60" i="200"/>
  <c r="C64" i="200"/>
  <c r="C68" i="200"/>
  <c r="C76" i="200"/>
  <c r="C80" i="200"/>
  <c r="C84" i="200"/>
  <c r="C88" i="200"/>
  <c r="C92" i="200"/>
  <c r="C96" i="200"/>
  <c r="C100" i="200"/>
  <c r="C56" i="202"/>
  <c r="C52" i="202"/>
  <c r="C8" i="202"/>
  <c r="C12" i="202"/>
  <c r="C16" i="202"/>
  <c r="C20" i="202"/>
  <c r="C24" i="202"/>
  <c r="C28" i="202"/>
  <c r="C32" i="202"/>
  <c r="C36" i="202"/>
  <c r="C40" i="202"/>
  <c r="C44" i="202"/>
  <c r="C51" i="202"/>
  <c r="C54" i="202"/>
  <c r="C83" i="202"/>
  <c r="C103" i="202"/>
  <c r="C64" i="202"/>
  <c r="C60" i="202"/>
  <c r="C66" i="202"/>
  <c r="C62" i="202"/>
  <c r="C63" i="202"/>
  <c r="C107" i="202"/>
  <c r="D107" i="202" s="1"/>
  <c r="C92" i="208"/>
  <c r="D92" i="208" s="1"/>
  <c r="C88" i="208"/>
  <c r="C84" i="208"/>
  <c r="C80" i="208"/>
  <c r="C76" i="208"/>
  <c r="C72" i="208"/>
  <c r="C68" i="208"/>
  <c r="C64" i="208"/>
  <c r="C90" i="208"/>
  <c r="C79" i="208"/>
  <c r="C74" i="208"/>
  <c r="C69" i="208"/>
  <c r="C86" i="208"/>
  <c r="C82" i="208"/>
  <c r="C77" i="208"/>
  <c r="C91" i="208"/>
  <c r="C75" i="208"/>
  <c r="C70" i="208"/>
  <c r="C65" i="208"/>
  <c r="C62" i="208"/>
  <c r="C58" i="208"/>
  <c r="C71" i="208"/>
  <c r="C66" i="208"/>
  <c r="C56" i="208"/>
  <c r="C54" i="208"/>
  <c r="C87" i="208"/>
  <c r="C73" i="208"/>
  <c r="C63" i="208"/>
  <c r="C61" i="208"/>
  <c r="C81" i="208"/>
  <c r="C78" i="208"/>
  <c r="C59" i="208"/>
  <c r="C57" i="208"/>
  <c r="C89" i="208"/>
  <c r="C83" i="208"/>
  <c r="C67" i="208"/>
  <c r="C55" i="208"/>
  <c r="C85" i="208"/>
  <c r="C60" i="208"/>
  <c r="C49" i="204"/>
  <c r="C54" i="204"/>
  <c r="C59" i="204"/>
  <c r="C52" i="206"/>
  <c r="D52" i="206" s="1"/>
  <c r="C48" i="206"/>
  <c r="C44" i="206"/>
  <c r="C40" i="206"/>
  <c r="C36" i="206"/>
  <c r="C32" i="206"/>
  <c r="C28" i="206"/>
  <c r="C24" i="206"/>
  <c r="C20" i="206"/>
  <c r="C16" i="206"/>
  <c r="C12" i="206"/>
  <c r="C8" i="206"/>
  <c r="C39" i="206"/>
  <c r="C34" i="206"/>
  <c r="C29" i="206"/>
  <c r="C49" i="206"/>
  <c r="C27" i="206"/>
  <c r="C22" i="206"/>
  <c r="C17" i="206"/>
  <c r="C51" i="206"/>
  <c r="C30" i="206"/>
  <c r="C26" i="206"/>
  <c r="C15" i="206"/>
  <c r="C13" i="206"/>
  <c r="C11" i="206"/>
  <c r="C6" i="206"/>
  <c r="C42" i="206"/>
  <c r="C19" i="206"/>
  <c r="C46" i="206"/>
  <c r="C38" i="206"/>
  <c r="C25" i="206"/>
  <c r="C23" i="206"/>
  <c r="C21" i="206"/>
  <c r="C9" i="206"/>
  <c r="C50" i="206"/>
  <c r="C7" i="206"/>
  <c r="C47" i="206"/>
  <c r="C5" i="204"/>
  <c r="C9" i="204"/>
  <c r="C13" i="204"/>
  <c r="C17" i="204"/>
  <c r="C21" i="204"/>
  <c r="C25" i="204"/>
  <c r="C29" i="204"/>
  <c r="C33" i="204"/>
  <c r="C37" i="204"/>
  <c r="C41" i="204"/>
  <c r="C45" i="204"/>
  <c r="C61" i="204"/>
  <c r="C66" i="204"/>
  <c r="C71" i="204"/>
  <c r="C33" i="206"/>
  <c r="C37" i="206"/>
  <c r="C41" i="206"/>
  <c r="C48" i="204"/>
  <c r="C73" i="204"/>
  <c r="C10" i="206"/>
  <c r="C18" i="206"/>
  <c r="C56" i="204"/>
  <c r="C52" i="204"/>
  <c r="C8" i="204"/>
  <c r="C12" i="204"/>
  <c r="C16" i="204"/>
  <c r="C20" i="204"/>
  <c r="C24" i="204"/>
  <c r="C28" i="204"/>
  <c r="C32" i="204"/>
  <c r="C36" i="204"/>
  <c r="C40" i="204"/>
  <c r="C44" i="204"/>
  <c r="C53" i="204"/>
  <c r="C58" i="204"/>
  <c r="C64" i="204"/>
  <c r="C60" i="204"/>
  <c r="C65" i="204"/>
  <c r="C70" i="204"/>
  <c r="E5" i="206"/>
  <c r="E4" i="207"/>
  <c r="G4" i="207"/>
  <c r="F5" i="207" s="1"/>
  <c r="C76" i="204"/>
  <c r="C72" i="204"/>
  <c r="C68" i="204"/>
  <c r="C7" i="204"/>
  <c r="C11" i="204"/>
  <c r="C15" i="204"/>
  <c r="C19" i="204"/>
  <c r="C23" i="204"/>
  <c r="C27" i="204"/>
  <c r="C31" i="204"/>
  <c r="C35" i="204"/>
  <c r="C39" i="204"/>
  <c r="C43" i="204"/>
  <c r="C50" i="204"/>
  <c r="C55" i="204"/>
  <c r="C77" i="204"/>
  <c r="C55" i="207"/>
  <c r="C59" i="207"/>
  <c r="C68" i="207"/>
  <c r="C89" i="207"/>
  <c r="C85" i="207"/>
  <c r="C81" i="207"/>
  <c r="C77" i="207"/>
  <c r="C73" i="207"/>
  <c r="C69" i="207"/>
  <c r="C65" i="207"/>
  <c r="C61" i="207"/>
  <c r="C57" i="207"/>
  <c r="C53" i="207"/>
  <c r="C90" i="207"/>
  <c r="C86" i="207"/>
  <c r="C82" i="207"/>
  <c r="C78" i="207"/>
  <c r="C74" i="207"/>
  <c r="C70" i="207"/>
  <c r="C66" i="207"/>
  <c r="C62" i="207"/>
  <c r="C58" i="207"/>
  <c r="C54" i="207"/>
  <c r="C56" i="207"/>
  <c r="C60" i="207"/>
  <c r="C71" i="207"/>
  <c r="C87" i="207"/>
  <c r="C76" i="207"/>
  <c r="C92" i="207"/>
  <c r="D92" i="207" s="1"/>
  <c r="D5" i="208"/>
  <c r="G5" i="208" s="1"/>
  <c r="F6" i="208" s="1"/>
  <c r="C7" i="207"/>
  <c r="C11" i="207"/>
  <c r="C15" i="207"/>
  <c r="C19" i="207"/>
  <c r="C23" i="207"/>
  <c r="C27" i="207"/>
  <c r="C31" i="207"/>
  <c r="C35" i="207"/>
  <c r="C39" i="207"/>
  <c r="C43" i="207"/>
  <c r="C47" i="207"/>
  <c r="C49" i="209"/>
  <c r="C45" i="209"/>
  <c r="C52" i="209"/>
  <c r="D52" i="209" s="1"/>
  <c r="C50" i="209"/>
  <c r="C42" i="209"/>
  <c r="C38" i="209"/>
  <c r="C34" i="209"/>
  <c r="C30" i="209"/>
  <c r="C26" i="209"/>
  <c r="C22" i="209"/>
  <c r="C18" i="209"/>
  <c r="C14" i="209"/>
  <c r="C10" i="209"/>
  <c r="C6" i="209"/>
  <c r="C39" i="209"/>
  <c r="C35" i="209"/>
  <c r="C31" i="209"/>
  <c r="C27" i="209"/>
  <c r="C23" i="209"/>
  <c r="C19" i="209"/>
  <c r="C15" i="209"/>
  <c r="C11" i="209"/>
  <c r="C7" i="209"/>
  <c r="C48" i="209"/>
  <c r="C46" i="209"/>
  <c r="C43" i="209"/>
  <c r="C41" i="209"/>
  <c r="C36" i="209"/>
  <c r="C25" i="209"/>
  <c r="C20" i="209"/>
  <c r="C9" i="209"/>
  <c r="C51" i="209"/>
  <c r="C40" i="209"/>
  <c r="C29" i="209"/>
  <c r="C24" i="209"/>
  <c r="C13" i="209"/>
  <c r="C8" i="209"/>
  <c r="C49" i="208"/>
  <c r="C45" i="208"/>
  <c r="C41" i="208"/>
  <c r="C37" i="208"/>
  <c r="C33" i="208"/>
  <c r="C29" i="208"/>
  <c r="C25" i="208"/>
  <c r="C21" i="208"/>
  <c r="C17" i="208"/>
  <c r="C13" i="208"/>
  <c r="C9" i="208"/>
  <c r="C50" i="208"/>
  <c r="C46" i="208"/>
  <c r="C42" i="208"/>
  <c r="C38" i="208"/>
  <c r="C34" i="208"/>
  <c r="C30" i="208"/>
  <c r="C26" i="208"/>
  <c r="C22" i="208"/>
  <c r="C18" i="208"/>
  <c r="C16" i="208"/>
  <c r="C23" i="208"/>
  <c r="C32" i="208"/>
  <c r="C39" i="208"/>
  <c r="C48" i="208"/>
  <c r="C89" i="209"/>
  <c r="C85" i="209"/>
  <c r="C81" i="209"/>
  <c r="C77" i="209"/>
  <c r="C73" i="209"/>
  <c r="C69" i="209"/>
  <c r="C65" i="209"/>
  <c r="C61" i="209"/>
  <c r="C57" i="209"/>
  <c r="C53" i="209"/>
  <c r="C83" i="209"/>
  <c r="C67" i="209"/>
  <c r="C87" i="209"/>
  <c r="C74" i="209"/>
  <c r="C63" i="209"/>
  <c r="C91" i="209"/>
  <c r="C78" i="209"/>
  <c r="C70" i="209"/>
  <c r="C59" i="209"/>
  <c r="C82" i="209"/>
  <c r="C76" i="209"/>
  <c r="C72" i="209"/>
  <c r="C66" i="209"/>
  <c r="C55" i="209"/>
  <c r="C84" i="209"/>
  <c r="C58" i="209"/>
  <c r="C90" i="209"/>
  <c r="C80" i="209"/>
  <c r="C64" i="209"/>
  <c r="C86" i="209"/>
  <c r="C79" i="209"/>
  <c r="C60" i="209"/>
  <c r="C54" i="209"/>
  <c r="C12" i="209"/>
  <c r="C16" i="209"/>
  <c r="C54" i="206"/>
  <c r="C58" i="206"/>
  <c r="C62" i="206"/>
  <c r="C66" i="206"/>
  <c r="C70" i="206"/>
  <c r="C74" i="206"/>
  <c r="C78" i="206"/>
  <c r="C82" i="206"/>
  <c r="C86" i="206"/>
  <c r="C20" i="208"/>
  <c r="C27" i="208"/>
  <c r="C36" i="208"/>
  <c r="C43" i="208"/>
  <c r="C52" i="208"/>
  <c r="D52" i="208" s="1"/>
  <c r="C17" i="209"/>
  <c r="C21" i="209"/>
  <c r="C75" i="209"/>
  <c r="C56" i="209"/>
  <c r="C71" i="209"/>
  <c r="C14" i="210"/>
  <c r="C51" i="210"/>
  <c r="C47" i="210"/>
  <c r="C43" i="210"/>
  <c r="C39" i="210"/>
  <c r="C35" i="210"/>
  <c r="C31" i="210"/>
  <c r="C27" i="210"/>
  <c r="C23" i="210"/>
  <c r="C19" i="210"/>
  <c r="C15" i="210"/>
  <c r="C11" i="210"/>
  <c r="C7" i="210"/>
  <c r="C52" i="210"/>
  <c r="D52" i="210" s="1"/>
  <c r="C48" i="210"/>
  <c r="C44" i="210"/>
  <c r="C40" i="210"/>
  <c r="C36" i="210"/>
  <c r="C32" i="210"/>
  <c r="C28" i="210"/>
  <c r="C24" i="210"/>
  <c r="C20" i="210"/>
  <c r="C16" i="210"/>
  <c r="C12" i="210"/>
  <c r="C8" i="210"/>
  <c r="C49" i="210"/>
  <c r="C45" i="210"/>
  <c r="C41" i="210"/>
  <c r="C37" i="210"/>
  <c r="C33" i="210"/>
  <c r="C29" i="210"/>
  <c r="C25" i="210"/>
  <c r="C21" i="210"/>
  <c r="C17" i="210"/>
  <c r="C13" i="210"/>
  <c r="C9" i="210"/>
  <c r="C5" i="210"/>
  <c r="C42" i="210"/>
  <c r="C10" i="210"/>
  <c r="C30" i="210"/>
  <c r="C18" i="210"/>
  <c r="C50" i="210"/>
  <c r="C38" i="210"/>
  <c r="G4" i="209"/>
  <c r="F5" i="209" s="1"/>
  <c r="E4" i="209"/>
  <c r="C46" i="210"/>
  <c r="E5" i="211"/>
  <c r="G4" i="210"/>
  <c r="F5" i="210" s="1"/>
  <c r="C56" i="211"/>
  <c r="C64" i="210"/>
  <c r="C72" i="210"/>
  <c r="C83" i="210"/>
  <c r="C69" i="210"/>
  <c r="C74" i="210"/>
  <c r="C77" i="210"/>
  <c r="C92" i="210"/>
  <c r="D92" i="210" s="1"/>
  <c r="C89" i="210"/>
  <c r="C85" i="210"/>
  <c r="C81" i="210"/>
  <c r="C60" i="210"/>
  <c r="C63" i="210"/>
  <c r="C71" i="210"/>
  <c r="C90" i="210"/>
  <c r="C50" i="211"/>
  <c r="C46" i="211"/>
  <c r="C42" i="211"/>
  <c r="C38" i="211"/>
  <c r="C34" i="211"/>
  <c r="C30" i="211"/>
  <c r="C26" i="211"/>
  <c r="C22" i="211"/>
  <c r="C18" i="211"/>
  <c r="C14" i="211"/>
  <c r="C10" i="211"/>
  <c r="C6" i="211"/>
  <c r="C51" i="211"/>
  <c r="C47" i="211"/>
  <c r="C43" i="211"/>
  <c r="C39" i="211"/>
  <c r="C35" i="211"/>
  <c r="C31" i="211"/>
  <c r="C27" i="211"/>
  <c r="C23" i="211"/>
  <c r="C19" i="211"/>
  <c r="C15" i="211"/>
  <c r="C11" i="211"/>
  <c r="C7" i="211"/>
  <c r="C52" i="211"/>
  <c r="D52" i="211" s="1"/>
  <c r="C48" i="211"/>
  <c r="C44" i="211"/>
  <c r="C40" i="211"/>
  <c r="C36" i="211"/>
  <c r="C32" i="211"/>
  <c r="C49" i="211"/>
  <c r="C45" i="211"/>
  <c r="C41" i="211"/>
  <c r="C37" i="211"/>
  <c r="C33" i="211"/>
  <c r="C29" i="211"/>
  <c r="C25" i="211"/>
  <c r="C21" i="211"/>
  <c r="C17" i="211"/>
  <c r="C13" i="211"/>
  <c r="C9" i="211"/>
  <c r="C5" i="211"/>
  <c r="D5" i="211" s="1"/>
  <c r="G5" i="211" s="1"/>
  <c r="F6" i="211" s="1"/>
  <c r="C86" i="210"/>
  <c r="C88" i="210"/>
  <c r="C91" i="211"/>
  <c r="C87" i="211"/>
  <c r="C83" i="211"/>
  <c r="C79" i="211"/>
  <c r="C75" i="211"/>
  <c r="C71" i="211"/>
  <c r="C67" i="211"/>
  <c r="C63" i="211"/>
  <c r="C59" i="211"/>
  <c r="C92" i="211"/>
  <c r="D92" i="211" s="1"/>
  <c r="C88" i="211"/>
  <c r="C84" i="211"/>
  <c r="C80" i="211"/>
  <c r="C76" i="211"/>
  <c r="C72" i="211"/>
  <c r="C68" i="211"/>
  <c r="C64" i="211"/>
  <c r="C60" i="211"/>
  <c r="C89" i="211"/>
  <c r="C85" i="211"/>
  <c r="C81" i="211"/>
  <c r="C77" i="211"/>
  <c r="C73" i="211"/>
  <c r="C69" i="211"/>
  <c r="C65" i="211"/>
  <c r="C61" i="211"/>
  <c r="C57" i="211"/>
  <c r="C90" i="211"/>
  <c r="C86" i="211"/>
  <c r="C82" i="211"/>
  <c r="C78" i="211"/>
  <c r="C74" i="211"/>
  <c r="C70" i="211"/>
  <c r="C66" i="211"/>
  <c r="C62" i="211"/>
  <c r="C58" i="211"/>
  <c r="C12" i="211"/>
  <c r="C59" i="210"/>
  <c r="C62" i="210"/>
  <c r="C68" i="210"/>
  <c r="C76" i="210"/>
  <c r="C82" i="210"/>
  <c r="C84" i="210"/>
  <c r="C24" i="211"/>
  <c r="E4" i="211"/>
  <c r="B67" i="196"/>
  <c r="C66" i="196"/>
  <c r="B66" i="196"/>
  <c r="B65" i="196"/>
  <c r="B64" i="196"/>
  <c r="B63" i="196"/>
  <c r="C62" i="196"/>
  <c r="B62" i="196"/>
  <c r="B61" i="196"/>
  <c r="B60" i="196"/>
  <c r="B59" i="196"/>
  <c r="C58" i="196"/>
  <c r="B58" i="196"/>
  <c r="B57" i="196"/>
  <c r="B56" i="196"/>
  <c r="B55" i="196"/>
  <c r="C54" i="196"/>
  <c r="B54" i="196"/>
  <c r="B53" i="196"/>
  <c r="B52" i="196"/>
  <c r="B51" i="196"/>
  <c r="C50" i="196"/>
  <c r="B50" i="196"/>
  <c r="B49" i="196"/>
  <c r="B48" i="196"/>
  <c r="B47" i="196"/>
  <c r="C46" i="196"/>
  <c r="B46" i="196"/>
  <c r="B45" i="196"/>
  <c r="B44" i="196"/>
  <c r="B43" i="196"/>
  <c r="C42" i="196"/>
  <c r="B42" i="196"/>
  <c r="B41" i="196"/>
  <c r="B40" i="196"/>
  <c r="D39" i="196"/>
  <c r="C39" i="196"/>
  <c r="B39" i="196"/>
  <c r="C38" i="196"/>
  <c r="B38" i="196"/>
  <c r="B37" i="196"/>
  <c r="B36" i="196"/>
  <c r="C35" i="196"/>
  <c r="B35" i="196"/>
  <c r="C34" i="196"/>
  <c r="B34" i="196"/>
  <c r="B33" i="196"/>
  <c r="B32" i="196"/>
  <c r="C31" i="196"/>
  <c r="B31" i="196"/>
  <c r="C30" i="196"/>
  <c r="B30" i="196"/>
  <c r="B29" i="196"/>
  <c r="B28" i="196"/>
  <c r="C27" i="196"/>
  <c r="B27" i="196"/>
  <c r="C26" i="196"/>
  <c r="B26" i="196"/>
  <c r="B25" i="196"/>
  <c r="B24" i="196"/>
  <c r="C23" i="196"/>
  <c r="B23" i="196"/>
  <c r="C22" i="196"/>
  <c r="B22" i="196"/>
  <c r="B21" i="196"/>
  <c r="B20" i="196"/>
  <c r="C19" i="196"/>
  <c r="B19" i="196"/>
  <c r="C18" i="196"/>
  <c r="B18" i="196"/>
  <c r="B17" i="196"/>
  <c r="B16" i="196"/>
  <c r="C15" i="196"/>
  <c r="B15" i="196"/>
  <c r="C14" i="196"/>
  <c r="B14" i="196"/>
  <c r="B13" i="196"/>
  <c r="B12" i="196"/>
  <c r="C11" i="196"/>
  <c r="B11" i="196"/>
  <c r="C10" i="196"/>
  <c r="B10" i="196"/>
  <c r="B9" i="196"/>
  <c r="B8" i="196"/>
  <c r="C7" i="196"/>
  <c r="B7" i="196"/>
  <c r="C6" i="196"/>
  <c r="B6" i="196"/>
  <c r="B5" i="196"/>
  <c r="E4" i="196"/>
  <c r="B4" i="196"/>
  <c r="R3" i="196"/>
  <c r="N3" i="196"/>
  <c r="M3" i="196"/>
  <c r="R2" i="196"/>
  <c r="J2" i="196"/>
  <c r="I2" i="196"/>
  <c r="F1" i="196"/>
  <c r="C65" i="196" s="1"/>
  <c r="D1" i="196"/>
  <c r="C4" i="196" s="1"/>
  <c r="C67" i="195"/>
  <c r="D67" i="195" s="1"/>
  <c r="B67" i="195"/>
  <c r="B66" i="195"/>
  <c r="B65" i="195"/>
  <c r="B64" i="195"/>
  <c r="C63" i="195"/>
  <c r="B63" i="195"/>
  <c r="B62" i="195"/>
  <c r="B61" i="195"/>
  <c r="B60" i="195"/>
  <c r="B59" i="195"/>
  <c r="B58" i="195"/>
  <c r="B57" i="195"/>
  <c r="B56" i="195"/>
  <c r="C55" i="195"/>
  <c r="B55" i="195"/>
  <c r="B54" i="195"/>
  <c r="B53" i="195"/>
  <c r="B52" i="195"/>
  <c r="B51" i="195"/>
  <c r="B50" i="195"/>
  <c r="B49" i="195"/>
  <c r="B48" i="195"/>
  <c r="B47" i="195"/>
  <c r="B46" i="195"/>
  <c r="B45" i="195"/>
  <c r="B44" i="195"/>
  <c r="B43" i="195"/>
  <c r="B42" i="195"/>
  <c r="B41" i="195"/>
  <c r="B40" i="195"/>
  <c r="B39" i="195"/>
  <c r="B38" i="195"/>
  <c r="B37" i="195"/>
  <c r="B36" i="195"/>
  <c r="C35" i="195"/>
  <c r="B35" i="195"/>
  <c r="B34" i="195"/>
  <c r="B33" i="195"/>
  <c r="B32" i="195"/>
  <c r="B31" i="195"/>
  <c r="B30" i="195"/>
  <c r="B29" i="195"/>
  <c r="B28" i="195"/>
  <c r="B27" i="195"/>
  <c r="B26" i="195"/>
  <c r="B25" i="195"/>
  <c r="B24" i="195"/>
  <c r="B23" i="195"/>
  <c r="B22" i="195"/>
  <c r="B21" i="195"/>
  <c r="B20" i="195"/>
  <c r="B19" i="195"/>
  <c r="B18" i="195"/>
  <c r="B17" i="195"/>
  <c r="C16" i="195"/>
  <c r="B16" i="195"/>
  <c r="B15" i="195"/>
  <c r="B14" i="195"/>
  <c r="B13" i="195"/>
  <c r="B12" i="195"/>
  <c r="B11" i="195"/>
  <c r="B10" i="195"/>
  <c r="B9" i="195"/>
  <c r="B8" i="195"/>
  <c r="B7" i="195"/>
  <c r="B6" i="195"/>
  <c r="B5" i="195"/>
  <c r="B4" i="195"/>
  <c r="E4" i="195" s="1"/>
  <c r="R3" i="195"/>
  <c r="N3" i="195"/>
  <c r="M3" i="195"/>
  <c r="R2" i="195"/>
  <c r="P2" i="195"/>
  <c r="C64" i="195" s="1"/>
  <c r="L2" i="195"/>
  <c r="C59" i="195" s="1"/>
  <c r="J2" i="195"/>
  <c r="I2" i="195"/>
  <c r="F1" i="195"/>
  <c r="D1" i="195"/>
  <c r="B70" i="193"/>
  <c r="C69" i="193"/>
  <c r="B69" i="193"/>
  <c r="B68" i="193"/>
  <c r="B67" i="193"/>
  <c r="C66" i="193"/>
  <c r="B66" i="193"/>
  <c r="B65" i="193"/>
  <c r="B64" i="193"/>
  <c r="B63" i="193"/>
  <c r="B62" i="193"/>
  <c r="B61" i="193"/>
  <c r="B60" i="193"/>
  <c r="C59" i="193"/>
  <c r="B59" i="193"/>
  <c r="B58" i="193"/>
  <c r="B57" i="193"/>
  <c r="B56" i="193"/>
  <c r="C55" i="193"/>
  <c r="B55" i="193"/>
  <c r="B54" i="193"/>
  <c r="B53" i="193"/>
  <c r="B52" i="193"/>
  <c r="C51" i="193"/>
  <c r="B51" i="193"/>
  <c r="B50" i="193"/>
  <c r="B49" i="193"/>
  <c r="B48" i="193"/>
  <c r="C47" i="193"/>
  <c r="B47" i="193"/>
  <c r="B46" i="193"/>
  <c r="B45" i="193"/>
  <c r="B44" i="193"/>
  <c r="C43" i="193"/>
  <c r="B43" i="193"/>
  <c r="B42" i="193"/>
  <c r="B41" i="193"/>
  <c r="B40" i="193"/>
  <c r="B39" i="193"/>
  <c r="B38" i="193"/>
  <c r="B37" i="193"/>
  <c r="C36" i="193"/>
  <c r="B36" i="193"/>
  <c r="B35" i="193"/>
  <c r="B34" i="193"/>
  <c r="B33" i="193"/>
  <c r="C32" i="193"/>
  <c r="B32" i="193"/>
  <c r="B31" i="193"/>
  <c r="B30" i="193"/>
  <c r="B29" i="193"/>
  <c r="C28" i="193"/>
  <c r="B28" i="193"/>
  <c r="B27" i="193"/>
  <c r="B26" i="193"/>
  <c r="B25" i="193"/>
  <c r="C24" i="193"/>
  <c r="B24" i="193"/>
  <c r="B23" i="193"/>
  <c r="B22" i="193"/>
  <c r="B21" i="193"/>
  <c r="C20" i="193"/>
  <c r="B20" i="193"/>
  <c r="B19" i="193"/>
  <c r="B18" i="193"/>
  <c r="B17" i="193"/>
  <c r="C16" i="193"/>
  <c r="B16" i="193"/>
  <c r="B15" i="193"/>
  <c r="B14" i="193"/>
  <c r="B13" i="193"/>
  <c r="C12" i="193"/>
  <c r="B12" i="193"/>
  <c r="B11" i="193"/>
  <c r="B10" i="193"/>
  <c r="B9" i="193"/>
  <c r="C8" i="193"/>
  <c r="B8" i="193"/>
  <c r="B7" i="193"/>
  <c r="B6" i="193"/>
  <c r="B5" i="193"/>
  <c r="C4" i="193"/>
  <c r="D4" i="193" s="1"/>
  <c r="G4" i="193" s="1"/>
  <c r="F5" i="193" s="1"/>
  <c r="B4" i="193"/>
  <c r="E4" i="193" s="1"/>
  <c r="M2" i="193"/>
  <c r="C63" i="193" s="1"/>
  <c r="J2" i="193"/>
  <c r="C56" i="193" s="1"/>
  <c r="F1" i="193"/>
  <c r="C44" i="193" s="1"/>
  <c r="D1" i="193"/>
  <c r="C40" i="193" s="1"/>
  <c r="B70" i="192"/>
  <c r="B69" i="192"/>
  <c r="B68" i="192"/>
  <c r="B67" i="192"/>
  <c r="C66" i="192"/>
  <c r="B66" i="192"/>
  <c r="B65" i="192"/>
  <c r="B64" i="192"/>
  <c r="B63" i="192"/>
  <c r="B62" i="192"/>
  <c r="B61" i="192"/>
  <c r="B60" i="192"/>
  <c r="B59" i="192"/>
  <c r="B58" i="192"/>
  <c r="B57" i="192"/>
  <c r="B56" i="192"/>
  <c r="B55" i="192"/>
  <c r="B54" i="192"/>
  <c r="B53" i="192"/>
  <c r="B52" i="192"/>
  <c r="B51" i="192"/>
  <c r="B50" i="192"/>
  <c r="B49" i="192"/>
  <c r="B48" i="192"/>
  <c r="B47" i="192"/>
  <c r="B46" i="192"/>
  <c r="B45" i="192"/>
  <c r="C44" i="192"/>
  <c r="B44" i="192"/>
  <c r="B43" i="192"/>
  <c r="B42" i="192"/>
  <c r="B41" i="192"/>
  <c r="C40" i="192"/>
  <c r="B40" i="192"/>
  <c r="B39" i="192"/>
  <c r="B38" i="192"/>
  <c r="C37" i="192"/>
  <c r="B37" i="192"/>
  <c r="B36" i="192"/>
  <c r="B35" i="192"/>
  <c r="B34" i="192"/>
  <c r="C33" i="192"/>
  <c r="B33" i="192"/>
  <c r="B32" i="192"/>
  <c r="B31" i="192"/>
  <c r="B30" i="192"/>
  <c r="C29" i="192"/>
  <c r="B29" i="192"/>
  <c r="B28" i="192"/>
  <c r="B27" i="192"/>
  <c r="B26" i="192"/>
  <c r="C25" i="192"/>
  <c r="B25" i="192"/>
  <c r="B24" i="192"/>
  <c r="B23" i="192"/>
  <c r="B22" i="192"/>
  <c r="C21" i="192"/>
  <c r="B21" i="192"/>
  <c r="B20" i="192"/>
  <c r="B19" i="192"/>
  <c r="B18" i="192"/>
  <c r="C17" i="192"/>
  <c r="B17" i="192"/>
  <c r="B16" i="192"/>
  <c r="B15" i="192"/>
  <c r="B14" i="192"/>
  <c r="C13" i="192"/>
  <c r="B13" i="192"/>
  <c r="B12" i="192"/>
  <c r="B11" i="192"/>
  <c r="B10" i="192"/>
  <c r="C9" i="192"/>
  <c r="B9" i="192"/>
  <c r="B8" i="192"/>
  <c r="B7" i="192"/>
  <c r="B6" i="192"/>
  <c r="C5" i="192"/>
  <c r="B5" i="192"/>
  <c r="E4" i="192"/>
  <c r="B4" i="192"/>
  <c r="M2" i="192"/>
  <c r="J2" i="192"/>
  <c r="F1" i="192"/>
  <c r="C45" i="192" s="1"/>
  <c r="D1" i="192"/>
  <c r="C38" i="192" s="1"/>
  <c r="E6" i="211" l="1"/>
  <c r="E47" i="200"/>
  <c r="D47" i="200" s="1"/>
  <c r="G47" i="200" s="1"/>
  <c r="F48" i="200" s="1"/>
  <c r="E5" i="199"/>
  <c r="D5" i="199" s="1"/>
  <c r="G5" i="199" s="1"/>
  <c r="F6" i="199" s="1"/>
  <c r="E6" i="208"/>
  <c r="D6" i="208" s="1"/>
  <c r="G6" i="208"/>
  <c r="F7" i="208" s="1"/>
  <c r="E6" i="206"/>
  <c r="E5" i="207"/>
  <c r="D5" i="207" s="1"/>
  <c r="G5" i="207" s="1"/>
  <c r="F6" i="207" s="1"/>
  <c r="D6" i="206"/>
  <c r="G6" i="206" s="1"/>
  <c r="F7" i="206" s="1"/>
  <c r="E47" i="199"/>
  <c r="D47" i="199" s="1"/>
  <c r="G47" i="199" s="1"/>
  <c r="F48" i="199" s="1"/>
  <c r="E5" i="210"/>
  <c r="C53" i="208"/>
  <c r="D6" i="211"/>
  <c r="G6" i="211" s="1"/>
  <c r="F7" i="211" s="1"/>
  <c r="C56" i="210"/>
  <c r="C54" i="210"/>
  <c r="C53" i="206"/>
  <c r="C55" i="211"/>
  <c r="E5" i="209"/>
  <c r="D5" i="209" s="1"/>
  <c r="G5" i="209" s="1"/>
  <c r="F6" i="209" s="1"/>
  <c r="C47" i="204"/>
  <c r="D5" i="204"/>
  <c r="C54" i="211"/>
  <c r="D5" i="210"/>
  <c r="G5" i="210" s="1"/>
  <c r="F6" i="210" s="1"/>
  <c r="G5" i="202"/>
  <c r="D47" i="202"/>
  <c r="C47" i="198"/>
  <c r="D5" i="198"/>
  <c r="C53" i="211"/>
  <c r="C53" i="210"/>
  <c r="C55" i="210"/>
  <c r="C57" i="204"/>
  <c r="E5" i="200"/>
  <c r="D5" i="200" s="1"/>
  <c r="G5" i="200"/>
  <c r="F6" i="200" s="1"/>
  <c r="G5" i="193"/>
  <c r="F6" i="193" s="1"/>
  <c r="E5" i="193"/>
  <c r="C59" i="192"/>
  <c r="C55" i="192"/>
  <c r="C51" i="192"/>
  <c r="C56" i="192"/>
  <c r="C52" i="192"/>
  <c r="C57" i="192"/>
  <c r="C53" i="192"/>
  <c r="C67" i="192"/>
  <c r="C63" i="192"/>
  <c r="C68" i="192"/>
  <c r="C64" i="192"/>
  <c r="C60" i="192"/>
  <c r="C69" i="192"/>
  <c r="C65" i="192"/>
  <c r="C61" i="192"/>
  <c r="C8" i="192"/>
  <c r="C12" i="192"/>
  <c r="C16" i="192"/>
  <c r="C20" i="192"/>
  <c r="C24" i="192"/>
  <c r="C28" i="192"/>
  <c r="C32" i="192"/>
  <c r="C36" i="192"/>
  <c r="C48" i="192"/>
  <c r="C4" i="192"/>
  <c r="D4" i="192" s="1"/>
  <c r="G4" i="192" s="1"/>
  <c r="F5" i="192" s="1"/>
  <c r="C43" i="192"/>
  <c r="C47" i="192"/>
  <c r="C54" i="192"/>
  <c r="C39" i="195"/>
  <c r="D39" i="195" s="1"/>
  <c r="C40" i="195"/>
  <c r="C37" i="195"/>
  <c r="C33" i="195"/>
  <c r="C29" i="195"/>
  <c r="C25" i="195"/>
  <c r="C21" i="195"/>
  <c r="C17" i="195"/>
  <c r="C13" i="195"/>
  <c r="C9" i="195"/>
  <c r="C5" i="195"/>
  <c r="C26" i="195"/>
  <c r="C20" i="195"/>
  <c r="C7" i="195"/>
  <c r="C30" i="195"/>
  <c r="C24" i="195"/>
  <c r="C11" i="195"/>
  <c r="C34" i="195"/>
  <c r="C28" i="195"/>
  <c r="C15" i="195"/>
  <c r="C32" i="195"/>
  <c r="C19" i="195"/>
  <c r="C6" i="195"/>
  <c r="C4" i="195"/>
  <c r="D4" i="195" s="1"/>
  <c r="G4" i="195" s="1"/>
  <c r="F5" i="195" s="1"/>
  <c r="C36" i="195"/>
  <c r="C23" i="195"/>
  <c r="C10" i="195"/>
  <c r="C38" i="195"/>
  <c r="C27" i="195"/>
  <c r="C14" i="195"/>
  <c r="C8" i="195"/>
  <c r="C12" i="195"/>
  <c r="C31" i="195"/>
  <c r="C70" i="192"/>
  <c r="D70" i="192" s="1"/>
  <c r="C7" i="192"/>
  <c r="C11" i="192"/>
  <c r="C15" i="192"/>
  <c r="C19" i="192"/>
  <c r="C23" i="192"/>
  <c r="C27" i="192"/>
  <c r="C31" i="192"/>
  <c r="C35" i="192"/>
  <c r="C39" i="192"/>
  <c r="D39" i="192" s="1"/>
  <c r="C22" i="195"/>
  <c r="C42" i="192"/>
  <c r="C46" i="192"/>
  <c r="C50" i="192"/>
  <c r="C18" i="195"/>
  <c r="C6" i="192"/>
  <c r="C10" i="192"/>
  <c r="C14" i="192"/>
  <c r="C18" i="192"/>
  <c r="C22" i="192"/>
  <c r="C26" i="192"/>
  <c r="C30" i="192"/>
  <c r="C34" i="192"/>
  <c r="C58" i="192"/>
  <c r="C41" i="192"/>
  <c r="C49" i="192"/>
  <c r="C62" i="192"/>
  <c r="C7" i="193"/>
  <c r="C11" i="193"/>
  <c r="C15" i="193"/>
  <c r="C19" i="193"/>
  <c r="C23" i="193"/>
  <c r="C27" i="193"/>
  <c r="C31" i="193"/>
  <c r="C35" i="193"/>
  <c r="C39" i="193"/>
  <c r="D39" i="193" s="1"/>
  <c r="C62" i="193"/>
  <c r="C65" i="193"/>
  <c r="C68" i="193"/>
  <c r="C48" i="195"/>
  <c r="C44" i="195"/>
  <c r="C49" i="195"/>
  <c r="C45" i="195"/>
  <c r="C41" i="195"/>
  <c r="C46" i="195"/>
  <c r="C42" i="195"/>
  <c r="C47" i="195"/>
  <c r="C42" i="193"/>
  <c r="C46" i="193"/>
  <c r="C50" i="193"/>
  <c r="C54" i="193"/>
  <c r="C58" i="193"/>
  <c r="C6" i="193"/>
  <c r="C10" i="193"/>
  <c r="C14" i="193"/>
  <c r="C18" i="193"/>
  <c r="C22" i="193"/>
  <c r="C26" i="193"/>
  <c r="C30" i="193"/>
  <c r="C34" i="193"/>
  <c r="C38" i="193"/>
  <c r="C61" i="193"/>
  <c r="C64" i="193"/>
  <c r="C41" i="193"/>
  <c r="C45" i="193"/>
  <c r="C49" i="193"/>
  <c r="C53" i="193"/>
  <c r="C57" i="193"/>
  <c r="C67" i="193"/>
  <c r="C56" i="195"/>
  <c r="C52" i="195"/>
  <c r="C57" i="195"/>
  <c r="C53" i="195"/>
  <c r="C58" i="195"/>
  <c r="C54" i="195"/>
  <c r="C50" i="195"/>
  <c r="C51" i="195"/>
  <c r="C5" i="193"/>
  <c r="D5" i="193" s="1"/>
  <c r="C9" i="193"/>
  <c r="C13" i="193"/>
  <c r="C17" i="193"/>
  <c r="C21" i="193"/>
  <c r="C25" i="193"/>
  <c r="C29" i="193"/>
  <c r="C33" i="193"/>
  <c r="C37" i="193"/>
  <c r="C60" i="193"/>
  <c r="C70" i="193"/>
  <c r="D70" i="193" s="1"/>
  <c r="C48" i="193"/>
  <c r="C52" i="193"/>
  <c r="C43" i="195"/>
  <c r="D4" i="196"/>
  <c r="G4" i="196" s="1"/>
  <c r="F5" i="196" s="1"/>
  <c r="C62" i="195"/>
  <c r="C66" i="195"/>
  <c r="C5" i="196"/>
  <c r="C9" i="196"/>
  <c r="C13" i="196"/>
  <c r="C17" i="196"/>
  <c r="C21" i="196"/>
  <c r="C25" i="196"/>
  <c r="C29" i="196"/>
  <c r="C33" i="196"/>
  <c r="C37" i="196"/>
  <c r="C40" i="196"/>
  <c r="C44" i="196"/>
  <c r="C48" i="196"/>
  <c r="C52" i="196"/>
  <c r="C56" i="196"/>
  <c r="C60" i="196"/>
  <c r="C64" i="196"/>
  <c r="C61" i="195"/>
  <c r="C65" i="195"/>
  <c r="C8" i="196"/>
  <c r="C12" i="196"/>
  <c r="C16" i="196"/>
  <c r="C20" i="196"/>
  <c r="C24" i="196"/>
  <c r="C28" i="196"/>
  <c r="C32" i="196"/>
  <c r="C36" i="196"/>
  <c r="C43" i="196"/>
  <c r="C47" i="196"/>
  <c r="C51" i="196"/>
  <c r="C55" i="196"/>
  <c r="C59" i="196"/>
  <c r="C63" i="196"/>
  <c r="C67" i="196"/>
  <c r="C60" i="195"/>
  <c r="C41" i="196"/>
  <c r="C45" i="196"/>
  <c r="C49" i="196"/>
  <c r="C53" i="196"/>
  <c r="C57" i="196"/>
  <c r="C61" i="196"/>
  <c r="C21" i="189"/>
  <c r="B21" i="189"/>
  <c r="F21" i="189"/>
  <c r="E21" i="189" s="1"/>
  <c r="B20" i="189"/>
  <c r="C20" i="189"/>
  <c r="F20" i="189"/>
  <c r="E20" i="189" s="1"/>
  <c r="C18" i="189"/>
  <c r="C19" i="189"/>
  <c r="C17" i="189"/>
  <c r="K2" i="189"/>
  <c r="C14" i="189" s="1"/>
  <c r="B15" i="189"/>
  <c r="B16" i="189"/>
  <c r="B17" i="189"/>
  <c r="B18" i="189"/>
  <c r="B19" i="189"/>
  <c r="B14" i="189"/>
  <c r="H2" i="189"/>
  <c r="C12" i="189" s="1"/>
  <c r="E12" i="189"/>
  <c r="E2" i="189"/>
  <c r="C21" i="190"/>
  <c r="B20" i="190"/>
  <c r="C20" i="190"/>
  <c r="F20" i="190"/>
  <c r="E20" i="190" s="1"/>
  <c r="B21" i="190"/>
  <c r="C19" i="190"/>
  <c r="F19" i="190"/>
  <c r="E19" i="190" s="1"/>
  <c r="C18" i="190"/>
  <c r="C17" i="190"/>
  <c r="K2" i="190"/>
  <c r="C15" i="190" s="1"/>
  <c r="B14" i="190"/>
  <c r="B15" i="190"/>
  <c r="B16" i="190"/>
  <c r="B17" i="190"/>
  <c r="B18" i="190"/>
  <c r="B19" i="190"/>
  <c r="H2" i="190"/>
  <c r="C12" i="190" s="1"/>
  <c r="E12" i="190"/>
  <c r="E2" i="190"/>
  <c r="C10" i="190"/>
  <c r="C2" i="190"/>
  <c r="C9" i="190" s="1"/>
  <c r="B13" i="190"/>
  <c r="B12" i="190"/>
  <c r="B11" i="190"/>
  <c r="B10" i="190"/>
  <c r="B9" i="190"/>
  <c r="B8" i="190"/>
  <c r="B7" i="190"/>
  <c r="B6" i="190"/>
  <c r="B5" i="190"/>
  <c r="C7" i="190"/>
  <c r="C6" i="190"/>
  <c r="C5" i="190"/>
  <c r="G4" i="190"/>
  <c r="F5" i="190" s="1"/>
  <c r="C4" i="190"/>
  <c r="B4" i="190"/>
  <c r="E4" i="190" s="1"/>
  <c r="C2" i="189"/>
  <c r="C10" i="189" s="1"/>
  <c r="E7" i="206" l="1"/>
  <c r="D7" i="206" s="1"/>
  <c r="G7" i="206" s="1"/>
  <c r="F8" i="206" s="1"/>
  <c r="E6" i="207"/>
  <c r="D6" i="207" s="1"/>
  <c r="G6" i="207" s="1"/>
  <c r="F7" i="207" s="1"/>
  <c r="E7" i="211"/>
  <c r="D7" i="211" s="1"/>
  <c r="G7" i="211"/>
  <c r="F8" i="211" s="1"/>
  <c r="E6" i="210"/>
  <c r="D6" i="210" s="1"/>
  <c r="G6" i="210" s="1"/>
  <c r="F7" i="210" s="1"/>
  <c r="E6" i="199"/>
  <c r="D6" i="199" s="1"/>
  <c r="G6" i="199" s="1"/>
  <c r="F7" i="199" s="1"/>
  <c r="G48" i="200"/>
  <c r="F49" i="200" s="1"/>
  <c r="E48" i="200"/>
  <c r="D48" i="200" s="1"/>
  <c r="E6" i="209"/>
  <c r="D6" i="209" s="1"/>
  <c r="G6" i="209"/>
  <c r="F7" i="209" s="1"/>
  <c r="E48" i="199"/>
  <c r="D48" i="199" s="1"/>
  <c r="G48" i="199"/>
  <c r="F49" i="199" s="1"/>
  <c r="E7" i="208"/>
  <c r="D7" i="208" s="1"/>
  <c r="G7" i="208" s="1"/>
  <c r="F8" i="208" s="1"/>
  <c r="D47" i="204"/>
  <c r="G5" i="204"/>
  <c r="F6" i="202"/>
  <c r="G47" i="202"/>
  <c r="F48" i="202" s="1"/>
  <c r="D47" i="198"/>
  <c r="G5" i="198"/>
  <c r="E6" i="200"/>
  <c r="D6" i="200" s="1"/>
  <c r="G6" i="200" s="1"/>
  <c r="F7" i="200" s="1"/>
  <c r="E6" i="193"/>
  <c r="E5" i="195"/>
  <c r="G5" i="192"/>
  <c r="F6" i="192" s="1"/>
  <c r="E5" i="192"/>
  <c r="D5" i="192" s="1"/>
  <c r="D6" i="193"/>
  <c r="G6" i="193" s="1"/>
  <c r="F7" i="193" s="1"/>
  <c r="D5" i="195"/>
  <c r="G5" i="195" s="1"/>
  <c r="F6" i="195" s="1"/>
  <c r="E5" i="196"/>
  <c r="D5" i="196" s="1"/>
  <c r="G5" i="196" s="1"/>
  <c r="F6" i="196" s="1"/>
  <c r="D21" i="189"/>
  <c r="G21" i="189" s="1"/>
  <c r="D20" i="189"/>
  <c r="G20" i="189" s="1"/>
  <c r="C15" i="189"/>
  <c r="C13" i="189"/>
  <c r="C16" i="189"/>
  <c r="D20" i="190"/>
  <c r="G20" i="190"/>
  <c r="F21" i="190" s="1"/>
  <c r="D19" i="190"/>
  <c r="G19" i="190" s="1"/>
  <c r="C13" i="190"/>
  <c r="C14" i="190"/>
  <c r="C16" i="190"/>
  <c r="E5" i="190"/>
  <c r="C11" i="190"/>
  <c r="D5" i="190"/>
  <c r="G5" i="190" s="1"/>
  <c r="F6" i="190" s="1"/>
  <c r="E6" i="190" s="1"/>
  <c r="C8" i="190"/>
  <c r="E7" i="210" l="1"/>
  <c r="D7" i="210" s="1"/>
  <c r="G7" i="210" s="1"/>
  <c r="F8" i="210" s="1"/>
  <c r="E7" i="199"/>
  <c r="D7" i="199" s="1"/>
  <c r="G7" i="199" s="1"/>
  <c r="F8" i="199" s="1"/>
  <c r="E7" i="200"/>
  <c r="D7" i="200" s="1"/>
  <c r="G7" i="200" s="1"/>
  <c r="F8" i="200" s="1"/>
  <c r="E7" i="207"/>
  <c r="D7" i="207" s="1"/>
  <c r="G7" i="207" s="1"/>
  <c r="F8" i="207" s="1"/>
  <c r="E8" i="208"/>
  <c r="D8" i="208" s="1"/>
  <c r="G8" i="208" s="1"/>
  <c r="F9" i="208" s="1"/>
  <c r="E8" i="206"/>
  <c r="D8" i="206" s="1"/>
  <c r="G8" i="206" s="1"/>
  <c r="F9" i="206" s="1"/>
  <c r="E49" i="199"/>
  <c r="D49" i="199" s="1"/>
  <c r="G49" i="199" s="1"/>
  <c r="F50" i="199" s="1"/>
  <c r="E48" i="202"/>
  <c r="D48" i="202" s="1"/>
  <c r="G48" i="202"/>
  <c r="F49" i="202" s="1"/>
  <c r="F6" i="204"/>
  <c r="G47" i="204"/>
  <c r="F48" i="204" s="1"/>
  <c r="F6" i="198"/>
  <c r="G47" i="198"/>
  <c r="F48" i="198" s="1"/>
  <c r="E7" i="209"/>
  <c r="D7" i="209" s="1"/>
  <c r="G7" i="209"/>
  <c r="F8" i="209" s="1"/>
  <c r="E49" i="200"/>
  <c r="D49" i="200" s="1"/>
  <c r="G49" i="200" s="1"/>
  <c r="F50" i="200" s="1"/>
  <c r="G6" i="202"/>
  <c r="F7" i="202" s="1"/>
  <c r="E6" i="202"/>
  <c r="D6" i="202" s="1"/>
  <c r="E8" i="211"/>
  <c r="D8" i="211" s="1"/>
  <c r="G8" i="211" s="1"/>
  <c r="F9" i="211" s="1"/>
  <c r="E6" i="195"/>
  <c r="D6" i="195" s="1"/>
  <c r="G6" i="195" s="1"/>
  <c r="F7" i="195" s="1"/>
  <c r="E7" i="193"/>
  <c r="D7" i="193" s="1"/>
  <c r="G7" i="193" s="1"/>
  <c r="F8" i="193" s="1"/>
  <c r="E6" i="196"/>
  <c r="D6" i="196" s="1"/>
  <c r="G6" i="196" s="1"/>
  <c r="F7" i="196" s="1"/>
  <c r="E6" i="192"/>
  <c r="D6" i="192" s="1"/>
  <c r="G6" i="192" s="1"/>
  <c r="F7" i="192" s="1"/>
  <c r="E21" i="190"/>
  <c r="D21" i="190" s="1"/>
  <c r="G21" i="190" s="1"/>
  <c r="F10" i="190"/>
  <c r="E10" i="190" s="1"/>
  <c r="D10" i="190" s="1"/>
  <c r="G10" i="190" s="1"/>
  <c r="F11" i="190" s="1"/>
  <c r="E11" i="190" s="1"/>
  <c r="D6" i="190"/>
  <c r="G6" i="190" s="1"/>
  <c r="F7" i="190" s="1"/>
  <c r="E7" i="190" s="1"/>
  <c r="E8" i="207" l="1"/>
  <c r="D8" i="207" s="1"/>
  <c r="G8" i="207" s="1"/>
  <c r="F9" i="207" s="1"/>
  <c r="E50" i="199"/>
  <c r="D50" i="199" s="1"/>
  <c r="G50" i="199"/>
  <c r="F51" i="199" s="1"/>
  <c r="E9" i="211"/>
  <c r="D9" i="211" s="1"/>
  <c r="G9" i="211" s="1"/>
  <c r="F10" i="211" s="1"/>
  <c r="E8" i="200"/>
  <c r="D8" i="200" s="1"/>
  <c r="G8" i="200" s="1"/>
  <c r="F9" i="200" s="1"/>
  <c r="E9" i="206"/>
  <c r="D9" i="206" s="1"/>
  <c r="G9" i="206" s="1"/>
  <c r="F10" i="206" s="1"/>
  <c r="E8" i="199"/>
  <c r="D8" i="199" s="1"/>
  <c r="G8" i="199" s="1"/>
  <c r="F9" i="199" s="1"/>
  <c r="E50" i="200"/>
  <c r="D50" i="200" s="1"/>
  <c r="G50" i="200" s="1"/>
  <c r="F51" i="200" s="1"/>
  <c r="E9" i="208"/>
  <c r="D9" i="208" s="1"/>
  <c r="G9" i="208" s="1"/>
  <c r="F10" i="208" s="1"/>
  <c r="E8" i="210"/>
  <c r="D8" i="210" s="1"/>
  <c r="G8" i="210" s="1"/>
  <c r="F9" i="210" s="1"/>
  <c r="E6" i="204"/>
  <c r="D6" i="204" s="1"/>
  <c r="G6" i="204" s="1"/>
  <c r="F7" i="204" s="1"/>
  <c r="E8" i="209"/>
  <c r="D8" i="209" s="1"/>
  <c r="G8" i="209" s="1"/>
  <c r="F9" i="209" s="1"/>
  <c r="E48" i="198"/>
  <c r="D48" i="198" s="1"/>
  <c r="G48" i="198" s="1"/>
  <c r="F49" i="198" s="1"/>
  <c r="E49" i="202"/>
  <c r="D49" i="202" s="1"/>
  <c r="G49" i="202" s="1"/>
  <c r="F50" i="202" s="1"/>
  <c r="E6" i="198"/>
  <c r="D6" i="198" s="1"/>
  <c r="G6" i="198" s="1"/>
  <c r="F7" i="198" s="1"/>
  <c r="E7" i="202"/>
  <c r="D7" i="202" s="1"/>
  <c r="G7" i="202" s="1"/>
  <c r="F8" i="202" s="1"/>
  <c r="E48" i="204"/>
  <c r="D48" i="204" s="1"/>
  <c r="G48" i="204"/>
  <c r="F49" i="204" s="1"/>
  <c r="E7" i="192"/>
  <c r="D7" i="192" s="1"/>
  <c r="G7" i="192" s="1"/>
  <c r="F8" i="192" s="1"/>
  <c r="E8" i="193"/>
  <c r="D8" i="193" s="1"/>
  <c r="G8" i="193" s="1"/>
  <c r="F9" i="193" s="1"/>
  <c r="E7" i="196"/>
  <c r="D7" i="196" s="1"/>
  <c r="G7" i="196" s="1"/>
  <c r="F8" i="196" s="1"/>
  <c r="E7" i="195"/>
  <c r="D7" i="195" s="1"/>
  <c r="G7" i="195" s="1"/>
  <c r="F8" i="195" s="1"/>
  <c r="D7" i="190"/>
  <c r="G7" i="190" s="1"/>
  <c r="F8" i="190" s="1"/>
  <c r="E8" i="190" s="1"/>
  <c r="D11" i="190"/>
  <c r="G11" i="190" s="1"/>
  <c r="F12" i="190" s="1"/>
  <c r="E10" i="206" l="1"/>
  <c r="D10" i="206" s="1"/>
  <c r="G10" i="206" s="1"/>
  <c r="F11" i="206" s="1"/>
  <c r="E9" i="200"/>
  <c r="D9" i="200" s="1"/>
  <c r="G9" i="200" s="1"/>
  <c r="F10" i="200" s="1"/>
  <c r="E7" i="198"/>
  <c r="D7" i="198" s="1"/>
  <c r="G7" i="198"/>
  <c r="F8" i="198" s="1"/>
  <c r="E9" i="199"/>
  <c r="D9" i="199" s="1"/>
  <c r="G9" i="199" s="1"/>
  <c r="F10" i="199" s="1"/>
  <c r="E7" i="204"/>
  <c r="D7" i="204" s="1"/>
  <c r="G7" i="204" s="1"/>
  <c r="F8" i="204" s="1"/>
  <c r="E8" i="202"/>
  <c r="D8" i="202" s="1"/>
  <c r="G8" i="202" s="1"/>
  <c r="F9" i="202" s="1"/>
  <c r="E49" i="198"/>
  <c r="D49" i="198" s="1"/>
  <c r="G49" i="198" s="1"/>
  <c r="F50" i="198" s="1"/>
  <c r="E9" i="209"/>
  <c r="D9" i="209" s="1"/>
  <c r="G9" i="209" s="1"/>
  <c r="F10" i="209" s="1"/>
  <c r="E9" i="210"/>
  <c r="D9" i="210" s="1"/>
  <c r="G9" i="210" s="1"/>
  <c r="F10" i="210" s="1"/>
  <c r="E51" i="200"/>
  <c r="D51" i="200" s="1"/>
  <c r="G51" i="200" s="1"/>
  <c r="F52" i="200" s="1"/>
  <c r="E50" i="202"/>
  <c r="D50" i="202" s="1"/>
  <c r="G50" i="202" s="1"/>
  <c r="F51" i="202" s="1"/>
  <c r="E10" i="211"/>
  <c r="D10" i="211" s="1"/>
  <c r="G10" i="211" s="1"/>
  <c r="F11" i="211" s="1"/>
  <c r="E10" i="208"/>
  <c r="D10" i="208" s="1"/>
  <c r="G10" i="208"/>
  <c r="F11" i="208" s="1"/>
  <c r="E9" i="207"/>
  <c r="D9" i="207" s="1"/>
  <c r="G9" i="207" s="1"/>
  <c r="F10" i="207" s="1"/>
  <c r="E51" i="199"/>
  <c r="D51" i="199" s="1"/>
  <c r="G51" i="199" s="1"/>
  <c r="F52" i="199" s="1"/>
  <c r="E49" i="204"/>
  <c r="D49" i="204" s="1"/>
  <c r="G49" i="204" s="1"/>
  <c r="F50" i="204" s="1"/>
  <c r="E8" i="195"/>
  <c r="D8" i="195" s="1"/>
  <c r="G8" i="195" s="1"/>
  <c r="F9" i="195" s="1"/>
  <c r="E8" i="196"/>
  <c r="D8" i="196" s="1"/>
  <c r="G8" i="196" s="1"/>
  <c r="F9" i="196" s="1"/>
  <c r="E9" i="193"/>
  <c r="D9" i="193" s="1"/>
  <c r="G9" i="193" s="1"/>
  <c r="F10" i="193" s="1"/>
  <c r="E8" i="192"/>
  <c r="D8" i="192" s="1"/>
  <c r="G8" i="192" s="1"/>
  <c r="F9" i="192" s="1"/>
  <c r="D12" i="190"/>
  <c r="G12" i="190" s="1"/>
  <c r="F13" i="190" s="1"/>
  <c r="E13" i="190" s="1"/>
  <c r="D8" i="190"/>
  <c r="G8" i="190" s="1"/>
  <c r="F9" i="190" s="1"/>
  <c r="E10" i="199" l="1"/>
  <c r="D10" i="199" s="1"/>
  <c r="G10" i="199" s="1"/>
  <c r="F11" i="199" s="1"/>
  <c r="E51" i="202"/>
  <c r="D51" i="202" s="1"/>
  <c r="G51" i="202" s="1"/>
  <c r="F52" i="202" s="1"/>
  <c r="E9" i="202"/>
  <c r="D9" i="202" s="1"/>
  <c r="G9" i="202"/>
  <c r="F10" i="202" s="1"/>
  <c r="E52" i="200"/>
  <c r="D52" i="200" s="1"/>
  <c r="G52" i="200" s="1"/>
  <c r="F53" i="200" s="1"/>
  <c r="E10" i="207"/>
  <c r="D10" i="207" s="1"/>
  <c r="G10" i="207" s="1"/>
  <c r="F11" i="207" s="1"/>
  <c r="E11" i="211"/>
  <c r="D11" i="211" s="1"/>
  <c r="G11" i="211"/>
  <c r="F12" i="211" s="1"/>
  <c r="E50" i="204"/>
  <c r="D50" i="204" s="1"/>
  <c r="G50" i="204" s="1"/>
  <c r="F51" i="204" s="1"/>
  <c r="E10" i="210"/>
  <c r="D10" i="210" s="1"/>
  <c r="G10" i="210" s="1"/>
  <c r="F11" i="210" s="1"/>
  <c r="G10" i="200"/>
  <c r="F11" i="200" s="1"/>
  <c r="E10" i="200"/>
  <c r="D10" i="200" s="1"/>
  <c r="E50" i="198"/>
  <c r="D50" i="198" s="1"/>
  <c r="G50" i="198" s="1"/>
  <c r="F51" i="198" s="1"/>
  <c r="E8" i="204"/>
  <c r="D8" i="204" s="1"/>
  <c r="G8" i="204"/>
  <c r="F9" i="204" s="1"/>
  <c r="E52" i="199"/>
  <c r="D52" i="199" s="1"/>
  <c r="G52" i="199" s="1"/>
  <c r="F53" i="199" s="1"/>
  <c r="E10" i="209"/>
  <c r="D10" i="209" s="1"/>
  <c r="G10" i="209" s="1"/>
  <c r="F11" i="209" s="1"/>
  <c r="E11" i="206"/>
  <c r="D11" i="206" s="1"/>
  <c r="G11" i="206" s="1"/>
  <c r="F12" i="206" s="1"/>
  <c r="E8" i="198"/>
  <c r="D8" i="198" s="1"/>
  <c r="G8" i="198" s="1"/>
  <c r="F9" i="198" s="1"/>
  <c r="E11" i="208"/>
  <c r="D11" i="208" s="1"/>
  <c r="G11" i="208" s="1"/>
  <c r="F12" i="208" s="1"/>
  <c r="E10" i="193"/>
  <c r="D10" i="193" s="1"/>
  <c r="G10" i="193" s="1"/>
  <c r="F11" i="193" s="1"/>
  <c r="E9" i="192"/>
  <c r="D9" i="192" s="1"/>
  <c r="G9" i="192" s="1"/>
  <c r="F10" i="192" s="1"/>
  <c r="E9" i="196"/>
  <c r="D9" i="196" s="1"/>
  <c r="G9" i="196" s="1"/>
  <c r="F10" i="196" s="1"/>
  <c r="E9" i="195"/>
  <c r="D9" i="195" s="1"/>
  <c r="G9" i="195"/>
  <c r="F10" i="195" s="1"/>
  <c r="D13" i="190"/>
  <c r="G13" i="190" s="1"/>
  <c r="F14" i="190" s="1"/>
  <c r="E14" i="190" s="1"/>
  <c r="D14" i="190" s="1"/>
  <c r="G14" i="190" s="1"/>
  <c r="F15" i="190" s="1"/>
  <c r="E15" i="190" s="1"/>
  <c r="D15" i="190" s="1"/>
  <c r="G15" i="190" s="1"/>
  <c r="F16" i="190" s="1"/>
  <c r="E16" i="190" s="1"/>
  <c r="D16" i="190" s="1"/>
  <c r="G16" i="190" s="1"/>
  <c r="F17" i="190" s="1"/>
  <c r="E17" i="190" s="1"/>
  <c r="D17" i="190" s="1"/>
  <c r="G17" i="190" s="1"/>
  <c r="F18" i="190" s="1"/>
  <c r="E18" i="190" s="1"/>
  <c r="D18" i="190" s="1"/>
  <c r="G18" i="190" s="1"/>
  <c r="D9" i="190"/>
  <c r="G9" i="190" s="1"/>
  <c r="E53" i="200" l="1"/>
  <c r="D53" i="200" s="1"/>
  <c r="G53" i="200" s="1"/>
  <c r="F54" i="200" s="1"/>
  <c r="E12" i="208"/>
  <c r="D12" i="208" s="1"/>
  <c r="G12" i="208" s="1"/>
  <c r="F13" i="208" s="1"/>
  <c r="E9" i="198"/>
  <c r="D9" i="198" s="1"/>
  <c r="G9" i="198" s="1"/>
  <c r="F10" i="198" s="1"/>
  <c r="E53" i="199"/>
  <c r="D53" i="199" s="1"/>
  <c r="G53" i="199" s="1"/>
  <c r="F54" i="199" s="1"/>
  <c r="E11" i="207"/>
  <c r="D11" i="207" s="1"/>
  <c r="G11" i="207" s="1"/>
  <c r="F12" i="207" s="1"/>
  <c r="E12" i="206"/>
  <c r="D12" i="206" s="1"/>
  <c r="G12" i="206" s="1"/>
  <c r="F13" i="206" s="1"/>
  <c r="E11" i="210"/>
  <c r="D11" i="210" s="1"/>
  <c r="G11" i="210" s="1"/>
  <c r="F12" i="210" s="1"/>
  <c r="E52" i="202"/>
  <c r="D52" i="202" s="1"/>
  <c r="G52" i="202" s="1"/>
  <c r="F53" i="202" s="1"/>
  <c r="E51" i="198"/>
  <c r="D51" i="198" s="1"/>
  <c r="G51" i="198" s="1"/>
  <c r="F52" i="198" s="1"/>
  <c r="E11" i="209"/>
  <c r="D11" i="209" s="1"/>
  <c r="G11" i="209"/>
  <c r="F12" i="209" s="1"/>
  <c r="E51" i="204"/>
  <c r="D51" i="204" s="1"/>
  <c r="G51" i="204" s="1"/>
  <c r="F52" i="204" s="1"/>
  <c r="E11" i="199"/>
  <c r="D11" i="199" s="1"/>
  <c r="G11" i="199"/>
  <c r="F12" i="199" s="1"/>
  <c r="G10" i="202"/>
  <c r="F11" i="202" s="1"/>
  <c r="E10" i="202"/>
  <c r="D10" i="202" s="1"/>
  <c r="E12" i="211"/>
  <c r="D12" i="211" s="1"/>
  <c r="G12" i="211" s="1"/>
  <c r="F13" i="211" s="1"/>
  <c r="E9" i="204"/>
  <c r="D9" i="204" s="1"/>
  <c r="G9" i="204" s="1"/>
  <c r="F10" i="204" s="1"/>
  <c r="E11" i="200"/>
  <c r="D11" i="200" s="1"/>
  <c r="G11" i="200" s="1"/>
  <c r="F12" i="200" s="1"/>
  <c r="E10" i="196"/>
  <c r="D10" i="196" s="1"/>
  <c r="G10" i="196" s="1"/>
  <c r="F11" i="196" s="1"/>
  <c r="E10" i="192"/>
  <c r="D10" i="192" s="1"/>
  <c r="G10" i="192"/>
  <c r="F11" i="192" s="1"/>
  <c r="E11" i="193"/>
  <c r="D11" i="193" s="1"/>
  <c r="G11" i="193" s="1"/>
  <c r="F12" i="193" s="1"/>
  <c r="E10" i="195"/>
  <c r="D10" i="195" s="1"/>
  <c r="G10" i="195" s="1"/>
  <c r="F11" i="195" s="1"/>
  <c r="C11" i="189"/>
  <c r="B10" i="189"/>
  <c r="B13" i="189"/>
  <c r="B12" i="189"/>
  <c r="B11" i="189"/>
  <c r="B9" i="189"/>
  <c r="B8" i="189"/>
  <c r="B7" i="189"/>
  <c r="B6" i="189"/>
  <c r="B5" i="189"/>
  <c r="G4" i="189"/>
  <c r="F5" i="189" s="1"/>
  <c r="B4" i="189"/>
  <c r="C51" i="187"/>
  <c r="C50" i="187"/>
  <c r="K2" i="187"/>
  <c r="C49" i="187" s="1"/>
  <c r="B50" i="187"/>
  <c r="B51" i="187"/>
  <c r="H2" i="187"/>
  <c r="C36" i="187" s="1"/>
  <c r="E34" i="187"/>
  <c r="C35" i="187"/>
  <c r="C41" i="187"/>
  <c r="C34" i="187"/>
  <c r="E2" i="187"/>
  <c r="C2" i="187"/>
  <c r="C29" i="187" s="1"/>
  <c r="B29" i="187"/>
  <c r="B31" i="187"/>
  <c r="B32" i="187"/>
  <c r="B33" i="187"/>
  <c r="B34" i="187"/>
  <c r="B35" i="187"/>
  <c r="B36" i="187"/>
  <c r="B37" i="187"/>
  <c r="B38" i="187"/>
  <c r="B39" i="187"/>
  <c r="B40" i="187"/>
  <c r="B41" i="187"/>
  <c r="B42" i="187"/>
  <c r="B43" i="187"/>
  <c r="B44" i="187"/>
  <c r="B45" i="187"/>
  <c r="B46" i="187"/>
  <c r="B47" i="187"/>
  <c r="B48" i="187"/>
  <c r="B49" i="187"/>
  <c r="B30" i="187"/>
  <c r="B6" i="187"/>
  <c r="B7" i="187"/>
  <c r="B8" i="187"/>
  <c r="B9" i="187"/>
  <c r="B10" i="187"/>
  <c r="B11" i="187"/>
  <c r="B12" i="187"/>
  <c r="B13" i="187"/>
  <c r="B14" i="187"/>
  <c r="B15" i="187"/>
  <c r="B16" i="187"/>
  <c r="B17" i="187"/>
  <c r="B18" i="187"/>
  <c r="B19" i="187"/>
  <c r="B20" i="187"/>
  <c r="B21" i="187"/>
  <c r="B22" i="187"/>
  <c r="B23" i="187"/>
  <c r="B24" i="187"/>
  <c r="B25" i="187"/>
  <c r="B26" i="187"/>
  <c r="B27" i="187"/>
  <c r="B28" i="187"/>
  <c r="B5" i="187"/>
  <c r="E4" i="187"/>
  <c r="G4" i="187"/>
  <c r="F5" i="187" s="1"/>
  <c r="B4" i="187"/>
  <c r="C51" i="186"/>
  <c r="C50" i="186"/>
  <c r="K2" i="186"/>
  <c r="C49" i="186" s="1"/>
  <c r="B50" i="186"/>
  <c r="B51" i="186"/>
  <c r="C46" i="186"/>
  <c r="C47" i="186"/>
  <c r="C48" i="186"/>
  <c r="H2" i="186"/>
  <c r="C35" i="186" s="1"/>
  <c r="E2" i="186"/>
  <c r="C31" i="186" s="1"/>
  <c r="B29" i="186"/>
  <c r="B49" i="186"/>
  <c r="B48" i="186"/>
  <c r="B47" i="186"/>
  <c r="B46" i="186"/>
  <c r="B45" i="186"/>
  <c r="B44" i="186"/>
  <c r="B43" i="186"/>
  <c r="B42" i="186"/>
  <c r="B41" i="186"/>
  <c r="B40" i="186"/>
  <c r="B39" i="186"/>
  <c r="B38" i="186"/>
  <c r="B37" i="186"/>
  <c r="B36" i="186"/>
  <c r="B35" i="186"/>
  <c r="B34" i="186"/>
  <c r="B33" i="186"/>
  <c r="B32" i="186"/>
  <c r="B31" i="186"/>
  <c r="B30" i="186"/>
  <c r="C2" i="186"/>
  <c r="C10" i="186" s="1"/>
  <c r="E28" i="186"/>
  <c r="B28" i="186"/>
  <c r="B27" i="186"/>
  <c r="B26" i="186"/>
  <c r="B25" i="186"/>
  <c r="B24" i="186"/>
  <c r="B23" i="186"/>
  <c r="B22" i="186"/>
  <c r="B21" i="186"/>
  <c r="B20" i="186"/>
  <c r="B19" i="186"/>
  <c r="B18" i="186"/>
  <c r="B17" i="186"/>
  <c r="B16" i="186"/>
  <c r="B15" i="186"/>
  <c r="B14" i="186"/>
  <c r="B13" i="186"/>
  <c r="B12" i="186"/>
  <c r="B11" i="186"/>
  <c r="B10" i="186"/>
  <c r="B9" i="186"/>
  <c r="B8" i="186"/>
  <c r="B7" i="186"/>
  <c r="B6" i="186"/>
  <c r="B5" i="186"/>
  <c r="G4" i="186"/>
  <c r="F5" i="186" s="1"/>
  <c r="B4" i="186"/>
  <c r="C24" i="184"/>
  <c r="C23" i="184"/>
  <c r="C22" i="184"/>
  <c r="K2" i="184"/>
  <c r="H2" i="184"/>
  <c r="C18" i="184" s="1"/>
  <c r="E2" i="184"/>
  <c r="C2" i="184"/>
  <c r="C11" i="184" s="1"/>
  <c r="B15" i="184"/>
  <c r="B6" i="184"/>
  <c r="B7" i="184"/>
  <c r="B8" i="184"/>
  <c r="B9" i="184"/>
  <c r="B10" i="184"/>
  <c r="B11" i="184"/>
  <c r="B12" i="184"/>
  <c r="B13" i="184"/>
  <c r="B14" i="184"/>
  <c r="B16" i="184"/>
  <c r="B17" i="184"/>
  <c r="B18" i="184"/>
  <c r="B19" i="184"/>
  <c r="B20" i="184"/>
  <c r="B21" i="184"/>
  <c r="B22" i="184"/>
  <c r="B23" i="184"/>
  <c r="B24" i="184"/>
  <c r="B5" i="184"/>
  <c r="G4" i="184"/>
  <c r="F15" i="184" s="1"/>
  <c r="B4" i="184"/>
  <c r="E4" i="184" s="1"/>
  <c r="C24" i="183"/>
  <c r="K2" i="183"/>
  <c r="C19" i="183" s="1"/>
  <c r="H2" i="183"/>
  <c r="C17" i="183" s="1"/>
  <c r="F15" i="183"/>
  <c r="B15" i="183"/>
  <c r="C23" i="183"/>
  <c r="C22" i="183"/>
  <c r="E2" i="183"/>
  <c r="B16" i="183"/>
  <c r="B24" i="183"/>
  <c r="B23" i="183"/>
  <c r="B22" i="183"/>
  <c r="B21" i="183"/>
  <c r="B20" i="183"/>
  <c r="B19" i="183"/>
  <c r="B18" i="183"/>
  <c r="B17" i="183"/>
  <c r="C2" i="183"/>
  <c r="C10" i="183" s="1"/>
  <c r="B6" i="183"/>
  <c r="B7" i="183"/>
  <c r="B8" i="183"/>
  <c r="B9" i="183"/>
  <c r="B10" i="183"/>
  <c r="B11" i="183"/>
  <c r="B12" i="183"/>
  <c r="B13" i="183"/>
  <c r="B14" i="183"/>
  <c r="B5" i="183"/>
  <c r="G4" i="183"/>
  <c r="F5" i="183" s="1"/>
  <c r="B4" i="183"/>
  <c r="E4" i="183" s="1"/>
  <c r="F53" i="206" l="1"/>
  <c r="E13" i="206"/>
  <c r="E12" i="207"/>
  <c r="D12" i="207" s="1"/>
  <c r="G12" i="207"/>
  <c r="E53" i="202"/>
  <c r="D53" i="202" s="1"/>
  <c r="G53" i="202" s="1"/>
  <c r="F54" i="202" s="1"/>
  <c r="G52" i="204"/>
  <c r="F53" i="204" s="1"/>
  <c r="E52" i="204"/>
  <c r="D52" i="204" s="1"/>
  <c r="E54" i="199"/>
  <c r="D54" i="199" s="1"/>
  <c r="G54" i="199" s="1"/>
  <c r="F55" i="199" s="1"/>
  <c r="E12" i="210"/>
  <c r="D12" i="210" s="1"/>
  <c r="G12" i="210"/>
  <c r="F13" i="210" s="1"/>
  <c r="E12" i="200"/>
  <c r="D12" i="200" s="1"/>
  <c r="G12" i="200" s="1"/>
  <c r="F13" i="200" s="1"/>
  <c r="G10" i="198"/>
  <c r="F11" i="198" s="1"/>
  <c r="E10" i="198"/>
  <c r="D10" i="198" s="1"/>
  <c r="E10" i="204"/>
  <c r="D10" i="204" s="1"/>
  <c r="G10" i="204" s="1"/>
  <c r="F11" i="204" s="1"/>
  <c r="E13" i="208"/>
  <c r="F53" i="208"/>
  <c r="F53" i="211"/>
  <c r="E13" i="211"/>
  <c r="E52" i="198"/>
  <c r="D52" i="198" s="1"/>
  <c r="G52" i="198" s="1"/>
  <c r="F53" i="198" s="1"/>
  <c r="E54" i="200"/>
  <c r="D54" i="200" s="1"/>
  <c r="G54" i="200" s="1"/>
  <c r="F55" i="200" s="1"/>
  <c r="E12" i="199"/>
  <c r="D12" i="199" s="1"/>
  <c r="G12" i="199" s="1"/>
  <c r="F13" i="199" s="1"/>
  <c r="G12" i="209"/>
  <c r="E12" i="209"/>
  <c r="D12" i="209" s="1"/>
  <c r="E11" i="202"/>
  <c r="D11" i="202" s="1"/>
  <c r="G11" i="202" s="1"/>
  <c r="F12" i="202" s="1"/>
  <c r="E11" i="195"/>
  <c r="D11" i="195" s="1"/>
  <c r="G11" i="195" s="1"/>
  <c r="F12" i="195" s="1"/>
  <c r="E12" i="193"/>
  <c r="D12" i="193" s="1"/>
  <c r="G12" i="193" s="1"/>
  <c r="F13" i="193" s="1"/>
  <c r="E11" i="196"/>
  <c r="D11" i="196" s="1"/>
  <c r="G11" i="196" s="1"/>
  <c r="F12" i="196" s="1"/>
  <c r="E11" i="192"/>
  <c r="D11" i="192" s="1"/>
  <c r="G11" i="192" s="1"/>
  <c r="F12" i="192" s="1"/>
  <c r="C5" i="189"/>
  <c r="C4" i="189"/>
  <c r="C9" i="189"/>
  <c r="C8" i="189"/>
  <c r="C7" i="189"/>
  <c r="C6" i="189"/>
  <c r="E5" i="189"/>
  <c r="E4" i="189"/>
  <c r="C47" i="187"/>
  <c r="C46" i="187"/>
  <c r="C45" i="187"/>
  <c r="C44" i="187"/>
  <c r="C43" i="187"/>
  <c r="C42" i="187"/>
  <c r="C48" i="187"/>
  <c r="C40" i="187"/>
  <c r="C39" i="187"/>
  <c r="C38" i="187"/>
  <c r="C37" i="187"/>
  <c r="C32" i="187"/>
  <c r="C33" i="187"/>
  <c r="E5" i="187"/>
  <c r="C8" i="187"/>
  <c r="C12" i="187"/>
  <c r="C16" i="187"/>
  <c r="C20" i="187"/>
  <c r="C24" i="187"/>
  <c r="C28" i="187"/>
  <c r="C7" i="187"/>
  <c r="C11" i="187"/>
  <c r="C15" i="187"/>
  <c r="C19" i="187"/>
  <c r="C23" i="187"/>
  <c r="C27" i="187"/>
  <c r="C31" i="187"/>
  <c r="C6" i="187"/>
  <c r="C10" i="187"/>
  <c r="C14" i="187"/>
  <c r="C18" i="187"/>
  <c r="C22" i="187"/>
  <c r="C26" i="187"/>
  <c r="C30" i="187"/>
  <c r="C5" i="187"/>
  <c r="C9" i="187"/>
  <c r="C13" i="187"/>
  <c r="C17" i="187"/>
  <c r="C21" i="187"/>
  <c r="C25" i="187"/>
  <c r="C45" i="186"/>
  <c r="C44" i="186"/>
  <c r="C43" i="186"/>
  <c r="C42" i="186"/>
  <c r="C9" i="186"/>
  <c r="C16" i="186"/>
  <c r="C15" i="186"/>
  <c r="C8" i="186"/>
  <c r="C25" i="186"/>
  <c r="C7" i="186"/>
  <c r="C24" i="186"/>
  <c r="C23" i="186"/>
  <c r="C17" i="186"/>
  <c r="C22" i="186"/>
  <c r="C14" i="186"/>
  <c r="C6" i="186"/>
  <c r="C5" i="186"/>
  <c r="C21" i="186"/>
  <c r="C13" i="186"/>
  <c r="C29" i="186"/>
  <c r="C33" i="186"/>
  <c r="C28" i="186"/>
  <c r="D28" i="186" s="1"/>
  <c r="C20" i="186"/>
  <c r="C12" i="186"/>
  <c r="C27" i="186"/>
  <c r="C19" i="186"/>
  <c r="C11" i="186"/>
  <c r="C26" i="186"/>
  <c r="C18" i="186"/>
  <c r="C34" i="186"/>
  <c r="C39" i="186"/>
  <c r="C38" i="186"/>
  <c r="C37" i="186"/>
  <c r="C36" i="186"/>
  <c r="C41" i="186"/>
  <c r="C40" i="186"/>
  <c r="C30" i="186"/>
  <c r="C32" i="186"/>
  <c r="E5" i="186"/>
  <c r="D5" i="186" s="1"/>
  <c r="G5" i="186" s="1"/>
  <c r="F6" i="186" s="1"/>
  <c r="E4" i="186"/>
  <c r="E15" i="184"/>
  <c r="F5" i="184"/>
  <c r="E5" i="184" s="1"/>
  <c r="C15" i="184"/>
  <c r="C19" i="184"/>
  <c r="C21" i="184"/>
  <c r="C20" i="184"/>
  <c r="C17" i="184"/>
  <c r="C16" i="184"/>
  <c r="C6" i="184"/>
  <c r="C12" i="184"/>
  <c r="C7" i="184"/>
  <c r="D15" i="184"/>
  <c r="G15" i="184" s="1"/>
  <c r="C14" i="184"/>
  <c r="C5" i="184"/>
  <c r="D5" i="184" s="1"/>
  <c r="G5" i="184" s="1"/>
  <c r="C9" i="184"/>
  <c r="C13" i="184"/>
  <c r="C10" i="184"/>
  <c r="C8" i="184"/>
  <c r="C21" i="183"/>
  <c r="C20" i="183"/>
  <c r="C18" i="183"/>
  <c r="C15" i="183"/>
  <c r="C16" i="183"/>
  <c r="C12" i="183"/>
  <c r="C8" i="183"/>
  <c r="C9" i="183"/>
  <c r="C11" i="183"/>
  <c r="C7" i="183"/>
  <c r="C13" i="183"/>
  <c r="C14" i="183"/>
  <c r="C6" i="183"/>
  <c r="E5" i="183"/>
  <c r="C5" i="183"/>
  <c r="E55" i="199" l="1"/>
  <c r="D55" i="199" s="1"/>
  <c r="G55" i="199" s="1"/>
  <c r="F56" i="199" s="1"/>
  <c r="E12" i="202"/>
  <c r="D12" i="202" s="1"/>
  <c r="G12" i="202" s="1"/>
  <c r="F13" i="202" s="1"/>
  <c r="E55" i="200"/>
  <c r="D55" i="200" s="1"/>
  <c r="G55" i="200" s="1"/>
  <c r="F56" i="200" s="1"/>
  <c r="E11" i="204"/>
  <c r="D11" i="204" s="1"/>
  <c r="G11" i="204" s="1"/>
  <c r="F12" i="204" s="1"/>
  <c r="E13" i="200"/>
  <c r="D13" i="200" s="1"/>
  <c r="G13" i="200" s="1"/>
  <c r="F14" i="200" s="1"/>
  <c r="E13" i="199"/>
  <c r="D13" i="199" s="1"/>
  <c r="G13" i="199" s="1"/>
  <c r="F14" i="199" s="1"/>
  <c r="E54" i="202"/>
  <c r="D54" i="202" s="1"/>
  <c r="G54" i="202" s="1"/>
  <c r="F55" i="202" s="1"/>
  <c r="E53" i="198"/>
  <c r="D53" i="198" s="1"/>
  <c r="G53" i="198" s="1"/>
  <c r="F54" i="198" s="1"/>
  <c r="E53" i="204"/>
  <c r="D53" i="204" s="1"/>
  <c r="G53" i="204" s="1"/>
  <c r="F54" i="204" s="1"/>
  <c r="F13" i="207"/>
  <c r="E53" i="207"/>
  <c r="D53" i="207" s="1"/>
  <c r="F53" i="207"/>
  <c r="E53" i="208"/>
  <c r="D13" i="208"/>
  <c r="E11" i="198"/>
  <c r="D11" i="198" s="1"/>
  <c r="G11" i="198" s="1"/>
  <c r="F12" i="198" s="1"/>
  <c r="F53" i="209"/>
  <c r="E53" i="209"/>
  <c r="D53" i="209" s="1"/>
  <c r="F13" i="209"/>
  <c r="E53" i="206"/>
  <c r="D13" i="206"/>
  <c r="F53" i="210"/>
  <c r="E13" i="210"/>
  <c r="E53" i="211"/>
  <c r="D13" i="211"/>
  <c r="F40" i="196"/>
  <c r="E12" i="196"/>
  <c r="E12" i="192"/>
  <c r="D12" i="192" s="1"/>
  <c r="G12" i="192" s="1"/>
  <c r="F13" i="192" s="1"/>
  <c r="F40" i="193"/>
  <c r="E13" i="193"/>
  <c r="F40" i="195"/>
  <c r="E12" i="195"/>
  <c r="D5" i="189"/>
  <c r="G5" i="189" s="1"/>
  <c r="F6" i="189" s="1"/>
  <c r="E6" i="189" s="1"/>
  <c r="D6" i="189" s="1"/>
  <c r="G6" i="189" s="1"/>
  <c r="F7" i="189" s="1"/>
  <c r="D5" i="187"/>
  <c r="G5" i="187" s="1"/>
  <c r="F6" i="187" s="1"/>
  <c r="E6" i="187" s="1"/>
  <c r="E6" i="186"/>
  <c r="D6" i="186" s="1"/>
  <c r="G6" i="186" s="1"/>
  <c r="F7" i="186" s="1"/>
  <c r="F16" i="184"/>
  <c r="E16" i="184" s="1"/>
  <c r="F6" i="184"/>
  <c r="E6" i="184" s="1"/>
  <c r="D5" i="183"/>
  <c r="G5" i="183" s="1"/>
  <c r="E14" i="200" l="1"/>
  <c r="D14" i="200" s="1"/>
  <c r="G14" i="200" s="1"/>
  <c r="F15" i="200" s="1"/>
  <c r="E54" i="198"/>
  <c r="D54" i="198" s="1"/>
  <c r="G54" i="198" s="1"/>
  <c r="F55" i="198" s="1"/>
  <c r="E56" i="200"/>
  <c r="D56" i="200" s="1"/>
  <c r="G56" i="200" s="1"/>
  <c r="F57" i="200" s="1"/>
  <c r="E55" i="202"/>
  <c r="D55" i="202" s="1"/>
  <c r="G55" i="202" s="1"/>
  <c r="F56" i="202" s="1"/>
  <c r="E12" i="204"/>
  <c r="D12" i="204" s="1"/>
  <c r="G12" i="204"/>
  <c r="F13" i="204" s="1"/>
  <c r="E13" i="202"/>
  <c r="D13" i="202" s="1"/>
  <c r="G13" i="202"/>
  <c r="F14" i="202" s="1"/>
  <c r="E12" i="198"/>
  <c r="D12" i="198" s="1"/>
  <c r="G12" i="198" s="1"/>
  <c r="F13" i="198" s="1"/>
  <c r="E14" i="199"/>
  <c r="D14" i="199" s="1"/>
  <c r="G14" i="199" s="1"/>
  <c r="F15" i="199" s="1"/>
  <c r="E54" i="204"/>
  <c r="D54" i="204" s="1"/>
  <c r="G54" i="204" s="1"/>
  <c r="F55" i="204" s="1"/>
  <c r="E56" i="199"/>
  <c r="D56" i="199" s="1"/>
  <c r="G56" i="199" s="1"/>
  <c r="F57" i="199" s="1"/>
  <c r="G53" i="207"/>
  <c r="F54" i="207" s="1"/>
  <c r="D53" i="206"/>
  <c r="G13" i="206"/>
  <c r="G13" i="207"/>
  <c r="F14" i="207" s="1"/>
  <c r="E13" i="207"/>
  <c r="D13" i="207" s="1"/>
  <c r="D53" i="208"/>
  <c r="G13" i="208"/>
  <c r="D53" i="211"/>
  <c r="G13" i="211"/>
  <c r="G53" i="209"/>
  <c r="F54" i="209" s="1"/>
  <c r="E13" i="209"/>
  <c r="D13" i="209" s="1"/>
  <c r="G13" i="209" s="1"/>
  <c r="F14" i="209" s="1"/>
  <c r="E53" i="210"/>
  <c r="D13" i="210"/>
  <c r="F40" i="192"/>
  <c r="E13" i="192"/>
  <c r="E40" i="193"/>
  <c r="D13" i="193"/>
  <c r="G13" i="193" s="1"/>
  <c r="D40" i="193"/>
  <c r="E40" i="195"/>
  <c r="D12" i="195"/>
  <c r="G12" i="195" s="1"/>
  <c r="D40" i="195"/>
  <c r="E40" i="196"/>
  <c r="D12" i="196"/>
  <c r="G12" i="196" s="1"/>
  <c r="D40" i="196"/>
  <c r="F10" i="189"/>
  <c r="E10" i="189" s="1"/>
  <c r="D10" i="189" s="1"/>
  <c r="G10" i="189" s="1"/>
  <c r="F11" i="189" s="1"/>
  <c r="E11" i="189" s="1"/>
  <c r="D11" i="189" s="1"/>
  <c r="G11" i="189" s="1"/>
  <c r="F12" i="189" s="1"/>
  <c r="E7" i="189"/>
  <c r="D7" i="189" s="1"/>
  <c r="G7" i="189" s="1"/>
  <c r="F8" i="189" s="1"/>
  <c r="D6" i="187"/>
  <c r="G6" i="187" s="1"/>
  <c r="F7" i="187" s="1"/>
  <c r="E7" i="187" s="1"/>
  <c r="E7" i="186"/>
  <c r="D7" i="186" s="1"/>
  <c r="G7" i="186" s="1"/>
  <c r="D16" i="184"/>
  <c r="G16" i="184" s="1"/>
  <c r="F17" i="184" s="1"/>
  <c r="E17" i="184" s="1"/>
  <c r="D6" i="184"/>
  <c r="G6" i="184" s="1"/>
  <c r="F7" i="184" s="1"/>
  <c r="E7" i="184" s="1"/>
  <c r="F6" i="183"/>
  <c r="E6" i="183" s="1"/>
  <c r="D6" i="183" s="1"/>
  <c r="G6" i="183" s="1"/>
  <c r="F7" i="183" s="1"/>
  <c r="E7" i="183" s="1"/>
  <c r="D7" i="183" s="1"/>
  <c r="G7" i="183" s="1"/>
  <c r="F8" i="183" s="1"/>
  <c r="E8" i="183" s="1"/>
  <c r="D8" i="183" s="1"/>
  <c r="G8" i="183" s="1"/>
  <c r="F9" i="183" s="1"/>
  <c r="E9" i="183" s="1"/>
  <c r="D9" i="183" s="1"/>
  <c r="G9" i="183" s="1"/>
  <c r="F10" i="183" s="1"/>
  <c r="F16" i="183"/>
  <c r="E16" i="183" s="1"/>
  <c r="D16" i="183" s="1"/>
  <c r="G16" i="183" s="1"/>
  <c r="F17" i="183" s="1"/>
  <c r="E14" i="209" l="1"/>
  <c r="D14" i="209" s="1"/>
  <c r="G14" i="209" s="1"/>
  <c r="F15" i="209" s="1"/>
  <c r="E57" i="200"/>
  <c r="D57" i="200" s="1"/>
  <c r="G57" i="200" s="1"/>
  <c r="F58" i="200" s="1"/>
  <c r="E57" i="199"/>
  <c r="D57" i="199" s="1"/>
  <c r="G57" i="199" s="1"/>
  <c r="F58" i="199" s="1"/>
  <c r="E55" i="204"/>
  <c r="D55" i="204" s="1"/>
  <c r="G55" i="204" s="1"/>
  <c r="F56" i="204" s="1"/>
  <c r="E15" i="199"/>
  <c r="D15" i="199" s="1"/>
  <c r="G15" i="199" s="1"/>
  <c r="F16" i="199" s="1"/>
  <c r="E55" i="198"/>
  <c r="D55" i="198" s="1"/>
  <c r="G55" i="198" s="1"/>
  <c r="F56" i="198" s="1"/>
  <c r="E56" i="202"/>
  <c r="D56" i="202" s="1"/>
  <c r="G56" i="202" s="1"/>
  <c r="E13" i="198"/>
  <c r="D13" i="198" s="1"/>
  <c r="G13" i="198" s="1"/>
  <c r="F14" i="198" s="1"/>
  <c r="E15" i="200"/>
  <c r="D15" i="200" s="1"/>
  <c r="G15" i="200" s="1"/>
  <c r="F16" i="200" s="1"/>
  <c r="E14" i="207"/>
  <c r="D14" i="207" s="1"/>
  <c r="G14" i="207" s="1"/>
  <c r="F15" i="207" s="1"/>
  <c r="G53" i="211"/>
  <c r="F14" i="211"/>
  <c r="E54" i="207"/>
  <c r="D54" i="207" s="1"/>
  <c r="G54" i="207" s="1"/>
  <c r="F55" i="207" s="1"/>
  <c r="G53" i="208"/>
  <c r="F54" i="208" s="1"/>
  <c r="F14" i="208"/>
  <c r="G53" i="206"/>
  <c r="F54" i="206" s="1"/>
  <c r="F14" i="206"/>
  <c r="D53" i="210"/>
  <c r="G13" i="210"/>
  <c r="E13" i="204"/>
  <c r="D13" i="204" s="1"/>
  <c r="G13" i="204" s="1"/>
  <c r="F14" i="204" s="1"/>
  <c r="E54" i="209"/>
  <c r="D54" i="209" s="1"/>
  <c r="G54" i="209"/>
  <c r="F55" i="209" s="1"/>
  <c r="E14" i="202"/>
  <c r="D14" i="202" s="1"/>
  <c r="G14" i="202" s="1"/>
  <c r="F15" i="202" s="1"/>
  <c r="G40" i="195"/>
  <c r="F13" i="195"/>
  <c r="F14" i="193"/>
  <c r="G40" i="193"/>
  <c r="F41" i="193" s="1"/>
  <c r="F13" i="196"/>
  <c r="G40" i="196"/>
  <c r="E40" i="192"/>
  <c r="D13" i="192"/>
  <c r="G13" i="192" s="1"/>
  <c r="D40" i="192"/>
  <c r="D12" i="189"/>
  <c r="G12" i="189" s="1"/>
  <c r="F13" i="189" s="1"/>
  <c r="E13" i="189" s="1"/>
  <c r="E8" i="189"/>
  <c r="D8" i="189" s="1"/>
  <c r="G8" i="189" s="1"/>
  <c r="F9" i="189" s="1"/>
  <c r="D7" i="187"/>
  <c r="G7" i="187" s="1"/>
  <c r="F8" i="186"/>
  <c r="E8" i="186" s="1"/>
  <c r="D8" i="186" s="1"/>
  <c r="G8" i="186" s="1"/>
  <c r="F9" i="186" s="1"/>
  <c r="F29" i="186"/>
  <c r="E29" i="186" s="1"/>
  <c r="D29" i="186" s="1"/>
  <c r="G29" i="186" s="1"/>
  <c r="F30" i="186" s="1"/>
  <c r="E30" i="186" s="1"/>
  <c r="D30" i="186" s="1"/>
  <c r="G30" i="186" s="1"/>
  <c r="F31" i="186" s="1"/>
  <c r="E31" i="186" s="1"/>
  <c r="D31" i="186" s="1"/>
  <c r="G31" i="186" s="1"/>
  <c r="F32" i="186" s="1"/>
  <c r="E32" i="186" s="1"/>
  <c r="D32" i="186" s="1"/>
  <c r="G32" i="186" s="1"/>
  <c r="F33" i="186" s="1"/>
  <c r="E33" i="186" s="1"/>
  <c r="D17" i="184"/>
  <c r="G17" i="184" s="1"/>
  <c r="F18" i="184" s="1"/>
  <c r="E18" i="184" s="1"/>
  <c r="D7" i="184"/>
  <c r="G7" i="184" s="1"/>
  <c r="F8" i="184" s="1"/>
  <c r="E8" i="184" s="1"/>
  <c r="E17" i="183"/>
  <c r="D17" i="183" s="1"/>
  <c r="G17" i="183" s="1"/>
  <c r="F18" i="183" s="1"/>
  <c r="E18" i="183" s="1"/>
  <c r="D18" i="183" s="1"/>
  <c r="G18" i="183" s="1"/>
  <c r="F19" i="183" s="1"/>
  <c r="E19" i="183" s="1"/>
  <c r="D19" i="183" s="1"/>
  <c r="G19" i="183" s="1"/>
  <c r="F20" i="183" s="1"/>
  <c r="E20" i="183" s="1"/>
  <c r="D20" i="183" s="1"/>
  <c r="G20" i="183" s="1"/>
  <c r="F21" i="183" s="1"/>
  <c r="E21" i="183" s="1"/>
  <c r="E10" i="183"/>
  <c r="D10" i="183" s="1"/>
  <c r="G10" i="183" s="1"/>
  <c r="F11" i="183" s="1"/>
  <c r="E56" i="198" l="1"/>
  <c r="D56" i="198" s="1"/>
  <c r="G56" i="198" s="1"/>
  <c r="E14" i="198"/>
  <c r="D14" i="198" s="1"/>
  <c r="G14" i="198" s="1"/>
  <c r="F15" i="198" s="1"/>
  <c r="E55" i="207"/>
  <c r="D55" i="207" s="1"/>
  <c r="G55" i="207" s="1"/>
  <c r="F56" i="207" s="1"/>
  <c r="E16" i="199"/>
  <c r="D16" i="199" s="1"/>
  <c r="G16" i="199" s="1"/>
  <c r="F17" i="199" s="1"/>
  <c r="E58" i="199"/>
  <c r="D58" i="199" s="1"/>
  <c r="G58" i="199"/>
  <c r="F59" i="199" s="1"/>
  <c r="E15" i="202"/>
  <c r="F57" i="202"/>
  <c r="E14" i="204"/>
  <c r="D14" i="204" s="1"/>
  <c r="G14" i="204" s="1"/>
  <c r="F15" i="204" s="1"/>
  <c r="G15" i="207"/>
  <c r="F16" i="207" s="1"/>
  <c r="E15" i="207"/>
  <c r="D15" i="207" s="1"/>
  <c r="E58" i="200"/>
  <c r="D58" i="200" s="1"/>
  <c r="G58" i="200" s="1"/>
  <c r="F59" i="200" s="1"/>
  <c r="G56" i="204"/>
  <c r="E56" i="204"/>
  <c r="D56" i="204" s="1"/>
  <c r="E16" i="200"/>
  <c r="D16" i="200" s="1"/>
  <c r="G16" i="200" s="1"/>
  <c r="F17" i="200" s="1"/>
  <c r="E15" i="209"/>
  <c r="D15" i="209" s="1"/>
  <c r="G15" i="209" s="1"/>
  <c r="F16" i="209" s="1"/>
  <c r="F54" i="211"/>
  <c r="E14" i="211"/>
  <c r="E54" i="206"/>
  <c r="D54" i="206" s="1"/>
  <c r="G54" i="206" s="1"/>
  <c r="F55" i="206" s="1"/>
  <c r="E55" i="209"/>
  <c r="D55" i="209" s="1"/>
  <c r="G55" i="209" s="1"/>
  <c r="F56" i="209" s="1"/>
  <c r="E14" i="208"/>
  <c r="D14" i="208" s="1"/>
  <c r="G14" i="208" s="1"/>
  <c r="F15" i="208" s="1"/>
  <c r="G53" i="210"/>
  <c r="F14" i="210"/>
  <c r="E14" i="206"/>
  <c r="D14" i="206" s="1"/>
  <c r="G14" i="206" s="1"/>
  <c r="F15" i="206" s="1"/>
  <c r="E54" i="208"/>
  <c r="D54" i="208" s="1"/>
  <c r="G54" i="208" s="1"/>
  <c r="F55" i="208" s="1"/>
  <c r="G40" i="192"/>
  <c r="F41" i="192" s="1"/>
  <c r="F14" i="192"/>
  <c r="E13" i="196"/>
  <c r="D13" i="196" s="1"/>
  <c r="G13" i="196" s="1"/>
  <c r="F14" i="196" s="1"/>
  <c r="E14" i="193"/>
  <c r="D14" i="193" s="1"/>
  <c r="G14" i="193" s="1"/>
  <c r="F15" i="193" s="1"/>
  <c r="E41" i="193"/>
  <c r="D41" i="193" s="1"/>
  <c r="G41" i="193"/>
  <c r="F42" i="193" s="1"/>
  <c r="E13" i="195"/>
  <c r="D13" i="195" s="1"/>
  <c r="G13" i="195" s="1"/>
  <c r="F14" i="195" s="1"/>
  <c r="F41" i="196"/>
  <c r="E41" i="196"/>
  <c r="D41" i="196" s="1"/>
  <c r="E41" i="195"/>
  <c r="D41" i="195" s="1"/>
  <c r="F41" i="195"/>
  <c r="D13" i="189"/>
  <c r="G13" i="189" s="1"/>
  <c r="F14" i="189" s="1"/>
  <c r="E14" i="189" s="1"/>
  <c r="D14" i="189" s="1"/>
  <c r="G14" i="189" s="1"/>
  <c r="F15" i="189" s="1"/>
  <c r="E15" i="189" s="1"/>
  <c r="D15" i="189" s="1"/>
  <c r="G15" i="189" s="1"/>
  <c r="F16" i="189" s="1"/>
  <c r="E16" i="189" s="1"/>
  <c r="D16" i="189" s="1"/>
  <c r="G16" i="189" s="1"/>
  <c r="F17" i="189" s="1"/>
  <c r="E17" i="189" s="1"/>
  <c r="D17" i="189" s="1"/>
  <c r="G17" i="189" s="1"/>
  <c r="F18" i="189" s="1"/>
  <c r="E18" i="189" s="1"/>
  <c r="D18" i="189" s="1"/>
  <c r="G18" i="189" s="1"/>
  <c r="F19" i="189" s="1"/>
  <c r="D9" i="189"/>
  <c r="G9" i="189" s="1"/>
  <c r="F8" i="187"/>
  <c r="E8" i="187" s="1"/>
  <c r="F29" i="187"/>
  <c r="E29" i="187" s="1"/>
  <c r="D33" i="186"/>
  <c r="G33" i="186" s="1"/>
  <c r="F34" i="186" s="1"/>
  <c r="E34" i="186" s="1"/>
  <c r="E9" i="186"/>
  <c r="D9" i="186" s="1"/>
  <c r="G9" i="186" s="1"/>
  <c r="F10" i="186" s="1"/>
  <c r="D18" i="184"/>
  <c r="G18" i="184" s="1"/>
  <c r="F19" i="184" s="1"/>
  <c r="E19" i="184" s="1"/>
  <c r="D8" i="184"/>
  <c r="G8" i="184" s="1"/>
  <c r="F9" i="184" s="1"/>
  <c r="E9" i="184" s="1"/>
  <c r="D21" i="183"/>
  <c r="G21" i="183" s="1"/>
  <c r="F22" i="183" s="1"/>
  <c r="E22" i="183" s="1"/>
  <c r="E11" i="183"/>
  <c r="D11" i="183" s="1"/>
  <c r="G11" i="183" s="1"/>
  <c r="F12" i="183" s="1"/>
  <c r="E17" i="200" l="1"/>
  <c r="D17" i="200" s="1"/>
  <c r="G17" i="200" s="1"/>
  <c r="F18" i="200" s="1"/>
  <c r="E15" i="206"/>
  <c r="D15" i="206" s="1"/>
  <c r="G15" i="206"/>
  <c r="F16" i="206" s="1"/>
  <c r="E15" i="208"/>
  <c r="D15" i="208" s="1"/>
  <c r="G15" i="208" s="1"/>
  <c r="F16" i="208" s="1"/>
  <c r="E16" i="209"/>
  <c r="D16" i="209" s="1"/>
  <c r="G16" i="209" s="1"/>
  <c r="F17" i="209" s="1"/>
  <c r="E56" i="207"/>
  <c r="D56" i="207" s="1"/>
  <c r="G56" i="207" s="1"/>
  <c r="F57" i="207" s="1"/>
  <c r="E59" i="200"/>
  <c r="D59" i="200" s="1"/>
  <c r="G59" i="200" s="1"/>
  <c r="F60" i="200" s="1"/>
  <c r="E55" i="206"/>
  <c r="D55" i="206" s="1"/>
  <c r="G55" i="206"/>
  <c r="F56" i="206" s="1"/>
  <c r="E15" i="198"/>
  <c r="F57" i="198"/>
  <c r="E56" i="209"/>
  <c r="D56" i="209" s="1"/>
  <c r="G56" i="209" s="1"/>
  <c r="F57" i="209" s="1"/>
  <c r="E17" i="199"/>
  <c r="D17" i="199" s="1"/>
  <c r="G17" i="199" s="1"/>
  <c r="F18" i="199" s="1"/>
  <c r="E55" i="208"/>
  <c r="D55" i="208" s="1"/>
  <c r="G55" i="208"/>
  <c r="F56" i="208" s="1"/>
  <c r="F57" i="204"/>
  <c r="E15" i="204"/>
  <c r="E16" i="207"/>
  <c r="D16" i="207" s="1"/>
  <c r="G16" i="207"/>
  <c r="F17" i="207" s="1"/>
  <c r="F54" i="210"/>
  <c r="E14" i="210"/>
  <c r="E54" i="211"/>
  <c r="D14" i="211"/>
  <c r="E59" i="199"/>
  <c r="D59" i="199" s="1"/>
  <c r="G59" i="199" s="1"/>
  <c r="F60" i="199" s="1"/>
  <c r="E57" i="202"/>
  <c r="D15" i="202"/>
  <c r="E14" i="195"/>
  <c r="D14" i="195" s="1"/>
  <c r="G14" i="195" s="1"/>
  <c r="F15" i="195" s="1"/>
  <c r="E15" i="193"/>
  <c r="D15" i="193" s="1"/>
  <c r="G15" i="193" s="1"/>
  <c r="F16" i="193" s="1"/>
  <c r="E14" i="196"/>
  <c r="D14" i="196" s="1"/>
  <c r="G14" i="196" s="1"/>
  <c r="F15" i="196" s="1"/>
  <c r="G41" i="195"/>
  <c r="F42" i="195" s="1"/>
  <c r="G42" i="193"/>
  <c r="F43" i="193" s="1"/>
  <c r="E42" i="193"/>
  <c r="D42" i="193" s="1"/>
  <c r="G41" i="196"/>
  <c r="F42" i="196" s="1"/>
  <c r="E14" i="192"/>
  <c r="D14" i="192" s="1"/>
  <c r="G14" i="192" s="1"/>
  <c r="F15" i="192" s="1"/>
  <c r="E41" i="192"/>
  <c r="D41" i="192" s="1"/>
  <c r="G41" i="192"/>
  <c r="F42" i="192" s="1"/>
  <c r="E19" i="189"/>
  <c r="D19" i="189" s="1"/>
  <c r="G19" i="189" s="1"/>
  <c r="D29" i="187"/>
  <c r="G29" i="187" s="1"/>
  <c r="F30" i="187" s="1"/>
  <c r="E30" i="187" s="1"/>
  <c r="D8" i="187"/>
  <c r="G8" i="187" s="1"/>
  <c r="F9" i="187" s="1"/>
  <c r="E9" i="187" s="1"/>
  <c r="D34" i="186"/>
  <c r="G34" i="186" s="1"/>
  <c r="F35" i="186" s="1"/>
  <c r="E10" i="186"/>
  <c r="D10" i="186" s="1"/>
  <c r="G10" i="186" s="1"/>
  <c r="F11" i="186" s="1"/>
  <c r="D19" i="184"/>
  <c r="G19" i="184" s="1"/>
  <c r="F20" i="184" s="1"/>
  <c r="E20" i="184" s="1"/>
  <c r="D9" i="184"/>
  <c r="G9" i="184" s="1"/>
  <c r="F10" i="184" s="1"/>
  <c r="E10" i="184" s="1"/>
  <c r="D22" i="183"/>
  <c r="G22" i="183" s="1"/>
  <c r="F23" i="183" s="1"/>
  <c r="E23" i="183" s="1"/>
  <c r="E12" i="183"/>
  <c r="D12" i="183" s="1"/>
  <c r="G12" i="183" s="1"/>
  <c r="F13" i="183" s="1"/>
  <c r="E17" i="209" l="1"/>
  <c r="D17" i="209" s="1"/>
  <c r="G17" i="209" s="1"/>
  <c r="F18" i="209" s="1"/>
  <c r="E57" i="207"/>
  <c r="D57" i="207" s="1"/>
  <c r="G57" i="207"/>
  <c r="F58" i="207" s="1"/>
  <c r="E60" i="200"/>
  <c r="D60" i="200" s="1"/>
  <c r="G60" i="200"/>
  <c r="F61" i="200" s="1"/>
  <c r="E16" i="208"/>
  <c r="D16" i="208" s="1"/>
  <c r="G16" i="208" s="1"/>
  <c r="F17" i="208" s="1"/>
  <c r="E60" i="199"/>
  <c r="D60" i="199" s="1"/>
  <c r="G60" i="199"/>
  <c r="F61" i="199" s="1"/>
  <c r="E18" i="199"/>
  <c r="D18" i="199" s="1"/>
  <c r="G18" i="199" s="1"/>
  <c r="F19" i="199" s="1"/>
  <c r="E57" i="209"/>
  <c r="D57" i="209" s="1"/>
  <c r="G57" i="209"/>
  <c r="F58" i="209" s="1"/>
  <c r="E18" i="200"/>
  <c r="D18" i="200" s="1"/>
  <c r="G18" i="200" s="1"/>
  <c r="F19" i="200" s="1"/>
  <c r="E56" i="208"/>
  <c r="D56" i="208" s="1"/>
  <c r="G56" i="208" s="1"/>
  <c r="F57" i="208" s="1"/>
  <c r="E16" i="206"/>
  <c r="D16" i="206" s="1"/>
  <c r="G16" i="206" s="1"/>
  <c r="F17" i="206" s="1"/>
  <c r="E57" i="198"/>
  <c r="D15" i="198"/>
  <c r="D57" i="202"/>
  <c r="G15" i="202"/>
  <c r="E57" i="204"/>
  <c r="D15" i="204"/>
  <c r="E54" i="210"/>
  <c r="D14" i="210"/>
  <c r="E56" i="206"/>
  <c r="D56" i="206" s="1"/>
  <c r="G56" i="206" s="1"/>
  <c r="F57" i="206" s="1"/>
  <c r="E17" i="207"/>
  <c r="D17" i="207" s="1"/>
  <c r="G17" i="207" s="1"/>
  <c r="F18" i="207" s="1"/>
  <c r="D54" i="211"/>
  <c r="G14" i="211"/>
  <c r="E15" i="192"/>
  <c r="D15" i="192" s="1"/>
  <c r="G15" i="192" s="1"/>
  <c r="F16" i="192" s="1"/>
  <c r="E16" i="193"/>
  <c r="D16" i="193" s="1"/>
  <c r="G16" i="193" s="1"/>
  <c r="F17" i="193" s="1"/>
  <c r="E15" i="196"/>
  <c r="D15" i="196" s="1"/>
  <c r="G15" i="196"/>
  <c r="F16" i="196" s="1"/>
  <c r="E15" i="195"/>
  <c r="D15" i="195" s="1"/>
  <c r="G15" i="195" s="1"/>
  <c r="F16" i="195" s="1"/>
  <c r="E43" i="193"/>
  <c r="D43" i="193" s="1"/>
  <c r="G43" i="193" s="1"/>
  <c r="F44" i="193" s="1"/>
  <c r="E42" i="192"/>
  <c r="D42" i="192" s="1"/>
  <c r="G42" i="192"/>
  <c r="F43" i="192" s="1"/>
  <c r="E42" i="196"/>
  <c r="D42" i="196" s="1"/>
  <c r="G42" i="196"/>
  <c r="F43" i="196" s="1"/>
  <c r="E42" i="195"/>
  <c r="D42" i="195" s="1"/>
  <c r="G42" i="195" s="1"/>
  <c r="F43" i="195" s="1"/>
  <c r="D9" i="187"/>
  <c r="G9" i="187" s="1"/>
  <c r="F10" i="187" s="1"/>
  <c r="E10" i="187" s="1"/>
  <c r="D30" i="187"/>
  <c r="G30" i="187" s="1"/>
  <c r="F31" i="187" s="1"/>
  <c r="E31" i="187" s="1"/>
  <c r="E35" i="186"/>
  <c r="D35" i="186" s="1"/>
  <c r="G35" i="186" s="1"/>
  <c r="F36" i="186" s="1"/>
  <c r="E36" i="186" s="1"/>
  <c r="D36" i="186" s="1"/>
  <c r="G36" i="186" s="1"/>
  <c r="F37" i="186" s="1"/>
  <c r="E37" i="186" s="1"/>
  <c r="D37" i="186" s="1"/>
  <c r="G37" i="186" s="1"/>
  <c r="F38" i="186" s="1"/>
  <c r="E38" i="186" s="1"/>
  <c r="D38" i="186" s="1"/>
  <c r="G38" i="186" s="1"/>
  <c r="F39" i="186" s="1"/>
  <c r="E11" i="186"/>
  <c r="D11" i="186" s="1"/>
  <c r="G11" i="186" s="1"/>
  <c r="F12" i="186" s="1"/>
  <c r="D20" i="184"/>
  <c r="G20" i="184" s="1"/>
  <c r="F21" i="184" s="1"/>
  <c r="E21" i="184" s="1"/>
  <c r="D10" i="184"/>
  <c r="G10" i="184" s="1"/>
  <c r="F11" i="184" s="1"/>
  <c r="E11" i="184" s="1"/>
  <c r="D23" i="183"/>
  <c r="G23" i="183" s="1"/>
  <c r="E13" i="183"/>
  <c r="D13" i="183" s="1"/>
  <c r="G13" i="183" s="1"/>
  <c r="F14" i="183" s="1"/>
  <c r="E57" i="208" l="1"/>
  <c r="D57" i="208" s="1"/>
  <c r="G57" i="208" s="1"/>
  <c r="F58" i="208" s="1"/>
  <c r="E57" i="206"/>
  <c r="D57" i="206" s="1"/>
  <c r="G57" i="206" s="1"/>
  <c r="F58" i="206" s="1"/>
  <c r="E18" i="207"/>
  <c r="D18" i="207" s="1"/>
  <c r="G18" i="207" s="1"/>
  <c r="F19" i="207" s="1"/>
  <c r="E17" i="208"/>
  <c r="D17" i="208" s="1"/>
  <c r="G17" i="208" s="1"/>
  <c r="F18" i="208" s="1"/>
  <c r="E17" i="206"/>
  <c r="D17" i="206" s="1"/>
  <c r="G17" i="206"/>
  <c r="F18" i="206" s="1"/>
  <c r="E19" i="200"/>
  <c r="D19" i="200" s="1"/>
  <c r="G19" i="200" s="1"/>
  <c r="F20" i="200" s="1"/>
  <c r="E19" i="199"/>
  <c r="D19" i="199" s="1"/>
  <c r="G19" i="199"/>
  <c r="F20" i="199" s="1"/>
  <c r="E18" i="209"/>
  <c r="D18" i="209" s="1"/>
  <c r="G18" i="209"/>
  <c r="F19" i="209" s="1"/>
  <c r="G57" i="202"/>
  <c r="F58" i="202" s="1"/>
  <c r="F16" i="202"/>
  <c r="D54" i="210"/>
  <c r="G14" i="210"/>
  <c r="E58" i="207"/>
  <c r="D58" i="207" s="1"/>
  <c r="G58" i="207"/>
  <c r="F59" i="207" s="1"/>
  <c r="E58" i="209"/>
  <c r="D58" i="209" s="1"/>
  <c r="G58" i="209"/>
  <c r="F59" i="209" s="1"/>
  <c r="E61" i="200"/>
  <c r="D61" i="200" s="1"/>
  <c r="G61" i="200" s="1"/>
  <c r="F62" i="200" s="1"/>
  <c r="D57" i="204"/>
  <c r="G15" i="204"/>
  <c r="E61" i="199"/>
  <c r="D61" i="199" s="1"/>
  <c r="G61" i="199" s="1"/>
  <c r="F62" i="199" s="1"/>
  <c r="D57" i="198"/>
  <c r="G15" i="198"/>
  <c r="G54" i="211"/>
  <c r="F15" i="211"/>
  <c r="E44" i="193"/>
  <c r="D44" i="193" s="1"/>
  <c r="G44" i="193" s="1"/>
  <c r="F45" i="193" s="1"/>
  <c r="E16" i="195"/>
  <c r="D16" i="195" s="1"/>
  <c r="G16" i="195" s="1"/>
  <c r="F17" i="195" s="1"/>
  <c r="E43" i="195"/>
  <c r="D43" i="195" s="1"/>
  <c r="G43" i="195" s="1"/>
  <c r="F44" i="195" s="1"/>
  <c r="E17" i="193"/>
  <c r="D17" i="193" s="1"/>
  <c r="G17" i="193" s="1"/>
  <c r="F18" i="193" s="1"/>
  <c r="E16" i="192"/>
  <c r="D16" i="192" s="1"/>
  <c r="G16" i="192" s="1"/>
  <c r="F17" i="192" s="1"/>
  <c r="E16" i="196"/>
  <c r="D16" i="196" s="1"/>
  <c r="G16" i="196" s="1"/>
  <c r="F17" i="196" s="1"/>
  <c r="E43" i="192"/>
  <c r="D43" i="192" s="1"/>
  <c r="G43" i="192" s="1"/>
  <c r="F44" i="192" s="1"/>
  <c r="E43" i="196"/>
  <c r="D43" i="196" s="1"/>
  <c r="G43" i="196" s="1"/>
  <c r="F44" i="196" s="1"/>
  <c r="D31" i="187"/>
  <c r="G31" i="187" s="1"/>
  <c r="F32" i="187" s="1"/>
  <c r="D10" i="187"/>
  <c r="G10" i="187" s="1"/>
  <c r="F11" i="187" s="1"/>
  <c r="E11" i="187" s="1"/>
  <c r="E39" i="186"/>
  <c r="D39" i="186" s="1"/>
  <c r="G39" i="186" s="1"/>
  <c r="F40" i="186" s="1"/>
  <c r="E40" i="186" s="1"/>
  <c r="D40" i="186" s="1"/>
  <c r="G40" i="186" s="1"/>
  <c r="F41" i="186" s="1"/>
  <c r="E41" i="186" s="1"/>
  <c r="D41" i="186" s="1"/>
  <c r="G41" i="186" s="1"/>
  <c r="F42" i="186" s="1"/>
  <c r="E42" i="186" s="1"/>
  <c r="D42" i="186" s="1"/>
  <c r="G42" i="186" s="1"/>
  <c r="F43" i="186" s="1"/>
  <c r="E43" i="186" s="1"/>
  <c r="D43" i="186" s="1"/>
  <c r="G43" i="186" s="1"/>
  <c r="F44" i="186" s="1"/>
  <c r="E12" i="186"/>
  <c r="D12" i="186" s="1"/>
  <c r="G12" i="186" s="1"/>
  <c r="F13" i="186" s="1"/>
  <c r="D21" i="184"/>
  <c r="G21" i="184" s="1"/>
  <c r="F22" i="184" s="1"/>
  <c r="E22" i="184" s="1"/>
  <c r="D11" i="184"/>
  <c r="G11" i="184" s="1"/>
  <c r="F12" i="184" s="1"/>
  <c r="E12" i="184" s="1"/>
  <c r="F24" i="183"/>
  <c r="E24" i="183" s="1"/>
  <c r="D24" i="183" s="1"/>
  <c r="G24" i="183" s="1"/>
  <c r="D14" i="183"/>
  <c r="G14" i="183" s="1"/>
  <c r="E19" i="207" l="1"/>
  <c r="D19" i="207" s="1"/>
  <c r="G19" i="207" s="1"/>
  <c r="F20" i="207" s="1"/>
  <c r="E20" i="200"/>
  <c r="D20" i="200" s="1"/>
  <c r="G20" i="200" s="1"/>
  <c r="F21" i="200" s="1"/>
  <c r="E58" i="206"/>
  <c r="D58" i="206" s="1"/>
  <c r="G58" i="206" s="1"/>
  <c r="F59" i="206" s="1"/>
  <c r="E62" i="199"/>
  <c r="D62" i="199" s="1"/>
  <c r="G62" i="199" s="1"/>
  <c r="F63" i="199" s="1"/>
  <c r="E62" i="200"/>
  <c r="D62" i="200" s="1"/>
  <c r="G62" i="200" s="1"/>
  <c r="F63" i="200" s="1"/>
  <c r="E18" i="208"/>
  <c r="D18" i="208" s="1"/>
  <c r="G18" i="208"/>
  <c r="F19" i="208" s="1"/>
  <c r="E58" i="208"/>
  <c r="D58" i="208" s="1"/>
  <c r="G58" i="208"/>
  <c r="F59" i="208" s="1"/>
  <c r="F16" i="198"/>
  <c r="G57" i="198"/>
  <c r="F58" i="198" s="1"/>
  <c r="G54" i="210"/>
  <c r="F15" i="210"/>
  <c r="E59" i="209"/>
  <c r="D59" i="209" s="1"/>
  <c r="G59" i="209" s="1"/>
  <c r="F60" i="209" s="1"/>
  <c r="E20" i="199"/>
  <c r="D20" i="199" s="1"/>
  <c r="G20" i="199" s="1"/>
  <c r="F21" i="199" s="1"/>
  <c r="E15" i="211"/>
  <c r="F55" i="211"/>
  <c r="E16" i="202"/>
  <c r="D16" i="202" s="1"/>
  <c r="G16" i="202" s="1"/>
  <c r="F17" i="202" s="1"/>
  <c r="G18" i="206"/>
  <c r="F19" i="206" s="1"/>
  <c r="E18" i="206"/>
  <c r="D18" i="206" s="1"/>
  <c r="E19" i="209"/>
  <c r="D19" i="209" s="1"/>
  <c r="G19" i="209"/>
  <c r="F20" i="209" s="1"/>
  <c r="G59" i="207"/>
  <c r="F60" i="207" s="1"/>
  <c r="E59" i="207"/>
  <c r="D59" i="207" s="1"/>
  <c r="G57" i="204"/>
  <c r="F58" i="204" s="1"/>
  <c r="F16" i="204"/>
  <c r="E58" i="202"/>
  <c r="D58" i="202" s="1"/>
  <c r="G58" i="202" s="1"/>
  <c r="F59" i="202" s="1"/>
  <c r="E44" i="196"/>
  <c r="D44" i="196" s="1"/>
  <c r="G44" i="196" s="1"/>
  <c r="F45" i="196" s="1"/>
  <c r="E17" i="192"/>
  <c r="D17" i="192" s="1"/>
  <c r="G17" i="192" s="1"/>
  <c r="F18" i="192" s="1"/>
  <c r="E44" i="192"/>
  <c r="D44" i="192" s="1"/>
  <c r="G44" i="192" s="1"/>
  <c r="F45" i="192" s="1"/>
  <c r="E18" i="193"/>
  <c r="D18" i="193" s="1"/>
  <c r="G18" i="193" s="1"/>
  <c r="F19" i="193" s="1"/>
  <c r="E17" i="195"/>
  <c r="D17" i="195" s="1"/>
  <c r="G17" i="195" s="1"/>
  <c r="F18" i="195" s="1"/>
  <c r="E17" i="196"/>
  <c r="D17" i="196" s="1"/>
  <c r="G17" i="196" s="1"/>
  <c r="F18" i="196" s="1"/>
  <c r="E44" i="195"/>
  <c r="D44" i="195" s="1"/>
  <c r="G44" i="195" s="1"/>
  <c r="F45" i="195" s="1"/>
  <c r="E45" i="193"/>
  <c r="D45" i="193" s="1"/>
  <c r="G45" i="193" s="1"/>
  <c r="F46" i="193" s="1"/>
  <c r="E32" i="187"/>
  <c r="D32" i="187" s="1"/>
  <c r="G32" i="187" s="1"/>
  <c r="F33" i="187" s="1"/>
  <c r="E33" i="187" s="1"/>
  <c r="D33" i="187" s="1"/>
  <c r="G33" i="187" s="1"/>
  <c r="F34" i="187" s="1"/>
  <c r="D34" i="187" s="1"/>
  <c r="G34" i="187" s="1"/>
  <c r="F35" i="187" s="1"/>
  <c r="D11" i="187"/>
  <c r="G11" i="187" s="1"/>
  <c r="F12" i="187" s="1"/>
  <c r="E12" i="187" s="1"/>
  <c r="E44" i="186"/>
  <c r="D44" i="186" s="1"/>
  <c r="G44" i="186" s="1"/>
  <c r="F45" i="186" s="1"/>
  <c r="E13" i="186"/>
  <c r="D13" i="186" s="1"/>
  <c r="G13" i="186" s="1"/>
  <c r="F14" i="186" s="1"/>
  <c r="D22" i="184"/>
  <c r="G22" i="184" s="1"/>
  <c r="F23" i="184" s="1"/>
  <c r="E23" i="184" s="1"/>
  <c r="D12" i="184"/>
  <c r="G12" i="184" s="1"/>
  <c r="F13" i="184" s="1"/>
  <c r="E13" i="184" s="1"/>
  <c r="E15" i="183"/>
  <c r="D15" i="183" s="1"/>
  <c r="G15" i="183" s="1"/>
  <c r="E60" i="209" l="1"/>
  <c r="D60" i="209" s="1"/>
  <c r="G60" i="209" s="1"/>
  <c r="F61" i="209" s="1"/>
  <c r="E63" i="200"/>
  <c r="D63" i="200" s="1"/>
  <c r="G63" i="200" s="1"/>
  <c r="F64" i="200" s="1"/>
  <c r="E59" i="206"/>
  <c r="D59" i="206" s="1"/>
  <c r="G59" i="206"/>
  <c r="F60" i="206" s="1"/>
  <c r="E63" i="199"/>
  <c r="D63" i="199" s="1"/>
  <c r="G63" i="199" s="1"/>
  <c r="F64" i="199" s="1"/>
  <c r="E17" i="202"/>
  <c r="D17" i="202" s="1"/>
  <c r="G17" i="202"/>
  <c r="F18" i="202" s="1"/>
  <c r="E21" i="200"/>
  <c r="D21" i="200" s="1"/>
  <c r="G21" i="200"/>
  <c r="F22" i="200" s="1"/>
  <c r="E21" i="199"/>
  <c r="D21" i="199" s="1"/>
  <c r="G21" i="199" s="1"/>
  <c r="F22" i="199" s="1"/>
  <c r="E59" i="202"/>
  <c r="D59" i="202" s="1"/>
  <c r="G59" i="202"/>
  <c r="F60" i="202" s="1"/>
  <c r="E20" i="207"/>
  <c r="D20" i="207" s="1"/>
  <c r="G20" i="207"/>
  <c r="F21" i="207" s="1"/>
  <c r="E60" i="207"/>
  <c r="D60" i="207" s="1"/>
  <c r="G60" i="207" s="1"/>
  <c r="F61" i="207" s="1"/>
  <c r="E20" i="209"/>
  <c r="D20" i="209" s="1"/>
  <c r="G20" i="209" s="1"/>
  <c r="F21" i="209" s="1"/>
  <c r="E19" i="206"/>
  <c r="D19" i="206" s="1"/>
  <c r="G19" i="206"/>
  <c r="F20" i="206" s="1"/>
  <c r="E16" i="204"/>
  <c r="D16" i="204" s="1"/>
  <c r="G16" i="204"/>
  <c r="F17" i="204" s="1"/>
  <c r="E55" i="211"/>
  <c r="D15" i="211"/>
  <c r="E58" i="204"/>
  <c r="D58" i="204" s="1"/>
  <c r="G58" i="204" s="1"/>
  <c r="F59" i="204" s="1"/>
  <c r="E58" i="198"/>
  <c r="D58" i="198" s="1"/>
  <c r="G58" i="198" s="1"/>
  <c r="F59" i="198" s="1"/>
  <c r="E16" i="198"/>
  <c r="D16" i="198" s="1"/>
  <c r="G16" i="198" s="1"/>
  <c r="F17" i="198" s="1"/>
  <c r="E59" i="208"/>
  <c r="D59" i="208" s="1"/>
  <c r="G59" i="208"/>
  <c r="F60" i="208" s="1"/>
  <c r="E19" i="208"/>
  <c r="D19" i="208" s="1"/>
  <c r="G19" i="208" s="1"/>
  <c r="F20" i="208" s="1"/>
  <c r="F55" i="210"/>
  <c r="E15" i="210"/>
  <c r="E18" i="195"/>
  <c r="D18" i="195" s="1"/>
  <c r="G18" i="195" s="1"/>
  <c r="F19" i="195" s="1"/>
  <c r="E46" i="193"/>
  <c r="D46" i="193" s="1"/>
  <c r="G46" i="193" s="1"/>
  <c r="F47" i="193" s="1"/>
  <c r="E18" i="196"/>
  <c r="D18" i="196" s="1"/>
  <c r="G18" i="196" s="1"/>
  <c r="F19" i="196" s="1"/>
  <c r="E45" i="192"/>
  <c r="D45" i="192" s="1"/>
  <c r="G45" i="192" s="1"/>
  <c r="F46" i="192" s="1"/>
  <c r="E45" i="195"/>
  <c r="D45" i="195" s="1"/>
  <c r="G45" i="195" s="1"/>
  <c r="F46" i="195" s="1"/>
  <c r="E19" i="193"/>
  <c r="D19" i="193" s="1"/>
  <c r="G19" i="193" s="1"/>
  <c r="F20" i="193" s="1"/>
  <c r="E18" i="192"/>
  <c r="D18" i="192" s="1"/>
  <c r="G18" i="192" s="1"/>
  <c r="F19" i="192" s="1"/>
  <c r="E45" i="196"/>
  <c r="D45" i="196" s="1"/>
  <c r="G45" i="196" s="1"/>
  <c r="F46" i="196" s="1"/>
  <c r="E35" i="187"/>
  <c r="D35" i="187" s="1"/>
  <c r="G35" i="187" s="1"/>
  <c r="F36" i="187" s="1"/>
  <c r="E36" i="187" s="1"/>
  <c r="D36" i="187" s="1"/>
  <c r="G36" i="187" s="1"/>
  <c r="F37" i="187" s="1"/>
  <c r="D12" i="187"/>
  <c r="G12" i="187" s="1"/>
  <c r="F13" i="187" s="1"/>
  <c r="E13" i="187" s="1"/>
  <c r="E45" i="186"/>
  <c r="D45" i="186" s="1"/>
  <c r="G45" i="186" s="1"/>
  <c r="F46" i="186" s="1"/>
  <c r="E14" i="186"/>
  <c r="D14" i="186" s="1"/>
  <c r="G14" i="186" s="1"/>
  <c r="F15" i="186" s="1"/>
  <c r="D23" i="184"/>
  <c r="G23" i="184" s="1"/>
  <c r="F24" i="184" s="1"/>
  <c r="E24" i="184" s="1"/>
  <c r="D13" i="184"/>
  <c r="G13" i="184" s="1"/>
  <c r="F14" i="184" s="1"/>
  <c r="E59" i="204" l="1"/>
  <c r="D59" i="204" s="1"/>
  <c r="G59" i="204" s="1"/>
  <c r="F60" i="204" s="1"/>
  <c r="E64" i="199"/>
  <c r="D64" i="199" s="1"/>
  <c r="G64" i="199" s="1"/>
  <c r="F65" i="199" s="1"/>
  <c r="E21" i="209"/>
  <c r="D21" i="209" s="1"/>
  <c r="G21" i="209" s="1"/>
  <c r="F22" i="209" s="1"/>
  <c r="E20" i="208"/>
  <c r="D20" i="208" s="1"/>
  <c r="G20" i="208" s="1"/>
  <c r="F21" i="208" s="1"/>
  <c r="E59" i="198"/>
  <c r="D59" i="198" s="1"/>
  <c r="G59" i="198" s="1"/>
  <c r="F60" i="198" s="1"/>
  <c r="E22" i="199"/>
  <c r="D22" i="199" s="1"/>
  <c r="G22" i="199"/>
  <c r="F23" i="199" s="1"/>
  <c r="E64" i="200"/>
  <c r="D64" i="200" s="1"/>
  <c r="G64" i="200" s="1"/>
  <c r="F65" i="200" s="1"/>
  <c r="E61" i="207"/>
  <c r="D61" i="207" s="1"/>
  <c r="G61" i="207"/>
  <c r="F62" i="207" s="1"/>
  <c r="E17" i="198"/>
  <c r="D17" i="198" s="1"/>
  <c r="G17" i="198" s="1"/>
  <c r="F18" i="198" s="1"/>
  <c r="E61" i="209"/>
  <c r="D61" i="209" s="1"/>
  <c r="G61" i="209"/>
  <c r="F62" i="209" s="1"/>
  <c r="E60" i="206"/>
  <c r="D60" i="206" s="1"/>
  <c r="G60" i="206" s="1"/>
  <c r="F61" i="206" s="1"/>
  <c r="E20" i="206"/>
  <c r="D20" i="206" s="1"/>
  <c r="G20" i="206" s="1"/>
  <c r="F21" i="206" s="1"/>
  <c r="E22" i="200"/>
  <c r="D22" i="200" s="1"/>
  <c r="G22" i="200" s="1"/>
  <c r="F23" i="200" s="1"/>
  <c r="E60" i="202"/>
  <c r="D60" i="202" s="1"/>
  <c r="G60" i="202" s="1"/>
  <c r="F61" i="202" s="1"/>
  <c r="E60" i="208"/>
  <c r="D60" i="208" s="1"/>
  <c r="G60" i="208" s="1"/>
  <c r="F61" i="208" s="1"/>
  <c r="E17" i="204"/>
  <c r="D17" i="204" s="1"/>
  <c r="G17" i="204" s="1"/>
  <c r="F18" i="204" s="1"/>
  <c r="E21" i="207"/>
  <c r="D21" i="207" s="1"/>
  <c r="G21" i="207" s="1"/>
  <c r="F22" i="207" s="1"/>
  <c r="E18" i="202"/>
  <c r="D18" i="202" s="1"/>
  <c r="G18" i="202" s="1"/>
  <c r="F19" i="202" s="1"/>
  <c r="D55" i="211"/>
  <c r="G15" i="211"/>
  <c r="E55" i="210"/>
  <c r="D15" i="210"/>
  <c r="E46" i="192"/>
  <c r="D46" i="192" s="1"/>
  <c r="G46" i="192"/>
  <c r="F47" i="192" s="1"/>
  <c r="E19" i="192"/>
  <c r="D19" i="192" s="1"/>
  <c r="G19" i="192" s="1"/>
  <c r="F20" i="192" s="1"/>
  <c r="E19" i="196"/>
  <c r="D19" i="196" s="1"/>
  <c r="G19" i="196"/>
  <c r="F20" i="196" s="1"/>
  <c r="E46" i="196"/>
  <c r="D46" i="196" s="1"/>
  <c r="G46" i="196" s="1"/>
  <c r="F47" i="196" s="1"/>
  <c r="E20" i="193"/>
  <c r="D20" i="193" s="1"/>
  <c r="G20" i="193" s="1"/>
  <c r="F21" i="193" s="1"/>
  <c r="E46" i="195"/>
  <c r="D46" i="195" s="1"/>
  <c r="G46" i="195" s="1"/>
  <c r="F47" i="195" s="1"/>
  <c r="E47" i="193"/>
  <c r="D47" i="193" s="1"/>
  <c r="G47" i="193" s="1"/>
  <c r="F48" i="193" s="1"/>
  <c r="E19" i="195"/>
  <c r="D19" i="195" s="1"/>
  <c r="G19" i="195" s="1"/>
  <c r="F20" i="195" s="1"/>
  <c r="E37" i="187"/>
  <c r="D37" i="187" s="1"/>
  <c r="G37" i="187" s="1"/>
  <c r="F38" i="187" s="1"/>
  <c r="D13" i="187"/>
  <c r="G13" i="187" s="1"/>
  <c r="F14" i="187" s="1"/>
  <c r="E14" i="187" s="1"/>
  <c r="E46" i="186"/>
  <c r="D46" i="186" s="1"/>
  <c r="G46" i="186" s="1"/>
  <c r="F47" i="186" s="1"/>
  <c r="E15" i="186"/>
  <c r="D15" i="186" s="1"/>
  <c r="G15" i="186" s="1"/>
  <c r="F16" i="186" s="1"/>
  <c r="D14" i="184"/>
  <c r="G14" i="184" s="1"/>
  <c r="E65" i="200" l="1"/>
  <c r="D65" i="200" s="1"/>
  <c r="G65" i="200" s="1"/>
  <c r="F66" i="200" s="1"/>
  <c r="E61" i="206"/>
  <c r="D61" i="206" s="1"/>
  <c r="G61" i="206" s="1"/>
  <c r="F62" i="206" s="1"/>
  <c r="E19" i="202"/>
  <c r="D19" i="202" s="1"/>
  <c r="G19" i="202" s="1"/>
  <c r="F20" i="202" s="1"/>
  <c r="E60" i="198"/>
  <c r="D60" i="198" s="1"/>
  <c r="G60" i="198" s="1"/>
  <c r="F61" i="198" s="1"/>
  <c r="E18" i="204"/>
  <c r="D18" i="204" s="1"/>
  <c r="G18" i="204" s="1"/>
  <c r="F19" i="204" s="1"/>
  <c r="E23" i="200"/>
  <c r="D23" i="200" s="1"/>
  <c r="G23" i="200" s="1"/>
  <c r="F24" i="200" s="1"/>
  <c r="E21" i="208"/>
  <c r="D21" i="208" s="1"/>
  <c r="G21" i="208" s="1"/>
  <c r="F22" i="208" s="1"/>
  <c r="E18" i="198"/>
  <c r="D18" i="198" s="1"/>
  <c r="G18" i="198" s="1"/>
  <c r="F19" i="198" s="1"/>
  <c r="E61" i="208"/>
  <c r="D61" i="208" s="1"/>
  <c r="G61" i="208" s="1"/>
  <c r="F62" i="208" s="1"/>
  <c r="E65" i="199"/>
  <c r="D65" i="199" s="1"/>
  <c r="G65" i="199"/>
  <c r="F66" i="199" s="1"/>
  <c r="E21" i="206"/>
  <c r="D21" i="206" s="1"/>
  <c r="G21" i="206"/>
  <c r="F22" i="206" s="1"/>
  <c r="E22" i="207"/>
  <c r="D22" i="207" s="1"/>
  <c r="G22" i="207"/>
  <c r="F23" i="207" s="1"/>
  <c r="E22" i="209"/>
  <c r="D22" i="209" s="1"/>
  <c r="G22" i="209" s="1"/>
  <c r="F23" i="209" s="1"/>
  <c r="E61" i="202"/>
  <c r="D61" i="202" s="1"/>
  <c r="G61" i="202"/>
  <c r="F62" i="202" s="1"/>
  <c r="E60" i="204"/>
  <c r="D60" i="204" s="1"/>
  <c r="G60" i="204" s="1"/>
  <c r="F61" i="204" s="1"/>
  <c r="F16" i="211"/>
  <c r="G55" i="211"/>
  <c r="D55" i="210"/>
  <c r="G15" i="210"/>
  <c r="E62" i="209"/>
  <c r="D62" i="209" s="1"/>
  <c r="G62" i="209"/>
  <c r="F63" i="209" s="1"/>
  <c r="E62" i="207"/>
  <c r="D62" i="207" s="1"/>
  <c r="G62" i="207"/>
  <c r="F63" i="207" s="1"/>
  <c r="E23" i="199"/>
  <c r="D23" i="199" s="1"/>
  <c r="G23" i="199"/>
  <c r="F24" i="199" s="1"/>
  <c r="E47" i="195"/>
  <c r="D47" i="195" s="1"/>
  <c r="G47" i="195" s="1"/>
  <c r="F48" i="195" s="1"/>
  <c r="E21" i="193"/>
  <c r="D21" i="193" s="1"/>
  <c r="G21" i="193" s="1"/>
  <c r="F22" i="193" s="1"/>
  <c r="E20" i="192"/>
  <c r="D20" i="192" s="1"/>
  <c r="G20" i="192" s="1"/>
  <c r="F21" i="192" s="1"/>
  <c r="E20" i="195"/>
  <c r="D20" i="195" s="1"/>
  <c r="G20" i="195" s="1"/>
  <c r="F21" i="195" s="1"/>
  <c r="E47" i="196"/>
  <c r="D47" i="196" s="1"/>
  <c r="G47" i="196" s="1"/>
  <c r="F48" i="196" s="1"/>
  <c r="E48" i="193"/>
  <c r="D48" i="193" s="1"/>
  <c r="G48" i="193" s="1"/>
  <c r="F49" i="193" s="1"/>
  <c r="E20" i="196"/>
  <c r="D20" i="196" s="1"/>
  <c r="G20" i="196" s="1"/>
  <c r="F21" i="196" s="1"/>
  <c r="E47" i="192"/>
  <c r="D47" i="192" s="1"/>
  <c r="G47" i="192" s="1"/>
  <c r="F48" i="192" s="1"/>
  <c r="E38" i="187"/>
  <c r="D38" i="187" s="1"/>
  <c r="G38" i="187" s="1"/>
  <c r="F39" i="187" s="1"/>
  <c r="D14" i="187"/>
  <c r="G14" i="187" s="1"/>
  <c r="F15" i="187" s="1"/>
  <c r="E15" i="187" s="1"/>
  <c r="E47" i="186"/>
  <c r="D47" i="186" s="1"/>
  <c r="G47" i="186" s="1"/>
  <c r="F48" i="186" s="1"/>
  <c r="E16" i="186"/>
  <c r="D16" i="186" s="1"/>
  <c r="G16" i="186" s="1"/>
  <c r="F17" i="186" s="1"/>
  <c r="D24" i="184"/>
  <c r="G24" i="184" s="1"/>
  <c r="E24" i="200" l="1"/>
  <c r="D24" i="200" s="1"/>
  <c r="G24" i="200" s="1"/>
  <c r="F25" i="200" s="1"/>
  <c r="E22" i="208"/>
  <c r="D22" i="208" s="1"/>
  <c r="G22" i="208"/>
  <c r="F23" i="208" s="1"/>
  <c r="E19" i="204"/>
  <c r="D19" i="204" s="1"/>
  <c r="G19" i="204" s="1"/>
  <c r="F20" i="204" s="1"/>
  <c r="E23" i="209"/>
  <c r="D23" i="209" s="1"/>
  <c r="G23" i="209"/>
  <c r="F24" i="209" s="1"/>
  <c r="E19" i="198"/>
  <c r="D19" i="198" s="1"/>
  <c r="G19" i="198"/>
  <c r="F20" i="198" s="1"/>
  <c r="E20" i="202"/>
  <c r="D20" i="202" s="1"/>
  <c r="G20" i="202" s="1"/>
  <c r="F21" i="202" s="1"/>
  <c r="E62" i="206"/>
  <c r="D62" i="206" s="1"/>
  <c r="G62" i="206" s="1"/>
  <c r="F63" i="206" s="1"/>
  <c r="E61" i="198"/>
  <c r="D61" i="198" s="1"/>
  <c r="G61" i="198" s="1"/>
  <c r="F62" i="198" s="1"/>
  <c r="E61" i="204"/>
  <c r="D61" i="204" s="1"/>
  <c r="G61" i="204" s="1"/>
  <c r="F62" i="204" s="1"/>
  <c r="E62" i="208"/>
  <c r="D62" i="208" s="1"/>
  <c r="G62" i="208" s="1"/>
  <c r="F63" i="208" s="1"/>
  <c r="E66" i="200"/>
  <c r="D66" i="200" s="1"/>
  <c r="G66" i="200" s="1"/>
  <c r="F67" i="200" s="1"/>
  <c r="F56" i="211"/>
  <c r="E16" i="211"/>
  <c r="E63" i="207"/>
  <c r="D63" i="207" s="1"/>
  <c r="G63" i="207" s="1"/>
  <c r="F64" i="207" s="1"/>
  <c r="G62" i="202"/>
  <c r="F63" i="202" s="1"/>
  <c r="E62" i="202"/>
  <c r="D62" i="202" s="1"/>
  <c r="E24" i="199"/>
  <c r="D24" i="199" s="1"/>
  <c r="G24" i="199" s="1"/>
  <c r="F25" i="199" s="1"/>
  <c r="G23" i="207"/>
  <c r="F24" i="207" s="1"/>
  <c r="E23" i="207"/>
  <c r="D23" i="207" s="1"/>
  <c r="E22" i="206"/>
  <c r="D22" i="206" s="1"/>
  <c r="G22" i="206" s="1"/>
  <c r="F23" i="206" s="1"/>
  <c r="G63" i="209"/>
  <c r="F64" i="209" s="1"/>
  <c r="E63" i="209"/>
  <c r="D63" i="209" s="1"/>
  <c r="E66" i="199"/>
  <c r="D66" i="199" s="1"/>
  <c r="G66" i="199"/>
  <c r="F67" i="199" s="1"/>
  <c r="G55" i="210"/>
  <c r="F16" i="210"/>
  <c r="E48" i="196"/>
  <c r="D48" i="196" s="1"/>
  <c r="G48" i="196" s="1"/>
  <c r="F49" i="196" s="1"/>
  <c r="E48" i="192"/>
  <c r="D48" i="192" s="1"/>
  <c r="G48" i="192" s="1"/>
  <c r="F49" i="192" s="1"/>
  <c r="E21" i="196"/>
  <c r="D21" i="196" s="1"/>
  <c r="G21" i="196" s="1"/>
  <c r="F22" i="196" s="1"/>
  <c r="E49" i="193"/>
  <c r="D49" i="193" s="1"/>
  <c r="G49" i="193" s="1"/>
  <c r="F50" i="193" s="1"/>
  <c r="E21" i="195"/>
  <c r="D21" i="195" s="1"/>
  <c r="G21" i="195" s="1"/>
  <c r="F22" i="195" s="1"/>
  <c r="E21" i="192"/>
  <c r="D21" i="192" s="1"/>
  <c r="G21" i="192" s="1"/>
  <c r="F22" i="192" s="1"/>
  <c r="E22" i="193"/>
  <c r="D22" i="193" s="1"/>
  <c r="G22" i="193"/>
  <c r="F23" i="193" s="1"/>
  <c r="E48" i="195"/>
  <c r="D48" i="195" s="1"/>
  <c r="G48" i="195" s="1"/>
  <c r="F49" i="195" s="1"/>
  <c r="E39" i="187"/>
  <c r="D39" i="187" s="1"/>
  <c r="G39" i="187" s="1"/>
  <c r="F40" i="187" s="1"/>
  <c r="D15" i="187"/>
  <c r="G15" i="187" s="1"/>
  <c r="F16" i="187" s="1"/>
  <c r="E16" i="187" s="1"/>
  <c r="E48" i="186"/>
  <c r="D48" i="186" s="1"/>
  <c r="G48" i="186" s="1"/>
  <c r="F49" i="186" s="1"/>
  <c r="E17" i="186"/>
  <c r="D17" i="186" s="1"/>
  <c r="G17" i="186" s="1"/>
  <c r="F18" i="186" s="1"/>
  <c r="E23" i="206" l="1"/>
  <c r="D23" i="206" s="1"/>
  <c r="G23" i="206" s="1"/>
  <c r="F24" i="206" s="1"/>
  <c r="E63" i="208"/>
  <c r="D63" i="208" s="1"/>
  <c r="G63" i="208" s="1"/>
  <c r="F64" i="208" s="1"/>
  <c r="E62" i="204"/>
  <c r="D62" i="204" s="1"/>
  <c r="G62" i="204" s="1"/>
  <c r="F63" i="204" s="1"/>
  <c r="E62" i="198"/>
  <c r="D62" i="198" s="1"/>
  <c r="G62" i="198"/>
  <c r="F63" i="198" s="1"/>
  <c r="E63" i="206"/>
  <c r="D63" i="206" s="1"/>
  <c r="G63" i="206"/>
  <c r="F64" i="206" s="1"/>
  <c r="G67" i="200"/>
  <c r="F68" i="200" s="1"/>
  <c r="E67" i="200"/>
  <c r="D67" i="200" s="1"/>
  <c r="E25" i="199"/>
  <c r="D25" i="199" s="1"/>
  <c r="G25" i="199"/>
  <c r="F26" i="199" s="1"/>
  <c r="E20" i="204"/>
  <c r="D20" i="204" s="1"/>
  <c r="G20" i="204" s="1"/>
  <c r="F21" i="204" s="1"/>
  <c r="E64" i="207"/>
  <c r="D64" i="207" s="1"/>
  <c r="G64" i="207" s="1"/>
  <c r="F65" i="207" s="1"/>
  <c r="E21" i="202"/>
  <c r="D21" i="202" s="1"/>
  <c r="G21" i="202" s="1"/>
  <c r="F22" i="202" s="1"/>
  <c r="E25" i="200"/>
  <c r="D25" i="200" s="1"/>
  <c r="G25" i="200"/>
  <c r="F26" i="200" s="1"/>
  <c r="E24" i="207"/>
  <c r="D24" i="207" s="1"/>
  <c r="G24" i="207" s="1"/>
  <c r="F25" i="207" s="1"/>
  <c r="E67" i="199"/>
  <c r="D67" i="199" s="1"/>
  <c r="G67" i="199" s="1"/>
  <c r="F68" i="199" s="1"/>
  <c r="E24" i="209"/>
  <c r="D24" i="209" s="1"/>
  <c r="G24" i="209" s="1"/>
  <c r="F25" i="209" s="1"/>
  <c r="E63" i="202"/>
  <c r="D63" i="202" s="1"/>
  <c r="G63" i="202"/>
  <c r="F64" i="202" s="1"/>
  <c r="E64" i="209"/>
  <c r="D64" i="209" s="1"/>
  <c r="G64" i="209" s="1"/>
  <c r="F65" i="209" s="1"/>
  <c r="E20" i="198"/>
  <c r="D20" i="198" s="1"/>
  <c r="G20" i="198" s="1"/>
  <c r="F21" i="198" s="1"/>
  <c r="E23" i="208"/>
  <c r="D23" i="208" s="1"/>
  <c r="G23" i="208" s="1"/>
  <c r="F24" i="208" s="1"/>
  <c r="E16" i="210"/>
  <c r="F56" i="210"/>
  <c r="E56" i="211"/>
  <c r="D16" i="211"/>
  <c r="E22" i="192"/>
  <c r="D22" i="192" s="1"/>
  <c r="G22" i="192"/>
  <c r="F23" i="192" s="1"/>
  <c r="E50" i="193"/>
  <c r="D50" i="193" s="1"/>
  <c r="G50" i="193" s="1"/>
  <c r="F51" i="193" s="1"/>
  <c r="E22" i="195"/>
  <c r="D22" i="195" s="1"/>
  <c r="G22" i="195" s="1"/>
  <c r="F23" i="195" s="1"/>
  <c r="E22" i="196"/>
  <c r="D22" i="196" s="1"/>
  <c r="G22" i="196" s="1"/>
  <c r="F23" i="196" s="1"/>
  <c r="E49" i="192"/>
  <c r="D49" i="192" s="1"/>
  <c r="G49" i="192"/>
  <c r="F50" i="192" s="1"/>
  <c r="E49" i="195"/>
  <c r="D49" i="195" s="1"/>
  <c r="G49" i="195"/>
  <c r="F50" i="195" s="1"/>
  <c r="E49" i="196"/>
  <c r="D49" i="196" s="1"/>
  <c r="G49" i="196" s="1"/>
  <c r="F50" i="196" s="1"/>
  <c r="E23" i="193"/>
  <c r="D23" i="193" s="1"/>
  <c r="G23" i="193" s="1"/>
  <c r="F24" i="193" s="1"/>
  <c r="E40" i="187"/>
  <c r="D40" i="187" s="1"/>
  <c r="G40" i="187" s="1"/>
  <c r="F41" i="187" s="1"/>
  <c r="D16" i="187"/>
  <c r="G16" i="187" s="1"/>
  <c r="F17" i="187" s="1"/>
  <c r="E17" i="187" s="1"/>
  <c r="E49" i="186"/>
  <c r="D49" i="186" s="1"/>
  <c r="G49" i="186" s="1"/>
  <c r="F50" i="186" s="1"/>
  <c r="E50" i="186" s="1"/>
  <c r="D50" i="186" s="1"/>
  <c r="G50" i="186" s="1"/>
  <c r="F51" i="186" s="1"/>
  <c r="E51" i="186" s="1"/>
  <c r="D51" i="186" s="1"/>
  <c r="G51" i="186" s="1"/>
  <c r="E18" i="186"/>
  <c r="D18" i="186" s="1"/>
  <c r="G18" i="186" s="1"/>
  <c r="F19" i="186" s="1"/>
  <c r="E21" i="198" l="1"/>
  <c r="D21" i="198" s="1"/>
  <c r="G21" i="198" s="1"/>
  <c r="F22" i="198" s="1"/>
  <c r="E22" i="202"/>
  <c r="D22" i="202" s="1"/>
  <c r="G22" i="202" s="1"/>
  <c r="F23" i="202" s="1"/>
  <c r="E65" i="207"/>
  <c r="D65" i="207" s="1"/>
  <c r="G65" i="207" s="1"/>
  <c r="F66" i="207" s="1"/>
  <c r="E63" i="204"/>
  <c r="D63" i="204" s="1"/>
  <c r="G63" i="204"/>
  <c r="F64" i="204" s="1"/>
  <c r="E24" i="208"/>
  <c r="D24" i="208" s="1"/>
  <c r="G24" i="208" s="1"/>
  <c r="F25" i="208" s="1"/>
  <c r="E65" i="209"/>
  <c r="D65" i="209" s="1"/>
  <c r="G65" i="209" s="1"/>
  <c r="F66" i="209" s="1"/>
  <c r="E68" i="199"/>
  <c r="D68" i="199" s="1"/>
  <c r="G68" i="199" s="1"/>
  <c r="F69" i="199" s="1"/>
  <c r="E64" i="208"/>
  <c r="D64" i="208" s="1"/>
  <c r="G64" i="208" s="1"/>
  <c r="F65" i="208" s="1"/>
  <c r="E21" i="204"/>
  <c r="D21" i="204" s="1"/>
  <c r="G21" i="204" s="1"/>
  <c r="F22" i="204" s="1"/>
  <c r="E25" i="209"/>
  <c r="D25" i="209" s="1"/>
  <c r="G25" i="209" s="1"/>
  <c r="F26" i="209" s="1"/>
  <c r="E25" i="207"/>
  <c r="D25" i="207" s="1"/>
  <c r="G25" i="207" s="1"/>
  <c r="F26" i="207" s="1"/>
  <c r="E24" i="206"/>
  <c r="D24" i="206" s="1"/>
  <c r="G24" i="206" s="1"/>
  <c r="F25" i="206" s="1"/>
  <c r="E64" i="202"/>
  <c r="D64" i="202" s="1"/>
  <c r="G64" i="202" s="1"/>
  <c r="F65" i="202" s="1"/>
  <c r="E26" i="200"/>
  <c r="D26" i="200" s="1"/>
  <c r="G26" i="200" s="1"/>
  <c r="F27" i="200" s="1"/>
  <c r="E26" i="199"/>
  <c r="D26" i="199" s="1"/>
  <c r="G26" i="199" s="1"/>
  <c r="F27" i="199" s="1"/>
  <c r="E56" i="210"/>
  <c r="D16" i="210"/>
  <c r="E63" i="198"/>
  <c r="D63" i="198" s="1"/>
  <c r="G63" i="198" s="1"/>
  <c r="F64" i="198" s="1"/>
  <c r="E68" i="200"/>
  <c r="D68" i="200" s="1"/>
  <c r="G68" i="200" s="1"/>
  <c r="F69" i="200" s="1"/>
  <c r="E64" i="206"/>
  <c r="D64" i="206" s="1"/>
  <c r="G64" i="206" s="1"/>
  <c r="F65" i="206" s="1"/>
  <c r="D56" i="211"/>
  <c r="G16" i="211"/>
  <c r="E51" i="193"/>
  <c r="D51" i="193" s="1"/>
  <c r="G51" i="193" s="1"/>
  <c r="F52" i="193" s="1"/>
  <c r="E23" i="196"/>
  <c r="D23" i="196" s="1"/>
  <c r="G23" i="196" s="1"/>
  <c r="F24" i="196" s="1"/>
  <c r="E24" i="193"/>
  <c r="D24" i="193" s="1"/>
  <c r="G24" i="193" s="1"/>
  <c r="F25" i="193" s="1"/>
  <c r="E50" i="196"/>
  <c r="D50" i="196" s="1"/>
  <c r="G50" i="196" s="1"/>
  <c r="F51" i="196" s="1"/>
  <c r="E23" i="195"/>
  <c r="D23" i="195" s="1"/>
  <c r="G23" i="195" s="1"/>
  <c r="F24" i="195" s="1"/>
  <c r="G50" i="195"/>
  <c r="F51" i="195" s="1"/>
  <c r="E50" i="195"/>
  <c r="D50" i="195" s="1"/>
  <c r="E50" i="192"/>
  <c r="D50" i="192" s="1"/>
  <c r="G50" i="192" s="1"/>
  <c r="F51" i="192" s="1"/>
  <c r="E23" i="192"/>
  <c r="D23" i="192" s="1"/>
  <c r="G23" i="192" s="1"/>
  <c r="F24" i="192" s="1"/>
  <c r="E41" i="187"/>
  <c r="D41" i="187" s="1"/>
  <c r="G41" i="187" s="1"/>
  <c r="F42" i="187" s="1"/>
  <c r="E42" i="187" s="1"/>
  <c r="D42" i="187" s="1"/>
  <c r="G42" i="187" s="1"/>
  <c r="F43" i="187" s="1"/>
  <c r="E43" i="187" s="1"/>
  <c r="D43" i="187" s="1"/>
  <c r="G43" i="187" s="1"/>
  <c r="F44" i="187" s="1"/>
  <c r="E44" i="187" s="1"/>
  <c r="D44" i="187" s="1"/>
  <c r="G44" i="187" s="1"/>
  <c r="F45" i="187" s="1"/>
  <c r="E45" i="187" s="1"/>
  <c r="D45" i="187" s="1"/>
  <c r="G45" i="187" s="1"/>
  <c r="F46" i="187" s="1"/>
  <c r="E46" i="187" s="1"/>
  <c r="D46" i="187" s="1"/>
  <c r="G46" i="187" s="1"/>
  <c r="F47" i="187" s="1"/>
  <c r="E47" i="187" s="1"/>
  <c r="D17" i="187"/>
  <c r="G17" i="187" s="1"/>
  <c r="F18" i="187" s="1"/>
  <c r="E18" i="187" s="1"/>
  <c r="E19" i="186"/>
  <c r="D19" i="186" s="1"/>
  <c r="G19" i="186" s="1"/>
  <c r="F20" i="186" s="1"/>
  <c r="E65" i="208" l="1"/>
  <c r="D65" i="208" s="1"/>
  <c r="G65" i="208"/>
  <c r="F66" i="208" s="1"/>
  <c r="E66" i="209"/>
  <c r="D66" i="209" s="1"/>
  <c r="G66" i="209" s="1"/>
  <c r="F67" i="209" s="1"/>
  <c r="E25" i="208"/>
  <c r="D25" i="208" s="1"/>
  <c r="G25" i="208"/>
  <c r="F26" i="208" s="1"/>
  <c r="E69" i="199"/>
  <c r="D69" i="199" s="1"/>
  <c r="G69" i="199" s="1"/>
  <c r="F70" i="199" s="1"/>
  <c r="E65" i="202"/>
  <c r="D65" i="202" s="1"/>
  <c r="G65" i="202"/>
  <c r="F66" i="202" s="1"/>
  <c r="E65" i="206"/>
  <c r="D65" i="206" s="1"/>
  <c r="G65" i="206"/>
  <c r="F66" i="206" s="1"/>
  <c r="E25" i="206"/>
  <c r="D25" i="206" s="1"/>
  <c r="G25" i="206"/>
  <c r="F26" i="206" s="1"/>
  <c r="E22" i="198"/>
  <c r="D22" i="198" s="1"/>
  <c r="G22" i="198" s="1"/>
  <c r="F23" i="198" s="1"/>
  <c r="E26" i="207"/>
  <c r="D26" i="207" s="1"/>
  <c r="G26" i="207" s="1"/>
  <c r="F27" i="207" s="1"/>
  <c r="E27" i="200"/>
  <c r="D27" i="200" s="1"/>
  <c r="G27" i="200" s="1"/>
  <c r="F28" i="200" s="1"/>
  <c r="E26" i="209"/>
  <c r="D26" i="209" s="1"/>
  <c r="G26" i="209" s="1"/>
  <c r="F27" i="209" s="1"/>
  <c r="E66" i="207"/>
  <c r="D66" i="207" s="1"/>
  <c r="G66" i="207" s="1"/>
  <c r="F67" i="207" s="1"/>
  <c r="E27" i="199"/>
  <c r="D27" i="199" s="1"/>
  <c r="G27" i="199" s="1"/>
  <c r="F28" i="199" s="1"/>
  <c r="E69" i="200"/>
  <c r="D69" i="200" s="1"/>
  <c r="G69" i="200"/>
  <c r="F70" i="200" s="1"/>
  <c r="E64" i="198"/>
  <c r="D64" i="198" s="1"/>
  <c r="G64" i="198" s="1"/>
  <c r="F65" i="198" s="1"/>
  <c r="E22" i="204"/>
  <c r="D22" i="204" s="1"/>
  <c r="G22" i="204" s="1"/>
  <c r="F23" i="204" s="1"/>
  <c r="E23" i="202"/>
  <c r="D23" i="202" s="1"/>
  <c r="G23" i="202" s="1"/>
  <c r="F24" i="202" s="1"/>
  <c r="D56" i="210"/>
  <c r="G16" i="210"/>
  <c r="F57" i="211"/>
  <c r="F17" i="211"/>
  <c r="G56" i="211"/>
  <c r="G64" i="204"/>
  <c r="F65" i="204" s="1"/>
  <c r="E64" i="204"/>
  <c r="D64" i="204" s="1"/>
  <c r="G51" i="192"/>
  <c r="F52" i="192" s="1"/>
  <c r="E51" i="192"/>
  <c r="D51" i="192" s="1"/>
  <c r="E51" i="196"/>
  <c r="D51" i="196" s="1"/>
  <c r="G51" i="196" s="1"/>
  <c r="F52" i="196" s="1"/>
  <c r="E24" i="195"/>
  <c r="D24" i="195" s="1"/>
  <c r="G24" i="195"/>
  <c r="F25" i="195" s="1"/>
  <c r="E24" i="196"/>
  <c r="D24" i="196" s="1"/>
  <c r="G24" i="196" s="1"/>
  <c r="F25" i="196" s="1"/>
  <c r="G25" i="193"/>
  <c r="F26" i="193" s="1"/>
  <c r="E25" i="193"/>
  <c r="D25" i="193" s="1"/>
  <c r="E24" i="192"/>
  <c r="D24" i="192" s="1"/>
  <c r="G24" i="192" s="1"/>
  <c r="F25" i="192" s="1"/>
  <c r="E52" i="193"/>
  <c r="D52" i="193" s="1"/>
  <c r="G52" i="193" s="1"/>
  <c r="F53" i="193" s="1"/>
  <c r="E51" i="195"/>
  <c r="D51" i="195" s="1"/>
  <c r="G51" i="195" s="1"/>
  <c r="F52" i="195" s="1"/>
  <c r="D47" i="187"/>
  <c r="G47" i="187" s="1"/>
  <c r="F48" i="187" s="1"/>
  <c r="E48" i="187" s="1"/>
  <c r="D18" i="187"/>
  <c r="G18" i="187" s="1"/>
  <c r="F19" i="187" s="1"/>
  <c r="E19" i="187" s="1"/>
  <c r="E20" i="186"/>
  <c r="D20" i="186" s="1"/>
  <c r="G20" i="186" s="1"/>
  <c r="F21" i="186" s="1"/>
  <c r="E28" i="200" l="1"/>
  <c r="D28" i="200" s="1"/>
  <c r="G28" i="200" s="1"/>
  <c r="F29" i="200" s="1"/>
  <c r="E23" i="198"/>
  <c r="D23" i="198" s="1"/>
  <c r="G23" i="198"/>
  <c r="F24" i="198" s="1"/>
  <c r="E24" i="202"/>
  <c r="D24" i="202" s="1"/>
  <c r="G24" i="202"/>
  <c r="F25" i="202" s="1"/>
  <c r="E23" i="204"/>
  <c r="D23" i="204" s="1"/>
  <c r="G23" i="204" s="1"/>
  <c r="F24" i="204" s="1"/>
  <c r="E70" i="199"/>
  <c r="D70" i="199" s="1"/>
  <c r="G70" i="199"/>
  <c r="F71" i="199" s="1"/>
  <c r="E28" i="199"/>
  <c r="D28" i="199" s="1"/>
  <c r="G28" i="199"/>
  <c r="F29" i="199" s="1"/>
  <c r="E27" i="209"/>
  <c r="D27" i="209" s="1"/>
  <c r="G27" i="209"/>
  <c r="F28" i="209" s="1"/>
  <c r="E27" i="207"/>
  <c r="D27" i="207" s="1"/>
  <c r="G27" i="207"/>
  <c r="F28" i="207" s="1"/>
  <c r="E65" i="198"/>
  <c r="D65" i="198" s="1"/>
  <c r="G65" i="198" s="1"/>
  <c r="F66" i="198" s="1"/>
  <c r="E67" i="209"/>
  <c r="D67" i="209" s="1"/>
  <c r="G67" i="209" s="1"/>
  <c r="F68" i="209" s="1"/>
  <c r="E67" i="207"/>
  <c r="D67" i="207" s="1"/>
  <c r="G67" i="207" s="1"/>
  <c r="F68" i="207" s="1"/>
  <c r="E17" i="211"/>
  <c r="D17" i="211" s="1"/>
  <c r="G17" i="211" s="1"/>
  <c r="F18" i="211" s="1"/>
  <c r="E26" i="206"/>
  <c r="D26" i="206" s="1"/>
  <c r="G26" i="206" s="1"/>
  <c r="F27" i="206" s="1"/>
  <c r="E66" i="206"/>
  <c r="D66" i="206" s="1"/>
  <c r="G66" i="206"/>
  <c r="F67" i="206" s="1"/>
  <c r="E26" i="208"/>
  <c r="D26" i="208" s="1"/>
  <c r="G26" i="208"/>
  <c r="F27" i="208" s="1"/>
  <c r="E57" i="211"/>
  <c r="D57" i="211" s="1"/>
  <c r="G57" i="211" s="1"/>
  <c r="F58" i="211" s="1"/>
  <c r="F57" i="210"/>
  <c r="F17" i="210"/>
  <c r="G56" i="210"/>
  <c r="G70" i="200"/>
  <c r="F71" i="200" s="1"/>
  <c r="E70" i="200"/>
  <c r="D70" i="200" s="1"/>
  <c r="E66" i="202"/>
  <c r="D66" i="202" s="1"/>
  <c r="G66" i="202" s="1"/>
  <c r="F67" i="202" s="1"/>
  <c r="G66" i="208"/>
  <c r="F67" i="208" s="1"/>
  <c r="E66" i="208"/>
  <c r="D66" i="208" s="1"/>
  <c r="E65" i="204"/>
  <c r="D65" i="204" s="1"/>
  <c r="G65" i="204" s="1"/>
  <c r="F66" i="204" s="1"/>
  <c r="G52" i="195"/>
  <c r="F53" i="195" s="1"/>
  <c r="E52" i="195"/>
  <c r="D52" i="195" s="1"/>
  <c r="E52" i="196"/>
  <c r="D52" i="196" s="1"/>
  <c r="G52" i="196" s="1"/>
  <c r="F53" i="196" s="1"/>
  <c r="E53" i="193"/>
  <c r="D53" i="193" s="1"/>
  <c r="G53" i="193"/>
  <c r="F54" i="193" s="1"/>
  <c r="E25" i="196"/>
  <c r="D25" i="196" s="1"/>
  <c r="G25" i="196" s="1"/>
  <c r="F26" i="196" s="1"/>
  <c r="G25" i="192"/>
  <c r="F26" i="192" s="1"/>
  <c r="E25" i="192"/>
  <c r="D25" i="192" s="1"/>
  <c r="G25" i="195"/>
  <c r="F26" i="195" s="1"/>
  <c r="E25" i="195"/>
  <c r="D25" i="195" s="1"/>
  <c r="E26" i="193"/>
  <c r="D26" i="193" s="1"/>
  <c r="G26" i="193"/>
  <c r="F27" i="193" s="1"/>
  <c r="E52" i="192"/>
  <c r="D52" i="192" s="1"/>
  <c r="G52" i="192"/>
  <c r="F53" i="192" s="1"/>
  <c r="D48" i="187"/>
  <c r="G48" i="187" s="1"/>
  <c r="F49" i="187" s="1"/>
  <c r="E49" i="187" s="1"/>
  <c r="D19" i="187"/>
  <c r="G19" i="187" s="1"/>
  <c r="F20" i="187" s="1"/>
  <c r="E20" i="187" s="1"/>
  <c r="E21" i="186"/>
  <c r="D21" i="186" s="1"/>
  <c r="G21" i="186" s="1"/>
  <c r="F22" i="186" s="1"/>
  <c r="E66" i="198" l="1"/>
  <c r="D66" i="198" s="1"/>
  <c r="G66" i="198" s="1"/>
  <c r="F67" i="198" s="1"/>
  <c r="E27" i="206"/>
  <c r="D27" i="206" s="1"/>
  <c r="G27" i="206" s="1"/>
  <c r="F28" i="206" s="1"/>
  <c r="E58" i="211"/>
  <c r="D58" i="211" s="1"/>
  <c r="G58" i="211" s="1"/>
  <c r="F59" i="211" s="1"/>
  <c r="E24" i="204"/>
  <c r="D24" i="204" s="1"/>
  <c r="G24" i="204" s="1"/>
  <c r="F25" i="204" s="1"/>
  <c r="E18" i="211"/>
  <c r="D18" i="211" s="1"/>
  <c r="G18" i="211" s="1"/>
  <c r="F19" i="211" s="1"/>
  <c r="E68" i="209"/>
  <c r="D68" i="209" s="1"/>
  <c r="G68" i="209" s="1"/>
  <c r="F69" i="209" s="1"/>
  <c r="E67" i="202"/>
  <c r="D67" i="202" s="1"/>
  <c r="G67" i="202"/>
  <c r="F68" i="202" s="1"/>
  <c r="E66" i="204"/>
  <c r="D66" i="204" s="1"/>
  <c r="G66" i="204" s="1"/>
  <c r="F67" i="204" s="1"/>
  <c r="E68" i="207"/>
  <c r="D68" i="207" s="1"/>
  <c r="G68" i="207" s="1"/>
  <c r="F69" i="207" s="1"/>
  <c r="E29" i="200"/>
  <c r="D29" i="200" s="1"/>
  <c r="G29" i="200"/>
  <c r="F30" i="200" s="1"/>
  <c r="E28" i="209"/>
  <c r="D28" i="209" s="1"/>
  <c r="G28" i="209" s="1"/>
  <c r="F29" i="209" s="1"/>
  <c r="E25" i="202"/>
  <c r="D25" i="202" s="1"/>
  <c r="G25" i="202"/>
  <c r="F26" i="202" s="1"/>
  <c r="E67" i="208"/>
  <c r="D67" i="208" s="1"/>
  <c r="G67" i="208" s="1"/>
  <c r="F68" i="208" s="1"/>
  <c r="E71" i="200"/>
  <c r="D71" i="200" s="1"/>
  <c r="G71" i="200" s="1"/>
  <c r="F72" i="200" s="1"/>
  <c r="E67" i="206"/>
  <c r="D67" i="206" s="1"/>
  <c r="G67" i="206"/>
  <c r="F68" i="206" s="1"/>
  <c r="E29" i="199"/>
  <c r="D29" i="199" s="1"/>
  <c r="G29" i="199"/>
  <c r="F30" i="199" s="1"/>
  <c r="E24" i="198"/>
  <c r="D24" i="198" s="1"/>
  <c r="G24" i="198" s="1"/>
  <c r="F25" i="198" s="1"/>
  <c r="E28" i="207"/>
  <c r="D28" i="207" s="1"/>
  <c r="G28" i="207"/>
  <c r="F29" i="207" s="1"/>
  <c r="E27" i="208"/>
  <c r="D27" i="208" s="1"/>
  <c r="G27" i="208" s="1"/>
  <c r="F28" i="208" s="1"/>
  <c r="E17" i="210"/>
  <c r="D17" i="210" s="1"/>
  <c r="G17" i="210" s="1"/>
  <c r="F18" i="210" s="1"/>
  <c r="E71" i="199"/>
  <c r="D71" i="199" s="1"/>
  <c r="G71" i="199" s="1"/>
  <c r="F72" i="199" s="1"/>
  <c r="E57" i="210"/>
  <c r="D57" i="210" s="1"/>
  <c r="G57" i="210" s="1"/>
  <c r="F58" i="210" s="1"/>
  <c r="E53" i="196"/>
  <c r="D53" i="196" s="1"/>
  <c r="G53" i="196" s="1"/>
  <c r="F54" i="196" s="1"/>
  <c r="G26" i="196"/>
  <c r="F27" i="196" s="1"/>
  <c r="E26" i="196"/>
  <c r="D26" i="196" s="1"/>
  <c r="E53" i="195"/>
  <c r="D53" i="195" s="1"/>
  <c r="G53" i="195" s="1"/>
  <c r="F54" i="195" s="1"/>
  <c r="E53" i="192"/>
  <c r="D53" i="192" s="1"/>
  <c r="G53" i="192" s="1"/>
  <c r="F54" i="192" s="1"/>
  <c r="E26" i="192"/>
  <c r="D26" i="192" s="1"/>
  <c r="G26" i="192"/>
  <c r="F27" i="192" s="1"/>
  <c r="G27" i="193"/>
  <c r="F28" i="193" s="1"/>
  <c r="E27" i="193"/>
  <c r="D27" i="193" s="1"/>
  <c r="E54" i="193"/>
  <c r="D54" i="193" s="1"/>
  <c r="G54" i="193" s="1"/>
  <c r="F55" i="193" s="1"/>
  <c r="E26" i="195"/>
  <c r="D26" i="195" s="1"/>
  <c r="G26" i="195"/>
  <c r="F27" i="195" s="1"/>
  <c r="D49" i="187"/>
  <c r="G49" i="187" s="1"/>
  <c r="F50" i="187" s="1"/>
  <c r="E50" i="187" s="1"/>
  <c r="D50" i="187" s="1"/>
  <c r="G50" i="187" s="1"/>
  <c r="F51" i="187" s="1"/>
  <c r="E51" i="187" s="1"/>
  <c r="D51" i="187" s="1"/>
  <c r="G51" i="187" s="1"/>
  <c r="D20" i="187"/>
  <c r="G20" i="187" s="1"/>
  <c r="F21" i="187" s="1"/>
  <c r="E21" i="187" s="1"/>
  <c r="E22" i="186"/>
  <c r="D22" i="186" s="1"/>
  <c r="G22" i="186" s="1"/>
  <c r="F23" i="186" s="1"/>
  <c r="E69" i="209" l="1"/>
  <c r="D69" i="209" s="1"/>
  <c r="G69" i="209" s="1"/>
  <c r="F70" i="209" s="1"/>
  <c r="E29" i="209"/>
  <c r="D29" i="209" s="1"/>
  <c r="G29" i="209" s="1"/>
  <c r="F30" i="209" s="1"/>
  <c r="E19" i="211"/>
  <c r="D19" i="211" s="1"/>
  <c r="G19" i="211"/>
  <c r="F20" i="211" s="1"/>
  <c r="E25" i="204"/>
  <c r="D25" i="204" s="1"/>
  <c r="G25" i="204" s="1"/>
  <c r="F26" i="204" s="1"/>
  <c r="E58" i="210"/>
  <c r="D58" i="210" s="1"/>
  <c r="G58" i="210" s="1"/>
  <c r="F59" i="210" s="1"/>
  <c r="E72" i="199"/>
  <c r="D72" i="199" s="1"/>
  <c r="G72" i="199" s="1"/>
  <c r="F73" i="199" s="1"/>
  <c r="E59" i="211"/>
  <c r="D59" i="211" s="1"/>
  <c r="G59" i="211" s="1"/>
  <c r="F60" i="211" s="1"/>
  <c r="E25" i="198"/>
  <c r="D25" i="198" s="1"/>
  <c r="G25" i="198" s="1"/>
  <c r="F26" i="198" s="1"/>
  <c r="E18" i="210"/>
  <c r="D18" i="210" s="1"/>
  <c r="G18" i="210" s="1"/>
  <c r="F19" i="210" s="1"/>
  <c r="E69" i="207"/>
  <c r="D69" i="207" s="1"/>
  <c r="G69" i="207"/>
  <c r="F70" i="207" s="1"/>
  <c r="E28" i="206"/>
  <c r="D28" i="206" s="1"/>
  <c r="G28" i="206" s="1"/>
  <c r="F29" i="206" s="1"/>
  <c r="E68" i="208"/>
  <c r="D68" i="208" s="1"/>
  <c r="G68" i="208" s="1"/>
  <c r="F69" i="208" s="1"/>
  <c r="E28" i="208"/>
  <c r="D28" i="208" s="1"/>
  <c r="G28" i="208" s="1"/>
  <c r="F29" i="208" s="1"/>
  <c r="E72" i="200"/>
  <c r="D72" i="200" s="1"/>
  <c r="G72" i="200" s="1"/>
  <c r="F73" i="200" s="1"/>
  <c r="E67" i="204"/>
  <c r="D67" i="204" s="1"/>
  <c r="G67" i="204" s="1"/>
  <c r="F68" i="204" s="1"/>
  <c r="E67" i="198"/>
  <c r="D67" i="198" s="1"/>
  <c r="G67" i="198"/>
  <c r="F68" i="198" s="1"/>
  <c r="E30" i="199"/>
  <c r="D30" i="199" s="1"/>
  <c r="G30" i="199" s="1"/>
  <c r="F31" i="199" s="1"/>
  <c r="E68" i="202"/>
  <c r="D68" i="202" s="1"/>
  <c r="G68" i="202" s="1"/>
  <c r="F69" i="202" s="1"/>
  <c r="E30" i="200"/>
  <c r="D30" i="200" s="1"/>
  <c r="G30" i="200" s="1"/>
  <c r="F31" i="200" s="1"/>
  <c r="E26" i="202"/>
  <c r="D26" i="202" s="1"/>
  <c r="G26" i="202" s="1"/>
  <c r="F27" i="202" s="1"/>
  <c r="E68" i="206"/>
  <c r="D68" i="206" s="1"/>
  <c r="G68" i="206" s="1"/>
  <c r="F69" i="206" s="1"/>
  <c r="E29" i="207"/>
  <c r="D29" i="207" s="1"/>
  <c r="G29" i="207" s="1"/>
  <c r="F30" i="207" s="1"/>
  <c r="E54" i="195"/>
  <c r="D54" i="195" s="1"/>
  <c r="G54" i="195" s="1"/>
  <c r="F55" i="195" s="1"/>
  <c r="E54" i="192"/>
  <c r="D54" i="192" s="1"/>
  <c r="G54" i="192" s="1"/>
  <c r="F55" i="192" s="1"/>
  <c r="E55" i="193"/>
  <c r="D55" i="193" s="1"/>
  <c r="G55" i="193" s="1"/>
  <c r="F56" i="193" s="1"/>
  <c r="E54" i="196"/>
  <c r="D54" i="196" s="1"/>
  <c r="G54" i="196" s="1"/>
  <c r="F55" i="196" s="1"/>
  <c r="E27" i="192"/>
  <c r="D27" i="192" s="1"/>
  <c r="G27" i="192" s="1"/>
  <c r="F28" i="192" s="1"/>
  <c r="E27" i="195"/>
  <c r="D27" i="195" s="1"/>
  <c r="G27" i="195" s="1"/>
  <c r="F28" i="195" s="1"/>
  <c r="E28" i="193"/>
  <c r="D28" i="193" s="1"/>
  <c r="G28" i="193" s="1"/>
  <c r="F29" i="193" s="1"/>
  <c r="E27" i="196"/>
  <c r="D27" i="196" s="1"/>
  <c r="G27" i="196" s="1"/>
  <c r="F28" i="196" s="1"/>
  <c r="D21" i="187"/>
  <c r="G21" i="187" s="1"/>
  <c r="F22" i="187" s="1"/>
  <c r="E22" i="187" s="1"/>
  <c r="E23" i="186"/>
  <c r="D23" i="186" s="1"/>
  <c r="G23" i="186" s="1"/>
  <c r="F24" i="186" s="1"/>
  <c r="E60" i="211" l="1"/>
  <c r="D60" i="211" s="1"/>
  <c r="G60" i="211" s="1"/>
  <c r="F61" i="211" s="1"/>
  <c r="E27" i="202"/>
  <c r="D27" i="202" s="1"/>
  <c r="G27" i="202" s="1"/>
  <c r="F28" i="202" s="1"/>
  <c r="E29" i="208"/>
  <c r="D29" i="208" s="1"/>
  <c r="G29" i="208"/>
  <c r="F30" i="208" s="1"/>
  <c r="E73" i="199"/>
  <c r="D73" i="199" s="1"/>
  <c r="G73" i="199" s="1"/>
  <c r="F74" i="199" s="1"/>
  <c r="E31" i="200"/>
  <c r="D31" i="200" s="1"/>
  <c r="G31" i="200" s="1"/>
  <c r="F32" i="200" s="1"/>
  <c r="E29" i="206"/>
  <c r="D29" i="206" s="1"/>
  <c r="G29" i="206" s="1"/>
  <c r="F30" i="206" s="1"/>
  <c r="E73" i="200"/>
  <c r="D73" i="200" s="1"/>
  <c r="G73" i="200"/>
  <c r="F74" i="200" s="1"/>
  <c r="E69" i="208"/>
  <c r="D69" i="208" s="1"/>
  <c r="G69" i="208"/>
  <c r="F70" i="208" s="1"/>
  <c r="E59" i="210"/>
  <c r="D59" i="210" s="1"/>
  <c r="G59" i="210" s="1"/>
  <c r="F60" i="210" s="1"/>
  <c r="E69" i="202"/>
  <c r="D69" i="202" s="1"/>
  <c r="G69" i="202" s="1"/>
  <c r="F70" i="202" s="1"/>
  <c r="E26" i="204"/>
  <c r="D26" i="204" s="1"/>
  <c r="G26" i="204" s="1"/>
  <c r="F27" i="204" s="1"/>
  <c r="E31" i="199"/>
  <c r="D31" i="199" s="1"/>
  <c r="G31" i="199" s="1"/>
  <c r="F32" i="199" s="1"/>
  <c r="E69" i="206"/>
  <c r="D69" i="206" s="1"/>
  <c r="G69" i="206" s="1"/>
  <c r="F70" i="206" s="1"/>
  <c r="E19" i="210"/>
  <c r="D19" i="210" s="1"/>
  <c r="G19" i="210" s="1"/>
  <c r="F20" i="210" s="1"/>
  <c r="E30" i="209"/>
  <c r="D30" i="209" s="1"/>
  <c r="G30" i="209" s="1"/>
  <c r="F31" i="209" s="1"/>
  <c r="E30" i="207"/>
  <c r="D30" i="207" s="1"/>
  <c r="G30" i="207" s="1"/>
  <c r="F31" i="207" s="1"/>
  <c r="E68" i="204"/>
  <c r="D68" i="204" s="1"/>
  <c r="G68" i="204" s="1"/>
  <c r="F69" i="204" s="1"/>
  <c r="E26" i="198"/>
  <c r="D26" i="198" s="1"/>
  <c r="G26" i="198" s="1"/>
  <c r="F27" i="198" s="1"/>
  <c r="E70" i="209"/>
  <c r="D70" i="209" s="1"/>
  <c r="G70" i="209"/>
  <c r="F71" i="209" s="1"/>
  <c r="E68" i="198"/>
  <c r="D68" i="198" s="1"/>
  <c r="G68" i="198" s="1"/>
  <c r="F69" i="198" s="1"/>
  <c r="E70" i="207"/>
  <c r="D70" i="207" s="1"/>
  <c r="G70" i="207"/>
  <c r="F71" i="207" s="1"/>
  <c r="E20" i="211"/>
  <c r="D20" i="211" s="1"/>
  <c r="G20" i="211" s="1"/>
  <c r="F21" i="211" s="1"/>
  <c r="E28" i="196"/>
  <c r="D28" i="196" s="1"/>
  <c r="G28" i="196" s="1"/>
  <c r="F29" i="196" s="1"/>
  <c r="E55" i="196"/>
  <c r="D55" i="196" s="1"/>
  <c r="G55" i="196" s="1"/>
  <c r="F56" i="196" s="1"/>
  <c r="E28" i="195"/>
  <c r="D28" i="195" s="1"/>
  <c r="G28" i="195"/>
  <c r="F29" i="195" s="1"/>
  <c r="E29" i="193"/>
  <c r="D29" i="193" s="1"/>
  <c r="G29" i="193" s="1"/>
  <c r="F30" i="193" s="1"/>
  <c r="E28" i="192"/>
  <c r="D28" i="192" s="1"/>
  <c r="G28" i="192" s="1"/>
  <c r="F29" i="192" s="1"/>
  <c r="E55" i="192"/>
  <c r="D55" i="192" s="1"/>
  <c r="G55" i="192" s="1"/>
  <c r="F56" i="192" s="1"/>
  <c r="E56" i="193"/>
  <c r="D56" i="193" s="1"/>
  <c r="G56" i="193" s="1"/>
  <c r="F57" i="193" s="1"/>
  <c r="E55" i="195"/>
  <c r="D55" i="195" s="1"/>
  <c r="G55" i="195" s="1"/>
  <c r="F56" i="195" s="1"/>
  <c r="D22" i="187"/>
  <c r="G22" i="187" s="1"/>
  <c r="F23" i="187" s="1"/>
  <c r="E23" i="187" s="1"/>
  <c r="E24" i="186"/>
  <c r="D24" i="186" s="1"/>
  <c r="G24" i="186" s="1"/>
  <c r="F25" i="186" s="1"/>
  <c r="E30" i="206" l="1"/>
  <c r="D30" i="206" s="1"/>
  <c r="G30" i="206" s="1"/>
  <c r="F31" i="206" s="1"/>
  <c r="E69" i="204"/>
  <c r="D69" i="204" s="1"/>
  <c r="G69" i="204" s="1"/>
  <c r="F70" i="204" s="1"/>
  <c r="E60" i="210"/>
  <c r="D60" i="210" s="1"/>
  <c r="G60" i="210"/>
  <c r="F61" i="210" s="1"/>
  <c r="E27" i="198"/>
  <c r="D27" i="198" s="1"/>
  <c r="G27" i="198"/>
  <c r="F28" i="198" s="1"/>
  <c r="E69" i="198"/>
  <c r="D69" i="198" s="1"/>
  <c r="G69" i="198" s="1"/>
  <c r="F70" i="198" s="1"/>
  <c r="E32" i="199"/>
  <c r="D32" i="199" s="1"/>
  <c r="G32" i="199" s="1"/>
  <c r="F33" i="199" s="1"/>
  <c r="E27" i="204"/>
  <c r="D27" i="204" s="1"/>
  <c r="G27" i="204" s="1"/>
  <c r="F28" i="204" s="1"/>
  <c r="E74" i="199"/>
  <c r="D74" i="199" s="1"/>
  <c r="G74" i="199"/>
  <c r="F75" i="199" s="1"/>
  <c r="E31" i="207"/>
  <c r="D31" i="207" s="1"/>
  <c r="G31" i="207" s="1"/>
  <c r="F32" i="207" s="1"/>
  <c r="E31" i="209"/>
  <c r="D31" i="209" s="1"/>
  <c r="G31" i="209" s="1"/>
  <c r="F32" i="209" s="1"/>
  <c r="E28" i="202"/>
  <c r="D28" i="202" s="1"/>
  <c r="G28" i="202" s="1"/>
  <c r="F29" i="202" s="1"/>
  <c r="E70" i="206"/>
  <c r="D70" i="206" s="1"/>
  <c r="G70" i="206"/>
  <c r="F71" i="206" s="1"/>
  <c r="E32" i="200"/>
  <c r="D32" i="200" s="1"/>
  <c r="G32" i="200" s="1"/>
  <c r="F33" i="200" s="1"/>
  <c r="E70" i="202"/>
  <c r="D70" i="202" s="1"/>
  <c r="G70" i="202" s="1"/>
  <c r="F71" i="202" s="1"/>
  <c r="E21" i="211"/>
  <c r="D21" i="211" s="1"/>
  <c r="G21" i="211" s="1"/>
  <c r="F22" i="211" s="1"/>
  <c r="E20" i="210"/>
  <c r="D20" i="210" s="1"/>
  <c r="G20" i="210"/>
  <c r="F21" i="210" s="1"/>
  <c r="E61" i="211"/>
  <c r="D61" i="211" s="1"/>
  <c r="G61" i="211" s="1"/>
  <c r="F62" i="211" s="1"/>
  <c r="E70" i="208"/>
  <c r="D70" i="208" s="1"/>
  <c r="G70" i="208" s="1"/>
  <c r="F71" i="208" s="1"/>
  <c r="E30" i="208"/>
  <c r="D30" i="208" s="1"/>
  <c r="G30" i="208"/>
  <c r="F31" i="208" s="1"/>
  <c r="E71" i="209"/>
  <c r="D71" i="209" s="1"/>
  <c r="G71" i="209" s="1"/>
  <c r="F72" i="209" s="1"/>
  <c r="E74" i="200"/>
  <c r="D74" i="200" s="1"/>
  <c r="G74" i="200" s="1"/>
  <c r="F75" i="200" s="1"/>
  <c r="E71" i="207"/>
  <c r="D71" i="207" s="1"/>
  <c r="G71" i="207" s="1"/>
  <c r="F72" i="207" s="1"/>
  <c r="E56" i="195"/>
  <c r="D56" i="195" s="1"/>
  <c r="G56" i="195" s="1"/>
  <c r="F57" i="195" s="1"/>
  <c r="E57" i="193"/>
  <c r="D57" i="193" s="1"/>
  <c r="G57" i="193" s="1"/>
  <c r="F58" i="193" s="1"/>
  <c r="E56" i="196"/>
  <c r="D56" i="196" s="1"/>
  <c r="G56" i="196"/>
  <c r="F57" i="196" s="1"/>
  <c r="E29" i="192"/>
  <c r="D29" i="192" s="1"/>
  <c r="G29" i="192" s="1"/>
  <c r="F30" i="192" s="1"/>
  <c r="E29" i="196"/>
  <c r="D29" i="196" s="1"/>
  <c r="G29" i="196" s="1"/>
  <c r="F30" i="196" s="1"/>
  <c r="E56" i="192"/>
  <c r="D56" i="192" s="1"/>
  <c r="G56" i="192" s="1"/>
  <c r="F57" i="192" s="1"/>
  <c r="E30" i="193"/>
  <c r="D30" i="193" s="1"/>
  <c r="G30" i="193"/>
  <c r="F31" i="193" s="1"/>
  <c r="E29" i="195"/>
  <c r="D29" i="195" s="1"/>
  <c r="G29" i="195" s="1"/>
  <c r="F30" i="195" s="1"/>
  <c r="D23" i="187"/>
  <c r="G23" i="187" s="1"/>
  <c r="F24" i="187" s="1"/>
  <c r="E24" i="187" s="1"/>
  <c r="E25" i="186"/>
  <c r="D25" i="186" s="1"/>
  <c r="G25" i="186" s="1"/>
  <c r="F26" i="186" s="1"/>
  <c r="E71" i="208" l="1"/>
  <c r="D71" i="208" s="1"/>
  <c r="G71" i="208" s="1"/>
  <c r="F72" i="208" s="1"/>
  <c r="E70" i="198"/>
  <c r="D70" i="198" s="1"/>
  <c r="G70" i="198" s="1"/>
  <c r="F71" i="198" s="1"/>
  <c r="E62" i="211"/>
  <c r="D62" i="211" s="1"/>
  <c r="G62" i="211" s="1"/>
  <c r="F63" i="211" s="1"/>
  <c r="E29" i="202"/>
  <c r="D29" i="202" s="1"/>
  <c r="G29" i="202"/>
  <c r="F30" i="202" s="1"/>
  <c r="E32" i="209"/>
  <c r="D32" i="209" s="1"/>
  <c r="G32" i="209" s="1"/>
  <c r="F33" i="209" s="1"/>
  <c r="E33" i="199"/>
  <c r="D33" i="199" s="1"/>
  <c r="G33" i="199" s="1"/>
  <c r="F34" i="199" s="1"/>
  <c r="E72" i="207"/>
  <c r="D72" i="207" s="1"/>
  <c r="G72" i="207" s="1"/>
  <c r="F73" i="207" s="1"/>
  <c r="E22" i="211"/>
  <c r="D22" i="211" s="1"/>
  <c r="G22" i="211"/>
  <c r="F23" i="211" s="1"/>
  <c r="E75" i="200"/>
  <c r="D75" i="200" s="1"/>
  <c r="G75" i="200" s="1"/>
  <c r="F76" i="200" s="1"/>
  <c r="E72" i="209"/>
  <c r="D72" i="209" s="1"/>
  <c r="G72" i="209" s="1"/>
  <c r="F73" i="209" s="1"/>
  <c r="E71" i="202"/>
  <c r="D71" i="202" s="1"/>
  <c r="G71" i="202"/>
  <c r="F72" i="202" s="1"/>
  <c r="E70" i="204"/>
  <c r="D70" i="204" s="1"/>
  <c r="G70" i="204" s="1"/>
  <c r="F71" i="204" s="1"/>
  <c r="E32" i="207"/>
  <c r="D32" i="207" s="1"/>
  <c r="G32" i="207"/>
  <c r="F33" i="207" s="1"/>
  <c r="E33" i="200"/>
  <c r="D33" i="200" s="1"/>
  <c r="G33" i="200" s="1"/>
  <c r="F34" i="200" s="1"/>
  <c r="E28" i="204"/>
  <c r="D28" i="204" s="1"/>
  <c r="G28" i="204"/>
  <c r="F29" i="204" s="1"/>
  <c r="E31" i="206"/>
  <c r="D31" i="206" s="1"/>
  <c r="G31" i="206" s="1"/>
  <c r="F32" i="206" s="1"/>
  <c r="E21" i="210"/>
  <c r="D21" i="210" s="1"/>
  <c r="G21" i="210" s="1"/>
  <c r="F22" i="210" s="1"/>
  <c r="G28" i="198"/>
  <c r="F29" i="198" s="1"/>
  <c r="E28" i="198"/>
  <c r="D28" i="198" s="1"/>
  <c r="E61" i="210"/>
  <c r="D61" i="210" s="1"/>
  <c r="G61" i="210" s="1"/>
  <c r="F62" i="210" s="1"/>
  <c r="E75" i="199"/>
  <c r="D75" i="199" s="1"/>
  <c r="G75" i="199" s="1"/>
  <c r="F76" i="199" s="1"/>
  <c r="E71" i="206"/>
  <c r="D71" i="206" s="1"/>
  <c r="G71" i="206"/>
  <c r="F72" i="206" s="1"/>
  <c r="E31" i="208"/>
  <c r="D31" i="208" s="1"/>
  <c r="G31" i="208" s="1"/>
  <c r="F32" i="208" s="1"/>
  <c r="E57" i="192"/>
  <c r="D57" i="192" s="1"/>
  <c r="G57" i="192" s="1"/>
  <c r="F58" i="192" s="1"/>
  <c r="E58" i="193"/>
  <c r="D58" i="193" s="1"/>
  <c r="G58" i="193" s="1"/>
  <c r="F59" i="193" s="1"/>
  <c r="E30" i="195"/>
  <c r="D30" i="195" s="1"/>
  <c r="G30" i="195"/>
  <c r="F31" i="195" s="1"/>
  <c r="E57" i="195"/>
  <c r="D57" i="195" s="1"/>
  <c r="G57" i="195" s="1"/>
  <c r="F58" i="195" s="1"/>
  <c r="E30" i="196"/>
  <c r="D30" i="196" s="1"/>
  <c r="G30" i="196" s="1"/>
  <c r="F31" i="196" s="1"/>
  <c r="E30" i="192"/>
  <c r="D30" i="192" s="1"/>
  <c r="G30" i="192"/>
  <c r="F31" i="192" s="1"/>
  <c r="E57" i="196"/>
  <c r="D57" i="196" s="1"/>
  <c r="G57" i="196" s="1"/>
  <c r="F58" i="196" s="1"/>
  <c r="G31" i="193"/>
  <c r="F32" i="193" s="1"/>
  <c r="E31" i="193"/>
  <c r="D31" i="193" s="1"/>
  <c r="D24" i="187"/>
  <c r="G24" i="187" s="1"/>
  <c r="F25" i="187" s="1"/>
  <c r="E25" i="187" s="1"/>
  <c r="E26" i="186"/>
  <c r="D26" i="186" s="1"/>
  <c r="G26" i="186" s="1"/>
  <c r="F27" i="186" s="1"/>
  <c r="E73" i="207" l="1"/>
  <c r="D73" i="207" s="1"/>
  <c r="G73" i="207" s="1"/>
  <c r="F74" i="207" s="1"/>
  <c r="E71" i="204"/>
  <c r="D71" i="204" s="1"/>
  <c r="G71" i="204" s="1"/>
  <c r="F72" i="204" s="1"/>
  <c r="E34" i="199"/>
  <c r="D34" i="199" s="1"/>
  <c r="G34" i="199" s="1"/>
  <c r="F35" i="199" s="1"/>
  <c r="E62" i="210"/>
  <c r="D62" i="210" s="1"/>
  <c r="G62" i="210" s="1"/>
  <c r="F63" i="210" s="1"/>
  <c r="E73" i="209"/>
  <c r="D73" i="209" s="1"/>
  <c r="G73" i="209" s="1"/>
  <c r="F74" i="209" s="1"/>
  <c r="E33" i="209"/>
  <c r="D33" i="209" s="1"/>
  <c r="G33" i="209" s="1"/>
  <c r="F34" i="209" s="1"/>
  <c r="E32" i="208"/>
  <c r="D32" i="208" s="1"/>
  <c r="G32" i="208" s="1"/>
  <c r="F33" i="208" s="1"/>
  <c r="E76" i="200"/>
  <c r="D76" i="200" s="1"/>
  <c r="G76" i="200" s="1"/>
  <c r="F77" i="200" s="1"/>
  <c r="E63" i="211"/>
  <c r="D63" i="211" s="1"/>
  <c r="G63" i="211" s="1"/>
  <c r="F64" i="211" s="1"/>
  <c r="E22" i="210"/>
  <c r="D22" i="210" s="1"/>
  <c r="G22" i="210" s="1"/>
  <c r="F23" i="210" s="1"/>
  <c r="E32" i="206"/>
  <c r="D32" i="206" s="1"/>
  <c r="G32" i="206"/>
  <c r="F33" i="206" s="1"/>
  <c r="E76" i="199"/>
  <c r="D76" i="199" s="1"/>
  <c r="G76" i="199" s="1"/>
  <c r="F77" i="199" s="1"/>
  <c r="E34" i="200"/>
  <c r="D34" i="200" s="1"/>
  <c r="G34" i="200" s="1"/>
  <c r="F35" i="200" s="1"/>
  <c r="E71" i="198"/>
  <c r="D71" i="198" s="1"/>
  <c r="G71" i="198"/>
  <c r="F72" i="198" s="1"/>
  <c r="E72" i="208"/>
  <c r="D72" i="208" s="1"/>
  <c r="G72" i="208"/>
  <c r="F73" i="208" s="1"/>
  <c r="E23" i="211"/>
  <c r="D23" i="211" s="1"/>
  <c r="G23" i="211"/>
  <c r="F24" i="211" s="1"/>
  <c r="E30" i="202"/>
  <c r="D30" i="202" s="1"/>
  <c r="G30" i="202" s="1"/>
  <c r="F31" i="202" s="1"/>
  <c r="E29" i="204"/>
  <c r="D29" i="204" s="1"/>
  <c r="G29" i="204" s="1"/>
  <c r="F30" i="204" s="1"/>
  <c r="E72" i="202"/>
  <c r="D72" i="202" s="1"/>
  <c r="G72" i="202" s="1"/>
  <c r="F73" i="202" s="1"/>
  <c r="E29" i="198"/>
  <c r="D29" i="198" s="1"/>
  <c r="G29" i="198" s="1"/>
  <c r="F30" i="198" s="1"/>
  <c r="E72" i="206"/>
  <c r="D72" i="206" s="1"/>
  <c r="G72" i="206" s="1"/>
  <c r="F73" i="206" s="1"/>
  <c r="E33" i="207"/>
  <c r="D33" i="207" s="1"/>
  <c r="G33" i="207" s="1"/>
  <c r="F34" i="207" s="1"/>
  <c r="E58" i="196"/>
  <c r="D58" i="196" s="1"/>
  <c r="G58" i="196" s="1"/>
  <c r="F59" i="196" s="1"/>
  <c r="E59" i="193"/>
  <c r="D59" i="193" s="1"/>
  <c r="G59" i="193" s="1"/>
  <c r="F60" i="193" s="1"/>
  <c r="E58" i="192"/>
  <c r="D58" i="192" s="1"/>
  <c r="G58" i="192" s="1"/>
  <c r="F59" i="192" s="1"/>
  <c r="E31" i="196"/>
  <c r="D31" i="196" s="1"/>
  <c r="G31" i="196" s="1"/>
  <c r="F32" i="196" s="1"/>
  <c r="E58" i="195"/>
  <c r="D58" i="195" s="1"/>
  <c r="G58" i="195" s="1"/>
  <c r="F59" i="195" s="1"/>
  <c r="E31" i="195"/>
  <c r="D31" i="195" s="1"/>
  <c r="G31" i="195" s="1"/>
  <c r="F32" i="195" s="1"/>
  <c r="E32" i="193"/>
  <c r="D32" i="193" s="1"/>
  <c r="G32" i="193" s="1"/>
  <c r="F33" i="193" s="1"/>
  <c r="E31" i="192"/>
  <c r="D31" i="192" s="1"/>
  <c r="G31" i="192" s="1"/>
  <c r="F32" i="192" s="1"/>
  <c r="D25" i="187"/>
  <c r="G25" i="187" s="1"/>
  <c r="F26" i="187" s="1"/>
  <c r="E26" i="187" s="1"/>
  <c r="E27" i="186"/>
  <c r="D27" i="186" s="1"/>
  <c r="G27" i="186" s="1"/>
  <c r="F28" i="186" s="1"/>
  <c r="G28" i="186" s="1"/>
  <c r="E34" i="209" l="1"/>
  <c r="D34" i="209" s="1"/>
  <c r="G34" i="209" s="1"/>
  <c r="F35" i="209" s="1"/>
  <c r="E30" i="198"/>
  <c r="D30" i="198" s="1"/>
  <c r="G30" i="198" s="1"/>
  <c r="F31" i="198" s="1"/>
  <c r="E33" i="208"/>
  <c r="D33" i="208" s="1"/>
  <c r="G33" i="208" s="1"/>
  <c r="F34" i="208" s="1"/>
  <c r="E77" i="199"/>
  <c r="D77" i="199" s="1"/>
  <c r="G77" i="199"/>
  <c r="F78" i="199" s="1"/>
  <c r="E35" i="199"/>
  <c r="D35" i="199" s="1"/>
  <c r="G35" i="199" s="1"/>
  <c r="F36" i="199" s="1"/>
  <c r="E77" i="200"/>
  <c r="D77" i="200" s="1"/>
  <c r="G77" i="200"/>
  <c r="F78" i="200" s="1"/>
  <c r="E30" i="204"/>
  <c r="D30" i="204" s="1"/>
  <c r="G30" i="204" s="1"/>
  <c r="F31" i="204" s="1"/>
  <c r="E31" i="202"/>
  <c r="D31" i="202" s="1"/>
  <c r="G31" i="202" s="1"/>
  <c r="F32" i="202" s="1"/>
  <c r="E63" i="210"/>
  <c r="D63" i="210" s="1"/>
  <c r="G63" i="210"/>
  <c r="F64" i="210" s="1"/>
  <c r="E34" i="207"/>
  <c r="D34" i="207" s="1"/>
  <c r="G34" i="207" s="1"/>
  <c r="F35" i="207" s="1"/>
  <c r="E23" i="210"/>
  <c r="D23" i="210" s="1"/>
  <c r="G23" i="210" s="1"/>
  <c r="F24" i="210" s="1"/>
  <c r="E72" i="204"/>
  <c r="D72" i="204" s="1"/>
  <c r="G72" i="204" s="1"/>
  <c r="F73" i="204" s="1"/>
  <c r="E73" i="202"/>
  <c r="D73" i="202" s="1"/>
  <c r="G73" i="202"/>
  <c r="F74" i="202" s="1"/>
  <c r="E35" i="200"/>
  <c r="D35" i="200" s="1"/>
  <c r="G35" i="200" s="1"/>
  <c r="F36" i="200" s="1"/>
  <c r="E74" i="209"/>
  <c r="D74" i="209" s="1"/>
  <c r="G74" i="209"/>
  <c r="F75" i="209" s="1"/>
  <c r="E73" i="206"/>
  <c r="D73" i="206" s="1"/>
  <c r="G73" i="206" s="1"/>
  <c r="F74" i="206" s="1"/>
  <c r="E64" i="211"/>
  <c r="D64" i="211" s="1"/>
  <c r="G64" i="211"/>
  <c r="F65" i="211" s="1"/>
  <c r="E74" i="207"/>
  <c r="D74" i="207" s="1"/>
  <c r="G74" i="207"/>
  <c r="F75" i="207" s="1"/>
  <c r="E73" i="208"/>
  <c r="D73" i="208" s="1"/>
  <c r="G73" i="208"/>
  <c r="F74" i="208" s="1"/>
  <c r="E33" i="206"/>
  <c r="D33" i="206" s="1"/>
  <c r="G33" i="206"/>
  <c r="F34" i="206" s="1"/>
  <c r="E24" i="211"/>
  <c r="D24" i="211" s="1"/>
  <c r="G24" i="211" s="1"/>
  <c r="F25" i="211" s="1"/>
  <c r="E72" i="198"/>
  <c r="D72" i="198" s="1"/>
  <c r="G72" i="198" s="1"/>
  <c r="F73" i="198" s="1"/>
  <c r="E32" i="192"/>
  <c r="D32" i="192" s="1"/>
  <c r="G32" i="192" s="1"/>
  <c r="F33" i="192" s="1"/>
  <c r="E60" i="193"/>
  <c r="D60" i="193" s="1"/>
  <c r="G60" i="193" s="1"/>
  <c r="F61" i="193" s="1"/>
  <c r="E33" i="193"/>
  <c r="D33" i="193" s="1"/>
  <c r="G33" i="193" s="1"/>
  <c r="F34" i="193" s="1"/>
  <c r="E59" i="196"/>
  <c r="D59" i="196" s="1"/>
  <c r="G59" i="196" s="1"/>
  <c r="F60" i="196" s="1"/>
  <c r="E32" i="196"/>
  <c r="D32" i="196" s="1"/>
  <c r="G32" i="196" s="1"/>
  <c r="F33" i="196" s="1"/>
  <c r="E32" i="195"/>
  <c r="D32" i="195" s="1"/>
  <c r="G32" i="195" s="1"/>
  <c r="F33" i="195" s="1"/>
  <c r="E59" i="195"/>
  <c r="D59" i="195" s="1"/>
  <c r="G59" i="195" s="1"/>
  <c r="E59" i="192"/>
  <c r="D59" i="192" s="1"/>
  <c r="G59" i="192" s="1"/>
  <c r="F60" i="192" s="1"/>
  <c r="D26" i="187"/>
  <c r="G26" i="187" s="1"/>
  <c r="F27" i="187" s="1"/>
  <c r="E27" i="187" s="1"/>
  <c r="E24" i="210" l="1"/>
  <c r="D24" i="210" s="1"/>
  <c r="G24" i="210"/>
  <c r="F25" i="210" s="1"/>
  <c r="E73" i="198"/>
  <c r="D73" i="198" s="1"/>
  <c r="G73" i="198" s="1"/>
  <c r="F74" i="198" s="1"/>
  <c r="E36" i="199"/>
  <c r="D36" i="199" s="1"/>
  <c r="G36" i="199" s="1"/>
  <c r="F37" i="199" s="1"/>
  <c r="E34" i="208"/>
  <c r="D34" i="208" s="1"/>
  <c r="G34" i="208"/>
  <c r="F35" i="208" s="1"/>
  <c r="E25" i="211"/>
  <c r="D25" i="211" s="1"/>
  <c r="G25" i="211" s="1"/>
  <c r="F26" i="211" s="1"/>
  <c r="E74" i="206"/>
  <c r="D74" i="206" s="1"/>
  <c r="G74" i="206" s="1"/>
  <c r="F75" i="206" s="1"/>
  <c r="E36" i="200"/>
  <c r="D36" i="200" s="1"/>
  <c r="G36" i="200" s="1"/>
  <c r="F37" i="200" s="1"/>
  <c r="E32" i="202"/>
  <c r="D32" i="202" s="1"/>
  <c r="G32" i="202" s="1"/>
  <c r="F33" i="202" s="1"/>
  <c r="E31" i="198"/>
  <c r="D31" i="198" s="1"/>
  <c r="G31" i="198"/>
  <c r="F32" i="198" s="1"/>
  <c r="E73" i="204"/>
  <c r="D73" i="204" s="1"/>
  <c r="G73" i="204"/>
  <c r="F74" i="204" s="1"/>
  <c r="E35" i="207"/>
  <c r="D35" i="207" s="1"/>
  <c r="G35" i="207" s="1"/>
  <c r="F36" i="207" s="1"/>
  <c r="E31" i="204"/>
  <c r="D31" i="204" s="1"/>
  <c r="G31" i="204" s="1"/>
  <c r="F32" i="204" s="1"/>
  <c r="E35" i="209"/>
  <c r="D35" i="209" s="1"/>
  <c r="G35" i="209"/>
  <c r="F36" i="209" s="1"/>
  <c r="E74" i="208"/>
  <c r="D74" i="208" s="1"/>
  <c r="G74" i="208" s="1"/>
  <c r="F75" i="208" s="1"/>
  <c r="E78" i="200"/>
  <c r="D78" i="200" s="1"/>
  <c r="G78" i="200" s="1"/>
  <c r="F79" i="200" s="1"/>
  <c r="E34" i="206"/>
  <c r="D34" i="206" s="1"/>
  <c r="G34" i="206" s="1"/>
  <c r="F35" i="206" s="1"/>
  <c r="E78" i="199"/>
  <c r="D78" i="199" s="1"/>
  <c r="G78" i="199"/>
  <c r="F79" i="199" s="1"/>
  <c r="E75" i="207"/>
  <c r="D75" i="207" s="1"/>
  <c r="G75" i="207" s="1"/>
  <c r="F76" i="207" s="1"/>
  <c r="E65" i="211"/>
  <c r="D65" i="211" s="1"/>
  <c r="G65" i="211" s="1"/>
  <c r="F66" i="211" s="1"/>
  <c r="E74" i="202"/>
  <c r="D74" i="202" s="1"/>
  <c r="G74" i="202" s="1"/>
  <c r="F75" i="202" s="1"/>
  <c r="E64" i="210"/>
  <c r="D64" i="210" s="1"/>
  <c r="G64" i="210" s="1"/>
  <c r="F65" i="210" s="1"/>
  <c r="E75" i="209"/>
  <c r="D75" i="209" s="1"/>
  <c r="G75" i="209" s="1"/>
  <c r="F76" i="209" s="1"/>
  <c r="E33" i="192"/>
  <c r="D33" i="192" s="1"/>
  <c r="G33" i="192" s="1"/>
  <c r="F34" i="192" s="1"/>
  <c r="F60" i="195"/>
  <c r="E61" i="193"/>
  <c r="D61" i="193" s="1"/>
  <c r="G61" i="193" s="1"/>
  <c r="F62" i="193" s="1"/>
  <c r="E60" i="192"/>
  <c r="D60" i="192" s="1"/>
  <c r="G60" i="192" s="1"/>
  <c r="F61" i="192" s="1"/>
  <c r="E60" i="196"/>
  <c r="D60" i="196" s="1"/>
  <c r="G60" i="196"/>
  <c r="F61" i="196" s="1"/>
  <c r="G33" i="195"/>
  <c r="F34" i="195" s="1"/>
  <c r="E33" i="195"/>
  <c r="D33" i="195" s="1"/>
  <c r="G33" i="196"/>
  <c r="F34" i="196" s="1"/>
  <c r="E33" i="196"/>
  <c r="D33" i="196" s="1"/>
  <c r="E34" i="193"/>
  <c r="D34" i="193" s="1"/>
  <c r="G34" i="193" s="1"/>
  <c r="F35" i="193" s="1"/>
  <c r="D27" i="187"/>
  <c r="G27" i="187" s="1"/>
  <c r="F28" i="187" s="1"/>
  <c r="E76" i="207" l="1"/>
  <c r="D76" i="207" s="1"/>
  <c r="G76" i="207" s="1"/>
  <c r="F77" i="207" s="1"/>
  <c r="E75" i="206"/>
  <c r="D75" i="206" s="1"/>
  <c r="G75" i="206" s="1"/>
  <c r="F76" i="206" s="1"/>
  <c r="E35" i="206"/>
  <c r="D35" i="206" s="1"/>
  <c r="G35" i="206" s="1"/>
  <c r="F36" i="206" s="1"/>
  <c r="E79" i="200"/>
  <c r="D79" i="200" s="1"/>
  <c r="G79" i="200" s="1"/>
  <c r="F80" i="200" s="1"/>
  <c r="E37" i="199"/>
  <c r="D37" i="199" s="1"/>
  <c r="G37" i="199"/>
  <c r="F38" i="199" s="1"/>
  <c r="E26" i="211"/>
  <c r="D26" i="211" s="1"/>
  <c r="G26" i="211" s="1"/>
  <c r="F27" i="211" s="1"/>
  <c r="E65" i="210"/>
  <c r="D65" i="210" s="1"/>
  <c r="G65" i="210"/>
  <c r="F66" i="210" s="1"/>
  <c r="E75" i="208"/>
  <c r="D75" i="208" s="1"/>
  <c r="G75" i="208" s="1"/>
  <c r="F76" i="208" s="1"/>
  <c r="E74" i="198"/>
  <c r="D74" i="198" s="1"/>
  <c r="G74" i="198" s="1"/>
  <c r="F75" i="198" s="1"/>
  <c r="E32" i="204"/>
  <c r="D32" i="204" s="1"/>
  <c r="G32" i="204" s="1"/>
  <c r="F33" i="204" s="1"/>
  <c r="E36" i="207"/>
  <c r="D36" i="207" s="1"/>
  <c r="G36" i="207"/>
  <c r="F37" i="207" s="1"/>
  <c r="E76" i="209"/>
  <c r="D76" i="209" s="1"/>
  <c r="G76" i="209" s="1"/>
  <c r="F77" i="209" s="1"/>
  <c r="E75" i="202"/>
  <c r="D75" i="202" s="1"/>
  <c r="G75" i="202" s="1"/>
  <c r="F76" i="202" s="1"/>
  <c r="E33" i="202"/>
  <c r="D33" i="202" s="1"/>
  <c r="G33" i="202" s="1"/>
  <c r="F34" i="202" s="1"/>
  <c r="E66" i="211"/>
  <c r="D66" i="211" s="1"/>
  <c r="G66" i="211" s="1"/>
  <c r="F67" i="211" s="1"/>
  <c r="E37" i="200"/>
  <c r="D37" i="200" s="1"/>
  <c r="G37" i="200"/>
  <c r="F38" i="200" s="1"/>
  <c r="E35" i="208"/>
  <c r="D35" i="208" s="1"/>
  <c r="G35" i="208" s="1"/>
  <c r="F36" i="208" s="1"/>
  <c r="E74" i="204"/>
  <c r="D74" i="204" s="1"/>
  <c r="G74" i="204" s="1"/>
  <c r="F75" i="204" s="1"/>
  <c r="E79" i="199"/>
  <c r="D79" i="199" s="1"/>
  <c r="G79" i="199" s="1"/>
  <c r="F80" i="199" s="1"/>
  <c r="E36" i="209"/>
  <c r="D36" i="209" s="1"/>
  <c r="G36" i="209" s="1"/>
  <c r="F37" i="209" s="1"/>
  <c r="E32" i="198"/>
  <c r="D32" i="198" s="1"/>
  <c r="G32" i="198" s="1"/>
  <c r="F33" i="198" s="1"/>
  <c r="E25" i="210"/>
  <c r="D25" i="210" s="1"/>
  <c r="G25" i="210" s="1"/>
  <c r="F26" i="210" s="1"/>
  <c r="E34" i="192"/>
  <c r="D34" i="192" s="1"/>
  <c r="G34" i="192" s="1"/>
  <c r="F35" i="192" s="1"/>
  <c r="E62" i="193"/>
  <c r="D62" i="193" s="1"/>
  <c r="G62" i="193" s="1"/>
  <c r="F63" i="193" s="1"/>
  <c r="E61" i="192"/>
  <c r="D61" i="192" s="1"/>
  <c r="G61" i="192" s="1"/>
  <c r="F62" i="192" s="1"/>
  <c r="E35" i="193"/>
  <c r="D35" i="193" s="1"/>
  <c r="G35" i="193" s="1"/>
  <c r="F36" i="193" s="1"/>
  <c r="E61" i="196"/>
  <c r="D61" i="196" s="1"/>
  <c r="G61" i="196" s="1"/>
  <c r="F62" i="196" s="1"/>
  <c r="E34" i="195"/>
  <c r="D34" i="195" s="1"/>
  <c r="G34" i="195" s="1"/>
  <c r="F35" i="195" s="1"/>
  <c r="E34" i="196"/>
  <c r="D34" i="196" s="1"/>
  <c r="G34" i="196" s="1"/>
  <c r="F35" i="196" s="1"/>
  <c r="E60" i="195"/>
  <c r="D60" i="195" s="1"/>
  <c r="G60" i="195" s="1"/>
  <c r="F61" i="195" s="1"/>
  <c r="D28" i="187"/>
  <c r="G28" i="187" s="1"/>
  <c r="G37" i="209" l="1"/>
  <c r="F38" i="209" s="1"/>
  <c r="E37" i="209"/>
  <c r="D37" i="209" s="1"/>
  <c r="E76" i="202"/>
  <c r="D76" i="202" s="1"/>
  <c r="G76" i="202" s="1"/>
  <c r="F77" i="202" s="1"/>
  <c r="E80" i="199"/>
  <c r="D80" i="199" s="1"/>
  <c r="G80" i="199"/>
  <c r="F81" i="199" s="1"/>
  <c r="E77" i="209"/>
  <c r="D77" i="209" s="1"/>
  <c r="G77" i="209"/>
  <c r="F78" i="209" s="1"/>
  <c r="E27" i="211"/>
  <c r="D27" i="211" s="1"/>
  <c r="G27" i="211" s="1"/>
  <c r="F28" i="211" s="1"/>
  <c r="E75" i="204"/>
  <c r="D75" i="204" s="1"/>
  <c r="G75" i="204"/>
  <c r="F76" i="204" s="1"/>
  <c r="E36" i="208"/>
  <c r="D36" i="208" s="1"/>
  <c r="G36" i="208" s="1"/>
  <c r="F37" i="208" s="1"/>
  <c r="E33" i="204"/>
  <c r="D33" i="204" s="1"/>
  <c r="G33" i="204" s="1"/>
  <c r="F34" i="204" s="1"/>
  <c r="G80" i="200"/>
  <c r="F81" i="200" s="1"/>
  <c r="E80" i="200"/>
  <c r="D80" i="200" s="1"/>
  <c r="E75" i="198"/>
  <c r="D75" i="198" s="1"/>
  <c r="G75" i="198"/>
  <c r="F76" i="198" s="1"/>
  <c r="E36" i="206"/>
  <c r="D36" i="206" s="1"/>
  <c r="G36" i="206" s="1"/>
  <c r="F37" i="206" s="1"/>
  <c r="E26" i="210"/>
  <c r="D26" i="210" s="1"/>
  <c r="G26" i="210" s="1"/>
  <c r="F27" i="210" s="1"/>
  <c r="G67" i="211"/>
  <c r="F68" i="211" s="1"/>
  <c r="E67" i="211"/>
  <c r="D67" i="211" s="1"/>
  <c r="E76" i="208"/>
  <c r="D76" i="208" s="1"/>
  <c r="G76" i="208"/>
  <c r="F77" i="208" s="1"/>
  <c r="E76" i="206"/>
  <c r="D76" i="206" s="1"/>
  <c r="G76" i="206" s="1"/>
  <c r="F77" i="206" s="1"/>
  <c r="E33" i="198"/>
  <c r="D33" i="198" s="1"/>
  <c r="G33" i="198" s="1"/>
  <c r="F34" i="198" s="1"/>
  <c r="G34" i="202"/>
  <c r="F35" i="202" s="1"/>
  <c r="E34" i="202"/>
  <c r="D34" i="202" s="1"/>
  <c r="E77" i="207"/>
  <c r="D77" i="207" s="1"/>
  <c r="G77" i="207"/>
  <c r="F78" i="207" s="1"/>
  <c r="E66" i="210"/>
  <c r="D66" i="210" s="1"/>
  <c r="G66" i="210" s="1"/>
  <c r="F67" i="210" s="1"/>
  <c r="E38" i="199"/>
  <c r="D38" i="199" s="1"/>
  <c r="G38" i="199" s="1"/>
  <c r="F39" i="199" s="1"/>
  <c r="G38" i="200"/>
  <c r="F39" i="200" s="1"/>
  <c r="E38" i="200"/>
  <c r="D38" i="200" s="1"/>
  <c r="E37" i="207"/>
  <c r="D37" i="207" s="1"/>
  <c r="G37" i="207" s="1"/>
  <c r="F38" i="207" s="1"/>
  <c r="E61" i="195"/>
  <c r="D61" i="195" s="1"/>
  <c r="G61" i="195" s="1"/>
  <c r="F62" i="195" s="1"/>
  <c r="E35" i="196"/>
  <c r="D35" i="196" s="1"/>
  <c r="G35" i="196" s="1"/>
  <c r="F36" i="196" s="1"/>
  <c r="E35" i="195"/>
  <c r="D35" i="195" s="1"/>
  <c r="G35" i="195" s="1"/>
  <c r="F36" i="195" s="1"/>
  <c r="E35" i="192"/>
  <c r="D35" i="192" s="1"/>
  <c r="G35" i="192"/>
  <c r="F36" i="192" s="1"/>
  <c r="G36" i="193"/>
  <c r="F37" i="193" s="1"/>
  <c r="E36" i="193"/>
  <c r="D36" i="193" s="1"/>
  <c r="G62" i="192"/>
  <c r="F63" i="192" s="1"/>
  <c r="E62" i="192"/>
  <c r="D62" i="192" s="1"/>
  <c r="E62" i="196"/>
  <c r="D62" i="196" s="1"/>
  <c r="G62" i="196"/>
  <c r="F63" i="196" s="1"/>
  <c r="E63" i="193"/>
  <c r="D63" i="193" s="1"/>
  <c r="G63" i="193" s="1"/>
  <c r="F64" i="193" s="1"/>
  <c r="H2" i="181"/>
  <c r="C43" i="181" s="1"/>
  <c r="E2" i="181"/>
  <c r="C38" i="181" s="1"/>
  <c r="H2" i="180"/>
  <c r="C41" i="180" s="1"/>
  <c r="E2" i="180"/>
  <c r="C37" i="180" s="1"/>
  <c r="C43" i="180"/>
  <c r="C44" i="180"/>
  <c r="C47" i="180"/>
  <c r="C48" i="180"/>
  <c r="C49" i="180"/>
  <c r="C52" i="180"/>
  <c r="C53" i="180"/>
  <c r="C55" i="180"/>
  <c r="C56" i="180"/>
  <c r="C39" i="180"/>
  <c r="C35" i="180"/>
  <c r="C36" i="180"/>
  <c r="B56" i="181"/>
  <c r="B55" i="181"/>
  <c r="B54" i="181"/>
  <c r="B53" i="181"/>
  <c r="B52" i="181"/>
  <c r="B51" i="181"/>
  <c r="B50" i="181"/>
  <c r="B49" i="181"/>
  <c r="B48" i="181"/>
  <c r="B47" i="181"/>
  <c r="B46" i="181"/>
  <c r="B45" i="181"/>
  <c r="B44" i="181"/>
  <c r="B43" i="181"/>
  <c r="B42" i="181"/>
  <c r="B41" i="181"/>
  <c r="B40" i="181"/>
  <c r="B39" i="181"/>
  <c r="B38" i="181"/>
  <c r="B37" i="181"/>
  <c r="B36" i="181"/>
  <c r="B35" i="181"/>
  <c r="B34" i="181"/>
  <c r="B33" i="181"/>
  <c r="B32" i="181"/>
  <c r="B31" i="181"/>
  <c r="B30" i="181"/>
  <c r="B29" i="181"/>
  <c r="B28" i="181"/>
  <c r="B27" i="181"/>
  <c r="B26" i="181"/>
  <c r="B25" i="181"/>
  <c r="B24" i="181"/>
  <c r="B23" i="181"/>
  <c r="B22" i="181"/>
  <c r="B21" i="181"/>
  <c r="B20" i="181"/>
  <c r="B19" i="181"/>
  <c r="B18" i="181"/>
  <c r="B17" i="181"/>
  <c r="B16" i="181"/>
  <c r="B15" i="181"/>
  <c r="B14" i="181"/>
  <c r="B13" i="181"/>
  <c r="B12" i="181"/>
  <c r="B11" i="181"/>
  <c r="B10" i="181"/>
  <c r="B9" i="181"/>
  <c r="B8" i="181"/>
  <c r="B7" i="181"/>
  <c r="B6" i="181"/>
  <c r="F5" i="181"/>
  <c r="B5" i="181"/>
  <c r="G4" i="181"/>
  <c r="B4" i="181"/>
  <c r="E4" i="181" s="1"/>
  <c r="C2" i="181"/>
  <c r="C27" i="181" s="1"/>
  <c r="B56" i="180"/>
  <c r="B55" i="180"/>
  <c r="B54" i="180"/>
  <c r="B53" i="180"/>
  <c r="B52" i="180"/>
  <c r="B51" i="180"/>
  <c r="B50" i="180"/>
  <c r="B49" i="180"/>
  <c r="B48" i="180"/>
  <c r="B47" i="180"/>
  <c r="B46" i="180"/>
  <c r="B45" i="180"/>
  <c r="B44" i="180"/>
  <c r="B43" i="180"/>
  <c r="B42" i="180"/>
  <c r="B41" i="180"/>
  <c r="B40" i="180"/>
  <c r="B39" i="180"/>
  <c r="B38" i="180"/>
  <c r="B37" i="180"/>
  <c r="B36" i="180"/>
  <c r="B35" i="180"/>
  <c r="B34" i="180"/>
  <c r="B33" i="180"/>
  <c r="B32" i="180"/>
  <c r="B31" i="180"/>
  <c r="B30" i="180"/>
  <c r="B29" i="180"/>
  <c r="B28" i="180"/>
  <c r="B27" i="180"/>
  <c r="B26" i="180"/>
  <c r="B25" i="180"/>
  <c r="B24" i="180"/>
  <c r="B23" i="180"/>
  <c r="B22" i="180"/>
  <c r="B21" i="180"/>
  <c r="B20" i="180"/>
  <c r="B19" i="180"/>
  <c r="B18" i="180"/>
  <c r="B17" i="180"/>
  <c r="B16" i="180"/>
  <c r="B15" i="180"/>
  <c r="C14" i="180"/>
  <c r="B14" i="180"/>
  <c r="B13" i="180"/>
  <c r="B12" i="180"/>
  <c r="B11" i="180"/>
  <c r="B10" i="180"/>
  <c r="B9" i="180"/>
  <c r="B8" i="180"/>
  <c r="B7" i="180"/>
  <c r="B6" i="180"/>
  <c r="B5" i="180"/>
  <c r="G4" i="180"/>
  <c r="F5" i="180" s="1"/>
  <c r="B4" i="180"/>
  <c r="E4" i="180" s="1"/>
  <c r="C2" i="180"/>
  <c r="C25" i="180" s="1"/>
  <c r="H2" i="179"/>
  <c r="C48" i="179" s="1"/>
  <c r="E2" i="179"/>
  <c r="C37" i="179" s="1"/>
  <c r="B47" i="179"/>
  <c r="C47" i="179"/>
  <c r="B48" i="179"/>
  <c r="B49" i="179"/>
  <c r="B50" i="179"/>
  <c r="C50" i="179"/>
  <c r="B51" i="179"/>
  <c r="C51" i="179"/>
  <c r="B52" i="179"/>
  <c r="B53" i="179"/>
  <c r="B54" i="179"/>
  <c r="C54" i="179"/>
  <c r="B55" i="179"/>
  <c r="C55" i="179"/>
  <c r="B56" i="179"/>
  <c r="B43" i="179"/>
  <c r="B44" i="179"/>
  <c r="C44" i="179"/>
  <c r="B45" i="179"/>
  <c r="C45" i="179"/>
  <c r="B46" i="179"/>
  <c r="C35" i="179"/>
  <c r="C36" i="179"/>
  <c r="H2" i="178"/>
  <c r="C45" i="178" s="1"/>
  <c r="B47" i="178"/>
  <c r="B48" i="178"/>
  <c r="B49" i="178"/>
  <c r="B50" i="178"/>
  <c r="B51" i="178"/>
  <c r="B52" i="178"/>
  <c r="B53" i="178"/>
  <c r="B54" i="178"/>
  <c r="B55" i="178"/>
  <c r="B56" i="178"/>
  <c r="E2" i="178"/>
  <c r="C37" i="178" s="1"/>
  <c r="C36" i="178"/>
  <c r="B42" i="179"/>
  <c r="B41" i="179"/>
  <c r="B40" i="179"/>
  <c r="B39" i="179"/>
  <c r="B38" i="179"/>
  <c r="B37" i="179"/>
  <c r="B36" i="179"/>
  <c r="B35" i="179"/>
  <c r="B34" i="179"/>
  <c r="B33" i="179"/>
  <c r="B32" i="179"/>
  <c r="B31" i="179"/>
  <c r="B30" i="179"/>
  <c r="B29" i="179"/>
  <c r="B28" i="179"/>
  <c r="B27" i="179"/>
  <c r="B26" i="179"/>
  <c r="B25" i="179"/>
  <c r="B24" i="179"/>
  <c r="B23" i="179"/>
  <c r="B22" i="179"/>
  <c r="B21" i="179"/>
  <c r="B20" i="179"/>
  <c r="B19" i="179"/>
  <c r="C18" i="179"/>
  <c r="B18" i="179"/>
  <c r="B17" i="179"/>
  <c r="B16" i="179"/>
  <c r="B15" i="179"/>
  <c r="B14" i="179"/>
  <c r="B13" i="179"/>
  <c r="B12" i="179"/>
  <c r="B11" i="179"/>
  <c r="B10" i="179"/>
  <c r="B9" i="179"/>
  <c r="B8" i="179"/>
  <c r="B7" i="179"/>
  <c r="B6" i="179"/>
  <c r="B5" i="179"/>
  <c r="G4" i="179"/>
  <c r="F5" i="179" s="1"/>
  <c r="B4" i="179"/>
  <c r="E4" i="179" s="1"/>
  <c r="C2" i="179"/>
  <c r="C25" i="179" s="1"/>
  <c r="B46" i="178"/>
  <c r="B45" i="178"/>
  <c r="B44" i="178"/>
  <c r="B43" i="178"/>
  <c r="B42" i="178"/>
  <c r="B41" i="178"/>
  <c r="B40" i="178"/>
  <c r="B39" i="178"/>
  <c r="B38" i="178"/>
  <c r="B37" i="178"/>
  <c r="B36" i="178"/>
  <c r="B35" i="178"/>
  <c r="B34" i="178"/>
  <c r="B33" i="178"/>
  <c r="B32" i="178"/>
  <c r="B31" i="178"/>
  <c r="B30" i="178"/>
  <c r="B29" i="178"/>
  <c r="B28" i="178"/>
  <c r="B27" i="178"/>
  <c r="B26" i="178"/>
  <c r="B25" i="178"/>
  <c r="B24" i="178"/>
  <c r="B23" i="178"/>
  <c r="C22" i="178"/>
  <c r="B22" i="178"/>
  <c r="B21" i="178"/>
  <c r="B20" i="178"/>
  <c r="B19" i="178"/>
  <c r="B18" i="178"/>
  <c r="B17" i="178"/>
  <c r="B16" i="178"/>
  <c r="B15" i="178"/>
  <c r="C14" i="178"/>
  <c r="B14" i="178"/>
  <c r="B13" i="178"/>
  <c r="B12" i="178"/>
  <c r="B11" i="178"/>
  <c r="B10" i="178"/>
  <c r="B9" i="178"/>
  <c r="C8" i="178"/>
  <c r="B8" i="178"/>
  <c r="B7" i="178"/>
  <c r="B6" i="178"/>
  <c r="B5" i="178"/>
  <c r="G4" i="178"/>
  <c r="F5" i="178" s="1"/>
  <c r="B4" i="178"/>
  <c r="E4" i="178" s="1"/>
  <c r="C2" i="178"/>
  <c r="C25" i="178" s="1"/>
  <c r="E34" i="198" l="1"/>
  <c r="D34" i="198" s="1"/>
  <c r="G34" i="198" s="1"/>
  <c r="F35" i="198" s="1"/>
  <c r="E39" i="199"/>
  <c r="D39" i="199" s="1"/>
  <c r="G39" i="199" s="1"/>
  <c r="F40" i="199" s="1"/>
  <c r="E67" i="210"/>
  <c r="D67" i="210" s="1"/>
  <c r="G67" i="210" s="1"/>
  <c r="F68" i="210" s="1"/>
  <c r="E34" i="204"/>
  <c r="D34" i="204" s="1"/>
  <c r="G34" i="204" s="1"/>
  <c r="F35" i="204" s="1"/>
  <c r="E77" i="206"/>
  <c r="D77" i="206" s="1"/>
  <c r="G77" i="206" s="1"/>
  <c r="F78" i="206" s="1"/>
  <c r="E37" i="208"/>
  <c r="D37" i="208" s="1"/>
  <c r="G37" i="208" s="1"/>
  <c r="F38" i="208" s="1"/>
  <c r="E77" i="202"/>
  <c r="D77" i="202" s="1"/>
  <c r="G77" i="202"/>
  <c r="F78" i="202" s="1"/>
  <c r="E28" i="211"/>
  <c r="D28" i="211" s="1"/>
  <c r="G28" i="211" s="1"/>
  <c r="F29" i="211" s="1"/>
  <c r="E27" i="210"/>
  <c r="D27" i="210" s="1"/>
  <c r="G27" i="210" s="1"/>
  <c r="F28" i="210" s="1"/>
  <c r="E38" i="207"/>
  <c r="D38" i="207" s="1"/>
  <c r="G38" i="207"/>
  <c r="F39" i="207" s="1"/>
  <c r="E37" i="206"/>
  <c r="D37" i="206" s="1"/>
  <c r="G37" i="206"/>
  <c r="F38" i="206" s="1"/>
  <c r="E81" i="199"/>
  <c r="D81" i="199" s="1"/>
  <c r="G81" i="199" s="1"/>
  <c r="F82" i="199" s="1"/>
  <c r="E78" i="207"/>
  <c r="D78" i="207" s="1"/>
  <c r="G78" i="207"/>
  <c r="F79" i="207" s="1"/>
  <c r="E77" i="208"/>
  <c r="D77" i="208" s="1"/>
  <c r="G77" i="208"/>
  <c r="F78" i="208" s="1"/>
  <c r="E76" i="198"/>
  <c r="D76" i="198" s="1"/>
  <c r="G76" i="198" s="1"/>
  <c r="F77" i="198" s="1"/>
  <c r="E76" i="204"/>
  <c r="D76" i="204" s="1"/>
  <c r="G76" i="204" s="1"/>
  <c r="F77" i="204" s="1"/>
  <c r="E78" i="209"/>
  <c r="D78" i="209" s="1"/>
  <c r="G78" i="209"/>
  <c r="F79" i="209" s="1"/>
  <c r="E39" i="200"/>
  <c r="D39" i="200" s="1"/>
  <c r="G39" i="200" s="1"/>
  <c r="F40" i="200" s="1"/>
  <c r="E35" i="202"/>
  <c r="D35" i="202" s="1"/>
  <c r="G35" i="202" s="1"/>
  <c r="F36" i="202" s="1"/>
  <c r="E68" i="211"/>
  <c r="D68" i="211" s="1"/>
  <c r="G68" i="211"/>
  <c r="F69" i="211" s="1"/>
  <c r="E81" i="200"/>
  <c r="D81" i="200" s="1"/>
  <c r="G81" i="200"/>
  <c r="F82" i="200" s="1"/>
  <c r="E38" i="209"/>
  <c r="D38" i="209" s="1"/>
  <c r="G38" i="209" s="1"/>
  <c r="F39" i="209" s="1"/>
  <c r="E64" i="193"/>
  <c r="D64" i="193" s="1"/>
  <c r="G64" i="193" s="1"/>
  <c r="F65" i="193" s="1"/>
  <c r="G62" i="195"/>
  <c r="F63" i="195" s="1"/>
  <c r="E62" i="195"/>
  <c r="D62" i="195" s="1"/>
  <c r="E36" i="195"/>
  <c r="D36" i="195" s="1"/>
  <c r="G36" i="195" s="1"/>
  <c r="F37" i="195" s="1"/>
  <c r="E36" i="196"/>
  <c r="D36" i="196" s="1"/>
  <c r="G36" i="196" s="1"/>
  <c r="F37" i="196" s="1"/>
  <c r="G36" i="192"/>
  <c r="F37" i="192" s="1"/>
  <c r="E36" i="192"/>
  <c r="D36" i="192" s="1"/>
  <c r="G63" i="196"/>
  <c r="F64" i="196" s="1"/>
  <c r="E63" i="196"/>
  <c r="D63" i="196" s="1"/>
  <c r="G63" i="192"/>
  <c r="F64" i="192" s="1"/>
  <c r="E63" i="192"/>
  <c r="D63" i="192" s="1"/>
  <c r="E37" i="193"/>
  <c r="D37" i="193" s="1"/>
  <c r="G37" i="193" s="1"/>
  <c r="F38" i="193" s="1"/>
  <c r="C39" i="181"/>
  <c r="C56" i="181"/>
  <c r="C34" i="181"/>
  <c r="C33" i="181"/>
  <c r="C37" i="181"/>
  <c r="C36" i="181"/>
  <c r="C35" i="181"/>
  <c r="C29" i="181"/>
  <c r="C32" i="181"/>
  <c r="C31" i="181"/>
  <c r="C30" i="181"/>
  <c r="C50" i="181"/>
  <c r="C12" i="181"/>
  <c r="C28" i="181"/>
  <c r="D28" i="181" s="1"/>
  <c r="C49" i="181"/>
  <c r="C48" i="181"/>
  <c r="C42" i="181"/>
  <c r="C24" i="181"/>
  <c r="C41" i="181"/>
  <c r="C40" i="181"/>
  <c r="C54" i="181"/>
  <c r="C46" i="181"/>
  <c r="C55" i="181"/>
  <c r="C47" i="181"/>
  <c r="C53" i="181"/>
  <c r="C45" i="181"/>
  <c r="C52" i="181"/>
  <c r="C44" i="181"/>
  <c r="C51" i="181"/>
  <c r="C8" i="181"/>
  <c r="C18" i="181"/>
  <c r="C14" i="181"/>
  <c r="C10" i="181"/>
  <c r="C20" i="181"/>
  <c r="C6" i="181"/>
  <c r="C26" i="181"/>
  <c r="C11" i="181"/>
  <c r="C16" i="181"/>
  <c r="C7" i="181"/>
  <c r="C22" i="181"/>
  <c r="C38" i="180"/>
  <c r="C54" i="180"/>
  <c r="C46" i="180"/>
  <c r="C34" i="180"/>
  <c r="C51" i="180"/>
  <c r="C42" i="180"/>
  <c r="C30" i="180"/>
  <c r="C50" i="180"/>
  <c r="C40" i="180"/>
  <c r="C24" i="180"/>
  <c r="C45" i="180"/>
  <c r="C33" i="180"/>
  <c r="C32" i="180"/>
  <c r="C29" i="180"/>
  <c r="C31" i="180"/>
  <c r="C10" i="180"/>
  <c r="C6" i="180"/>
  <c r="C20" i="180"/>
  <c r="C16" i="180"/>
  <c r="C26" i="180"/>
  <c r="C12" i="180"/>
  <c r="C28" i="180"/>
  <c r="D28" i="180" s="1"/>
  <c r="C8" i="180"/>
  <c r="C17" i="180"/>
  <c r="C22" i="180"/>
  <c r="C13" i="180"/>
  <c r="C5" i="180"/>
  <c r="C9" i="180"/>
  <c r="C18" i="180"/>
  <c r="E5" i="180"/>
  <c r="D5" i="180" s="1"/>
  <c r="G5" i="180" s="1"/>
  <c r="F6" i="180" s="1"/>
  <c r="C7" i="180"/>
  <c r="C11" i="180"/>
  <c r="C15" i="180"/>
  <c r="C19" i="180"/>
  <c r="C23" i="180"/>
  <c r="C27" i="180"/>
  <c r="C5" i="181"/>
  <c r="C9" i="181"/>
  <c r="C13" i="181"/>
  <c r="C17" i="181"/>
  <c r="C21" i="181"/>
  <c r="C25" i="181"/>
  <c r="E5" i="181"/>
  <c r="C21" i="180"/>
  <c r="C15" i="181"/>
  <c r="C19" i="181"/>
  <c r="C23" i="181"/>
  <c r="C22" i="179"/>
  <c r="C10" i="179"/>
  <c r="C43" i="179"/>
  <c r="C53" i="179"/>
  <c r="C49" i="179"/>
  <c r="C42" i="179"/>
  <c r="C46" i="179"/>
  <c r="C56" i="179"/>
  <c r="C52" i="179"/>
  <c r="C41" i="179"/>
  <c r="C33" i="179"/>
  <c r="C31" i="179"/>
  <c r="C34" i="179"/>
  <c r="C40" i="179"/>
  <c r="C32" i="179"/>
  <c r="C39" i="179"/>
  <c r="C38" i="179"/>
  <c r="C30" i="179"/>
  <c r="C6" i="179"/>
  <c r="C26" i="179"/>
  <c r="C14" i="179"/>
  <c r="C44" i="178"/>
  <c r="C43" i="178"/>
  <c r="C50" i="178"/>
  <c r="C42" i="178"/>
  <c r="C49" i="178"/>
  <c r="C56" i="178"/>
  <c r="C48" i="178"/>
  <c r="C52" i="178"/>
  <c r="C51" i="178"/>
  <c r="C47" i="178"/>
  <c r="C54" i="178"/>
  <c r="C46" i="178"/>
  <c r="C55" i="178"/>
  <c r="C53" i="178"/>
  <c r="C41" i="178"/>
  <c r="C35" i="178"/>
  <c r="C40" i="178"/>
  <c r="C39" i="178"/>
  <c r="C38" i="178"/>
  <c r="C34" i="178"/>
  <c r="C10" i="178"/>
  <c r="C30" i="178"/>
  <c r="C6" i="178"/>
  <c r="C18" i="178"/>
  <c r="C31" i="178"/>
  <c r="C26" i="178"/>
  <c r="E5" i="178"/>
  <c r="E5" i="179"/>
  <c r="C32" i="178"/>
  <c r="C12" i="178"/>
  <c r="C16" i="178"/>
  <c r="C20" i="178"/>
  <c r="C24" i="178"/>
  <c r="C28" i="178"/>
  <c r="D28" i="178" s="1"/>
  <c r="C8" i="179"/>
  <c r="C12" i="179"/>
  <c r="C16" i="179"/>
  <c r="C20" i="179"/>
  <c r="C24" i="179"/>
  <c r="C28" i="179"/>
  <c r="D28" i="179" s="1"/>
  <c r="C7" i="178"/>
  <c r="C11" i="178"/>
  <c r="C15" i="178"/>
  <c r="C19" i="178"/>
  <c r="C23" i="178"/>
  <c r="C27" i="178"/>
  <c r="C7" i="179"/>
  <c r="C11" i="179"/>
  <c r="C15" i="179"/>
  <c r="C19" i="179"/>
  <c r="C23" i="179"/>
  <c r="C27" i="179"/>
  <c r="C29" i="178"/>
  <c r="C33" i="178"/>
  <c r="C29" i="179"/>
  <c r="C5" i="178"/>
  <c r="D5" i="178" s="1"/>
  <c r="G5" i="178" s="1"/>
  <c r="F6" i="178" s="1"/>
  <c r="C9" i="178"/>
  <c r="C13" i="178"/>
  <c r="C17" i="178"/>
  <c r="C21" i="178"/>
  <c r="C5" i="179"/>
  <c r="C9" i="179"/>
  <c r="C13" i="179"/>
  <c r="C17" i="179"/>
  <c r="C21" i="179"/>
  <c r="E40" i="200" l="1"/>
  <c r="D40" i="200" s="1"/>
  <c r="G40" i="200" s="1"/>
  <c r="F41" i="200" s="1"/>
  <c r="E38" i="208"/>
  <c r="D38" i="208" s="1"/>
  <c r="G38" i="208"/>
  <c r="F39" i="208" s="1"/>
  <c r="E77" i="204"/>
  <c r="D77" i="204" s="1"/>
  <c r="G77" i="204"/>
  <c r="F78" i="204" s="1"/>
  <c r="E77" i="198"/>
  <c r="D77" i="198" s="1"/>
  <c r="G77" i="198" s="1"/>
  <c r="F78" i="198" s="1"/>
  <c r="E35" i="204"/>
  <c r="D35" i="204" s="1"/>
  <c r="G35" i="204" s="1"/>
  <c r="F36" i="204" s="1"/>
  <c r="E68" i="210"/>
  <c r="D68" i="210" s="1"/>
  <c r="G68" i="210"/>
  <c r="F69" i="210" s="1"/>
  <c r="E82" i="199"/>
  <c r="D82" i="199" s="1"/>
  <c r="G82" i="199"/>
  <c r="F83" i="199" s="1"/>
  <c r="E39" i="209"/>
  <c r="D39" i="209" s="1"/>
  <c r="G39" i="209"/>
  <c r="F40" i="209" s="1"/>
  <c r="E78" i="206"/>
  <c r="D78" i="206" s="1"/>
  <c r="G78" i="206"/>
  <c r="F79" i="206" s="1"/>
  <c r="E28" i="210"/>
  <c r="D28" i="210" s="1"/>
  <c r="G28" i="210"/>
  <c r="F29" i="210" s="1"/>
  <c r="E40" i="199"/>
  <c r="D40" i="199" s="1"/>
  <c r="G40" i="199"/>
  <c r="F41" i="199" s="1"/>
  <c r="E36" i="202"/>
  <c r="D36" i="202" s="1"/>
  <c r="G36" i="202"/>
  <c r="F37" i="202" s="1"/>
  <c r="E29" i="211"/>
  <c r="D29" i="211" s="1"/>
  <c r="G29" i="211" s="1"/>
  <c r="F30" i="211" s="1"/>
  <c r="E35" i="198"/>
  <c r="D35" i="198" s="1"/>
  <c r="G35" i="198"/>
  <c r="F36" i="198" s="1"/>
  <c r="E39" i="207"/>
  <c r="D39" i="207" s="1"/>
  <c r="G39" i="207" s="1"/>
  <c r="F40" i="207" s="1"/>
  <c r="E79" i="209"/>
  <c r="D79" i="209" s="1"/>
  <c r="G79" i="209" s="1"/>
  <c r="F80" i="209" s="1"/>
  <c r="E79" i="207"/>
  <c r="D79" i="207" s="1"/>
  <c r="G79" i="207" s="1"/>
  <c r="F80" i="207" s="1"/>
  <c r="E69" i="211"/>
  <c r="D69" i="211" s="1"/>
  <c r="G69" i="211" s="1"/>
  <c r="F70" i="211" s="1"/>
  <c r="E38" i="206"/>
  <c r="D38" i="206" s="1"/>
  <c r="G38" i="206" s="1"/>
  <c r="F39" i="206" s="1"/>
  <c r="E78" i="202"/>
  <c r="D78" i="202" s="1"/>
  <c r="G78" i="202" s="1"/>
  <c r="F79" i="202" s="1"/>
  <c r="E78" i="208"/>
  <c r="D78" i="208" s="1"/>
  <c r="G78" i="208" s="1"/>
  <c r="F79" i="208" s="1"/>
  <c r="E82" i="200"/>
  <c r="D82" i="200" s="1"/>
  <c r="G82" i="200" s="1"/>
  <c r="F83" i="200" s="1"/>
  <c r="E37" i="196"/>
  <c r="D37" i="196" s="1"/>
  <c r="G37" i="196" s="1"/>
  <c r="F38" i="196" s="1"/>
  <c r="E38" i="193"/>
  <c r="D38" i="193" s="1"/>
  <c r="G38" i="193" s="1"/>
  <c r="F39" i="193" s="1"/>
  <c r="G39" i="193" s="1"/>
  <c r="G37" i="195"/>
  <c r="F38" i="195" s="1"/>
  <c r="E37" i="195"/>
  <c r="D37" i="195" s="1"/>
  <c r="E65" i="193"/>
  <c r="D65" i="193" s="1"/>
  <c r="G65" i="193" s="1"/>
  <c r="F66" i="193" s="1"/>
  <c r="E37" i="192"/>
  <c r="D37" i="192" s="1"/>
  <c r="G37" i="192" s="1"/>
  <c r="F38" i="192" s="1"/>
  <c r="E64" i="192"/>
  <c r="D64" i="192" s="1"/>
  <c r="G64" i="192" s="1"/>
  <c r="F65" i="192" s="1"/>
  <c r="E64" i="196"/>
  <c r="D64" i="196" s="1"/>
  <c r="G64" i="196" s="1"/>
  <c r="F65" i="196" s="1"/>
  <c r="E63" i="195"/>
  <c r="D63" i="195" s="1"/>
  <c r="G63" i="195" s="1"/>
  <c r="F64" i="195" s="1"/>
  <c r="E6" i="180"/>
  <c r="D6" i="180" s="1"/>
  <c r="G6" i="180" s="1"/>
  <c r="D5" i="181"/>
  <c r="G5" i="181" s="1"/>
  <c r="F6" i="181" s="1"/>
  <c r="D5" i="179"/>
  <c r="G5" i="179" s="1"/>
  <c r="F6" i="179" s="1"/>
  <c r="E6" i="179" s="1"/>
  <c r="D6" i="179" s="1"/>
  <c r="G6" i="179" s="1"/>
  <c r="E6" i="178"/>
  <c r="D6" i="178" s="1"/>
  <c r="G6" i="178" s="1"/>
  <c r="E79" i="208" l="1"/>
  <c r="D79" i="208" s="1"/>
  <c r="G79" i="208" s="1"/>
  <c r="F80" i="208" s="1"/>
  <c r="E78" i="198"/>
  <c r="D78" i="198" s="1"/>
  <c r="G78" i="198"/>
  <c r="F79" i="198" s="1"/>
  <c r="E80" i="207"/>
  <c r="D80" i="207" s="1"/>
  <c r="G80" i="207" s="1"/>
  <c r="F81" i="207" s="1"/>
  <c r="E83" i="200"/>
  <c r="D83" i="200" s="1"/>
  <c r="G83" i="200" s="1"/>
  <c r="F84" i="200" s="1"/>
  <c r="E79" i="202"/>
  <c r="D79" i="202" s="1"/>
  <c r="G79" i="202" s="1"/>
  <c r="F80" i="202" s="1"/>
  <c r="G39" i="206"/>
  <c r="F40" i="206" s="1"/>
  <c r="E39" i="206"/>
  <c r="D39" i="206" s="1"/>
  <c r="E80" i="209"/>
  <c r="D80" i="209" s="1"/>
  <c r="G80" i="209" s="1"/>
  <c r="F81" i="209" s="1"/>
  <c r="E36" i="204"/>
  <c r="D36" i="204" s="1"/>
  <c r="G36" i="204"/>
  <c r="F37" i="204" s="1"/>
  <c r="E30" i="211"/>
  <c r="D30" i="211" s="1"/>
  <c r="G30" i="211" s="1"/>
  <c r="F31" i="211" s="1"/>
  <c r="E70" i="211"/>
  <c r="D70" i="211" s="1"/>
  <c r="G70" i="211" s="1"/>
  <c r="F71" i="211" s="1"/>
  <c r="E40" i="207"/>
  <c r="D40" i="207" s="1"/>
  <c r="G40" i="207"/>
  <c r="F41" i="207" s="1"/>
  <c r="E41" i="200"/>
  <c r="D41" i="200" s="1"/>
  <c r="G41" i="200"/>
  <c r="F42" i="200" s="1"/>
  <c r="E37" i="202"/>
  <c r="D37" i="202" s="1"/>
  <c r="G37" i="202" s="1"/>
  <c r="F38" i="202" s="1"/>
  <c r="E83" i="199"/>
  <c r="D83" i="199" s="1"/>
  <c r="G83" i="199" s="1"/>
  <c r="F84" i="199" s="1"/>
  <c r="E36" i="198"/>
  <c r="D36" i="198" s="1"/>
  <c r="G36" i="198" s="1"/>
  <c r="F37" i="198" s="1"/>
  <c r="E39" i="208"/>
  <c r="D39" i="208" s="1"/>
  <c r="G39" i="208" s="1"/>
  <c r="F40" i="208" s="1"/>
  <c r="E41" i="199"/>
  <c r="D41" i="199" s="1"/>
  <c r="G41" i="199" s="1"/>
  <c r="F42" i="199" s="1"/>
  <c r="E69" i="210"/>
  <c r="D69" i="210" s="1"/>
  <c r="G69" i="210" s="1"/>
  <c r="F70" i="210" s="1"/>
  <c r="E40" i="209"/>
  <c r="D40" i="209" s="1"/>
  <c r="G40" i="209" s="1"/>
  <c r="F41" i="209" s="1"/>
  <c r="E78" i="204"/>
  <c r="D78" i="204" s="1"/>
  <c r="G78" i="204" s="1"/>
  <c r="F79" i="204" s="1"/>
  <c r="G29" i="210"/>
  <c r="F30" i="210" s="1"/>
  <c r="E29" i="210"/>
  <c r="D29" i="210" s="1"/>
  <c r="E79" i="206"/>
  <c r="D79" i="206" s="1"/>
  <c r="G79" i="206"/>
  <c r="F80" i="206" s="1"/>
  <c r="E65" i="192"/>
  <c r="D65" i="192" s="1"/>
  <c r="G65" i="192" s="1"/>
  <c r="F66" i="192" s="1"/>
  <c r="E65" i="196"/>
  <c r="D65" i="196" s="1"/>
  <c r="G65" i="196" s="1"/>
  <c r="F66" i="196" s="1"/>
  <c r="E66" i="193"/>
  <c r="D66" i="193" s="1"/>
  <c r="G66" i="193" s="1"/>
  <c r="F67" i="193" s="1"/>
  <c r="E38" i="192"/>
  <c r="D38" i="192" s="1"/>
  <c r="G38" i="192" s="1"/>
  <c r="F39" i="192" s="1"/>
  <c r="G39" i="192" s="1"/>
  <c r="E64" i="195"/>
  <c r="D64" i="195" s="1"/>
  <c r="G64" i="195" s="1"/>
  <c r="F65" i="195" s="1"/>
  <c r="E38" i="196"/>
  <c r="D38" i="196" s="1"/>
  <c r="G38" i="196" s="1"/>
  <c r="F39" i="196" s="1"/>
  <c r="G39" i="196" s="1"/>
  <c r="E38" i="195"/>
  <c r="D38" i="195" s="1"/>
  <c r="G38" i="195" s="1"/>
  <c r="F39" i="195" s="1"/>
  <c r="G39" i="195" s="1"/>
  <c r="F7" i="180"/>
  <c r="F29" i="180"/>
  <c r="E6" i="181"/>
  <c r="D6" i="181" s="1"/>
  <c r="G6" i="181" s="1"/>
  <c r="F7" i="178"/>
  <c r="F29" i="178"/>
  <c r="F7" i="179"/>
  <c r="F29" i="179"/>
  <c r="E71" i="211" l="1"/>
  <c r="D71" i="211" s="1"/>
  <c r="G71" i="211" s="1"/>
  <c r="F72" i="211" s="1"/>
  <c r="E84" i="200"/>
  <c r="D84" i="200" s="1"/>
  <c r="G84" i="200" s="1"/>
  <c r="F85" i="200" s="1"/>
  <c r="E70" i="210"/>
  <c r="D70" i="210" s="1"/>
  <c r="G70" i="210" s="1"/>
  <c r="F71" i="210" s="1"/>
  <c r="E31" i="211"/>
  <c r="D31" i="211" s="1"/>
  <c r="G31" i="211"/>
  <c r="F32" i="211" s="1"/>
  <c r="E41" i="209"/>
  <c r="D41" i="209" s="1"/>
  <c r="G41" i="209" s="1"/>
  <c r="F42" i="209" s="1"/>
  <c r="E80" i="202"/>
  <c r="D80" i="202" s="1"/>
  <c r="G80" i="202" s="1"/>
  <c r="F81" i="202" s="1"/>
  <c r="E37" i="198"/>
  <c r="D37" i="198" s="1"/>
  <c r="G37" i="198" s="1"/>
  <c r="F38" i="198" s="1"/>
  <c r="E84" i="199"/>
  <c r="D84" i="199" s="1"/>
  <c r="G84" i="199" s="1"/>
  <c r="F85" i="199" s="1"/>
  <c r="E38" i="202"/>
  <c r="D38" i="202" s="1"/>
  <c r="G38" i="202" s="1"/>
  <c r="F39" i="202" s="1"/>
  <c r="E42" i="199"/>
  <c r="D42" i="199" s="1"/>
  <c r="G42" i="199" s="1"/>
  <c r="F43" i="199" s="1"/>
  <c r="E40" i="208"/>
  <c r="D40" i="208" s="1"/>
  <c r="G40" i="208" s="1"/>
  <c r="F41" i="208" s="1"/>
  <c r="E81" i="207"/>
  <c r="D81" i="207" s="1"/>
  <c r="G81" i="207"/>
  <c r="F82" i="207" s="1"/>
  <c r="E79" i="204"/>
  <c r="D79" i="204" s="1"/>
  <c r="G79" i="204" s="1"/>
  <c r="F80" i="204" s="1"/>
  <c r="E81" i="209"/>
  <c r="D81" i="209" s="1"/>
  <c r="G81" i="209"/>
  <c r="F82" i="209" s="1"/>
  <c r="E80" i="208"/>
  <c r="D80" i="208" s="1"/>
  <c r="G80" i="208" s="1"/>
  <c r="F81" i="208" s="1"/>
  <c r="E40" i="206"/>
  <c r="D40" i="206" s="1"/>
  <c r="G40" i="206" s="1"/>
  <c r="F41" i="206" s="1"/>
  <c r="E42" i="200"/>
  <c r="D42" i="200" s="1"/>
  <c r="G42" i="200" s="1"/>
  <c r="F43" i="200" s="1"/>
  <c r="E37" i="204"/>
  <c r="D37" i="204" s="1"/>
  <c r="G37" i="204" s="1"/>
  <c r="F38" i="204" s="1"/>
  <c r="E41" i="207"/>
  <c r="D41" i="207" s="1"/>
  <c r="G41" i="207" s="1"/>
  <c r="F42" i="207" s="1"/>
  <c r="E80" i="206"/>
  <c r="D80" i="206" s="1"/>
  <c r="G80" i="206" s="1"/>
  <c r="F81" i="206" s="1"/>
  <c r="E79" i="198"/>
  <c r="D79" i="198" s="1"/>
  <c r="G79" i="198"/>
  <c r="F80" i="198" s="1"/>
  <c r="E30" i="210"/>
  <c r="D30" i="210" s="1"/>
  <c r="G30" i="210" s="1"/>
  <c r="F31" i="210" s="1"/>
  <c r="E65" i="195"/>
  <c r="D65" i="195" s="1"/>
  <c r="G65" i="195" s="1"/>
  <c r="F66" i="195" s="1"/>
  <c r="E66" i="192"/>
  <c r="D66" i="192" s="1"/>
  <c r="G66" i="192" s="1"/>
  <c r="F67" i="192" s="1"/>
  <c r="E67" i="193"/>
  <c r="D67" i="193" s="1"/>
  <c r="G67" i="193" s="1"/>
  <c r="F68" i="193" s="1"/>
  <c r="E66" i="196"/>
  <c r="D66" i="196" s="1"/>
  <c r="G66" i="196" s="1"/>
  <c r="F67" i="196" s="1"/>
  <c r="E7" i="180"/>
  <c r="D7" i="180" s="1"/>
  <c r="G7" i="180" s="1"/>
  <c r="F8" i="180" s="1"/>
  <c r="E29" i="180"/>
  <c r="D29" i="180" s="1"/>
  <c r="G29" i="180" s="1"/>
  <c r="F30" i="180" s="1"/>
  <c r="F29" i="181"/>
  <c r="F7" i="181"/>
  <c r="E7" i="178"/>
  <c r="D7" i="178" s="1"/>
  <c r="G7" i="178" s="1"/>
  <c r="F8" i="178" s="1"/>
  <c r="E29" i="178"/>
  <c r="D29" i="178" s="1"/>
  <c r="G29" i="178" s="1"/>
  <c r="F30" i="178" s="1"/>
  <c r="E7" i="179"/>
  <c r="D7" i="179" s="1"/>
  <c r="G7" i="179" s="1"/>
  <c r="F8" i="179" s="1"/>
  <c r="E29" i="179"/>
  <c r="D29" i="179" s="1"/>
  <c r="G29" i="179" s="1"/>
  <c r="F30" i="179" s="1"/>
  <c r="E81" i="202" l="1"/>
  <c r="D81" i="202" s="1"/>
  <c r="G81" i="202" s="1"/>
  <c r="F82" i="202" s="1"/>
  <c r="E42" i="207"/>
  <c r="D42" i="207" s="1"/>
  <c r="G42" i="207" s="1"/>
  <c r="F43" i="207" s="1"/>
  <c r="E42" i="209"/>
  <c r="D42" i="209" s="1"/>
  <c r="G42" i="209" s="1"/>
  <c r="F43" i="209" s="1"/>
  <c r="E41" i="208"/>
  <c r="D41" i="208" s="1"/>
  <c r="G41" i="208"/>
  <c r="F42" i="208" s="1"/>
  <c r="G80" i="204"/>
  <c r="F81" i="204" s="1"/>
  <c r="E80" i="204"/>
  <c r="D80" i="204" s="1"/>
  <c r="E43" i="199"/>
  <c r="D43" i="199" s="1"/>
  <c r="G43" i="199" s="1"/>
  <c r="F44" i="199" s="1"/>
  <c r="E71" i="210"/>
  <c r="D71" i="210" s="1"/>
  <c r="G71" i="210"/>
  <c r="F72" i="210" s="1"/>
  <c r="E81" i="206"/>
  <c r="D81" i="206" s="1"/>
  <c r="G81" i="206" s="1"/>
  <c r="F82" i="206" s="1"/>
  <c r="E43" i="200"/>
  <c r="D43" i="200" s="1"/>
  <c r="G43" i="200" s="1"/>
  <c r="F44" i="200" s="1"/>
  <c r="G31" i="210"/>
  <c r="F32" i="210" s="1"/>
  <c r="E31" i="210"/>
  <c r="D31" i="210" s="1"/>
  <c r="E39" i="202"/>
  <c r="D39" i="202" s="1"/>
  <c r="G39" i="202" s="1"/>
  <c r="F40" i="202" s="1"/>
  <c r="E85" i="200"/>
  <c r="D85" i="200" s="1"/>
  <c r="G85" i="200" s="1"/>
  <c r="F86" i="200" s="1"/>
  <c r="E38" i="198"/>
  <c r="D38" i="198" s="1"/>
  <c r="G38" i="198" s="1"/>
  <c r="F39" i="198" s="1"/>
  <c r="E38" i="204"/>
  <c r="D38" i="204" s="1"/>
  <c r="G38" i="204" s="1"/>
  <c r="F39" i="204" s="1"/>
  <c r="E41" i="206"/>
  <c r="D41" i="206" s="1"/>
  <c r="G41" i="206"/>
  <c r="F42" i="206" s="1"/>
  <c r="E81" i="208"/>
  <c r="D81" i="208" s="1"/>
  <c r="G81" i="208"/>
  <c r="F82" i="208" s="1"/>
  <c r="E85" i="199"/>
  <c r="D85" i="199" s="1"/>
  <c r="G85" i="199" s="1"/>
  <c r="F86" i="199" s="1"/>
  <c r="E72" i="211"/>
  <c r="D72" i="211" s="1"/>
  <c r="G72" i="211"/>
  <c r="F73" i="211" s="1"/>
  <c r="E32" i="211"/>
  <c r="D32" i="211" s="1"/>
  <c r="G32" i="211" s="1"/>
  <c r="F33" i="211" s="1"/>
  <c r="E80" i="198"/>
  <c r="D80" i="198" s="1"/>
  <c r="G80" i="198" s="1"/>
  <c r="F81" i="198" s="1"/>
  <c r="E82" i="207"/>
  <c r="D82" i="207" s="1"/>
  <c r="G82" i="207"/>
  <c r="F83" i="207" s="1"/>
  <c r="E82" i="209"/>
  <c r="D82" i="209" s="1"/>
  <c r="G82" i="209"/>
  <c r="F83" i="209" s="1"/>
  <c r="G66" i="195"/>
  <c r="F67" i="195" s="1"/>
  <c r="G67" i="195" s="1"/>
  <c r="E66" i="195"/>
  <c r="D66" i="195" s="1"/>
  <c r="G67" i="196"/>
  <c r="E67" i="196"/>
  <c r="D67" i="196" s="1"/>
  <c r="E68" i="193"/>
  <c r="D68" i="193" s="1"/>
  <c r="G68" i="193" s="1"/>
  <c r="F69" i="193" s="1"/>
  <c r="E67" i="192"/>
  <c r="D67" i="192" s="1"/>
  <c r="G67" i="192" s="1"/>
  <c r="F68" i="192" s="1"/>
  <c r="E30" i="180"/>
  <c r="D30" i="180" s="1"/>
  <c r="G30" i="180" s="1"/>
  <c r="F31" i="180" s="1"/>
  <c r="E8" i="180"/>
  <c r="D8" i="180" s="1"/>
  <c r="G8" i="180" s="1"/>
  <c r="F9" i="180" s="1"/>
  <c r="E29" i="181"/>
  <c r="D29" i="181" s="1"/>
  <c r="G29" i="181" s="1"/>
  <c r="F30" i="181" s="1"/>
  <c r="E7" i="181"/>
  <c r="D7" i="181" s="1"/>
  <c r="G7" i="181" s="1"/>
  <c r="F8" i="181" s="1"/>
  <c r="E8" i="179"/>
  <c r="D8" i="179" s="1"/>
  <c r="G8" i="179" s="1"/>
  <c r="F9" i="179" s="1"/>
  <c r="E30" i="179"/>
  <c r="D30" i="179" s="1"/>
  <c r="G30" i="179" s="1"/>
  <c r="F31" i="179" s="1"/>
  <c r="E31" i="179" s="1"/>
  <c r="E30" i="178"/>
  <c r="D30" i="178" s="1"/>
  <c r="G30" i="178" s="1"/>
  <c r="F31" i="178" s="1"/>
  <c r="E31" i="178" s="1"/>
  <c r="E8" i="178"/>
  <c r="D8" i="178" s="1"/>
  <c r="G8" i="178" s="1"/>
  <c r="F9" i="178" s="1"/>
  <c r="E86" i="200" l="1"/>
  <c r="D86" i="200" s="1"/>
  <c r="G86" i="200" s="1"/>
  <c r="F87" i="200" s="1"/>
  <c r="E40" i="202"/>
  <c r="D40" i="202" s="1"/>
  <c r="G40" i="202" s="1"/>
  <c r="F41" i="202" s="1"/>
  <c r="E44" i="200"/>
  <c r="D44" i="200" s="1"/>
  <c r="G44" i="200" s="1"/>
  <c r="F45" i="200" s="1"/>
  <c r="G45" i="200" s="1"/>
  <c r="E86" i="199"/>
  <c r="D86" i="199" s="1"/>
  <c r="G86" i="199"/>
  <c r="F87" i="199" s="1"/>
  <c r="G87" i="199" s="1"/>
  <c r="E82" i="206"/>
  <c r="D82" i="206" s="1"/>
  <c r="G82" i="206"/>
  <c r="F83" i="206" s="1"/>
  <c r="E39" i="204"/>
  <c r="D39" i="204" s="1"/>
  <c r="G39" i="204" s="1"/>
  <c r="F40" i="204" s="1"/>
  <c r="E43" i="207"/>
  <c r="D43" i="207" s="1"/>
  <c r="G43" i="207" s="1"/>
  <c r="F44" i="207" s="1"/>
  <c r="E44" i="199"/>
  <c r="D44" i="199" s="1"/>
  <c r="G44" i="199" s="1"/>
  <c r="F45" i="199" s="1"/>
  <c r="G45" i="199" s="1"/>
  <c r="E81" i="198"/>
  <c r="D81" i="198" s="1"/>
  <c r="G81" i="198" s="1"/>
  <c r="F82" i="198" s="1"/>
  <c r="E43" i="209"/>
  <c r="D43" i="209" s="1"/>
  <c r="G43" i="209" s="1"/>
  <c r="F44" i="209" s="1"/>
  <c r="E33" i="211"/>
  <c r="D33" i="211" s="1"/>
  <c r="G33" i="211" s="1"/>
  <c r="F34" i="211" s="1"/>
  <c r="E39" i="198"/>
  <c r="D39" i="198" s="1"/>
  <c r="G39" i="198"/>
  <c r="F40" i="198" s="1"/>
  <c r="E82" i="202"/>
  <c r="D82" i="202" s="1"/>
  <c r="G82" i="202" s="1"/>
  <c r="F83" i="202" s="1"/>
  <c r="E72" i="210"/>
  <c r="D72" i="210" s="1"/>
  <c r="G72" i="210" s="1"/>
  <c r="F73" i="210" s="1"/>
  <c r="E73" i="211"/>
  <c r="D73" i="211" s="1"/>
  <c r="G73" i="211" s="1"/>
  <c r="F74" i="211" s="1"/>
  <c r="E82" i="208"/>
  <c r="D82" i="208" s="1"/>
  <c r="G82" i="208" s="1"/>
  <c r="F83" i="208" s="1"/>
  <c r="E83" i="209"/>
  <c r="D83" i="209" s="1"/>
  <c r="G83" i="209" s="1"/>
  <c r="F84" i="209" s="1"/>
  <c r="E32" i="210"/>
  <c r="D32" i="210" s="1"/>
  <c r="G32" i="210"/>
  <c r="F33" i="210" s="1"/>
  <c r="E42" i="206"/>
  <c r="D42" i="206" s="1"/>
  <c r="G42" i="206" s="1"/>
  <c r="F43" i="206" s="1"/>
  <c r="E42" i="208"/>
  <c r="D42" i="208" s="1"/>
  <c r="G42" i="208"/>
  <c r="F43" i="208" s="1"/>
  <c r="E83" i="207"/>
  <c r="D83" i="207" s="1"/>
  <c r="G83" i="207" s="1"/>
  <c r="F84" i="207" s="1"/>
  <c r="E81" i="204"/>
  <c r="D81" i="204" s="1"/>
  <c r="G81" i="204" s="1"/>
  <c r="F82" i="204" s="1"/>
  <c r="G69" i="193"/>
  <c r="F70" i="193" s="1"/>
  <c r="G70" i="193" s="1"/>
  <c r="E69" i="193"/>
  <c r="D69" i="193" s="1"/>
  <c r="E68" i="192"/>
  <c r="D68" i="192" s="1"/>
  <c r="G68" i="192" s="1"/>
  <c r="F69" i="192" s="1"/>
  <c r="E31" i="180"/>
  <c r="D31" i="180" s="1"/>
  <c r="G31" i="180" s="1"/>
  <c r="F32" i="180" s="1"/>
  <c r="E32" i="180" s="1"/>
  <c r="D32" i="180" s="1"/>
  <c r="G32" i="180" s="1"/>
  <c r="F33" i="180" s="1"/>
  <c r="E33" i="180" s="1"/>
  <c r="D33" i="180" s="1"/>
  <c r="G33" i="180" s="1"/>
  <c r="F34" i="180" s="1"/>
  <c r="E34" i="180" s="1"/>
  <c r="D34" i="180" s="1"/>
  <c r="G34" i="180" s="1"/>
  <c r="F35" i="180" s="1"/>
  <c r="E35" i="180" s="1"/>
  <c r="D35" i="180" s="1"/>
  <c r="G35" i="180" s="1"/>
  <c r="F36" i="180" s="1"/>
  <c r="E36" i="180" s="1"/>
  <c r="D36" i="180" s="1"/>
  <c r="G36" i="180" s="1"/>
  <c r="F37" i="180" s="1"/>
  <c r="E8" i="181"/>
  <c r="D8" i="181" s="1"/>
  <c r="G8" i="181" s="1"/>
  <c r="F9" i="181" s="1"/>
  <c r="E30" i="181"/>
  <c r="D30" i="181" s="1"/>
  <c r="G30" i="181" s="1"/>
  <c r="F31" i="181" s="1"/>
  <c r="E9" i="180"/>
  <c r="D9" i="180" s="1"/>
  <c r="G9" i="180" s="1"/>
  <c r="F10" i="180" s="1"/>
  <c r="E9" i="178"/>
  <c r="D9" i="178" s="1"/>
  <c r="G9" i="178" s="1"/>
  <c r="F10" i="178" s="1"/>
  <c r="D31" i="178"/>
  <c r="G31" i="178" s="1"/>
  <c r="F32" i="178" s="1"/>
  <c r="E32" i="178" s="1"/>
  <c r="D31" i="179"/>
  <c r="G31" i="179" s="1"/>
  <c r="F32" i="179" s="1"/>
  <c r="E32" i="179" s="1"/>
  <c r="E9" i="179"/>
  <c r="D9" i="179" s="1"/>
  <c r="G9" i="179" s="1"/>
  <c r="F10" i="179" s="1"/>
  <c r="E83" i="202" l="1"/>
  <c r="D83" i="202" s="1"/>
  <c r="G83" i="202" s="1"/>
  <c r="F84" i="202" s="1"/>
  <c r="E43" i="206"/>
  <c r="D43" i="206" s="1"/>
  <c r="G43" i="206" s="1"/>
  <c r="F44" i="206" s="1"/>
  <c r="E34" i="211"/>
  <c r="D34" i="211" s="1"/>
  <c r="G34" i="211" s="1"/>
  <c r="F35" i="211" s="1"/>
  <c r="E44" i="209"/>
  <c r="D44" i="209" s="1"/>
  <c r="G44" i="209" s="1"/>
  <c r="F45" i="209" s="1"/>
  <c r="E82" i="204"/>
  <c r="D82" i="204" s="1"/>
  <c r="G82" i="204" s="1"/>
  <c r="F83" i="204" s="1"/>
  <c r="E84" i="209"/>
  <c r="D84" i="209" s="1"/>
  <c r="G84" i="209" s="1"/>
  <c r="F85" i="209" s="1"/>
  <c r="E83" i="208"/>
  <c r="D83" i="208" s="1"/>
  <c r="G83" i="208" s="1"/>
  <c r="F84" i="208" s="1"/>
  <c r="E74" i="211"/>
  <c r="D74" i="211" s="1"/>
  <c r="G74" i="211" s="1"/>
  <c r="F75" i="211" s="1"/>
  <c r="E41" i="202"/>
  <c r="D41" i="202" s="1"/>
  <c r="G41" i="202"/>
  <c r="F42" i="202" s="1"/>
  <c r="E40" i="204"/>
  <c r="D40" i="204" s="1"/>
  <c r="G40" i="204"/>
  <c r="F41" i="204" s="1"/>
  <c r="E82" i="198"/>
  <c r="D82" i="198" s="1"/>
  <c r="G82" i="198" s="1"/>
  <c r="F83" i="198" s="1"/>
  <c r="E84" i="207"/>
  <c r="D84" i="207" s="1"/>
  <c r="G84" i="207" s="1"/>
  <c r="F85" i="207" s="1"/>
  <c r="E73" i="210"/>
  <c r="D73" i="210" s="1"/>
  <c r="G73" i="210" s="1"/>
  <c r="F74" i="210" s="1"/>
  <c r="E44" i="207"/>
  <c r="D44" i="207" s="1"/>
  <c r="G44" i="207"/>
  <c r="F45" i="207" s="1"/>
  <c r="E87" i="200"/>
  <c r="D87" i="200" s="1"/>
  <c r="G87" i="200" s="1"/>
  <c r="F88" i="200" s="1"/>
  <c r="E43" i="208"/>
  <c r="D43" i="208" s="1"/>
  <c r="G43" i="208" s="1"/>
  <c r="F44" i="208" s="1"/>
  <c r="E33" i="210"/>
  <c r="D33" i="210" s="1"/>
  <c r="G33" i="210" s="1"/>
  <c r="F34" i="210" s="1"/>
  <c r="E83" i="206"/>
  <c r="D83" i="206" s="1"/>
  <c r="G83" i="206"/>
  <c r="F84" i="206" s="1"/>
  <c r="E40" i="198"/>
  <c r="D40" i="198" s="1"/>
  <c r="G40" i="198" s="1"/>
  <c r="F41" i="198" s="1"/>
  <c r="E69" i="192"/>
  <c r="D69" i="192" s="1"/>
  <c r="G69" i="192" s="1"/>
  <c r="F70" i="192" s="1"/>
  <c r="G70" i="192" s="1"/>
  <c r="E31" i="181"/>
  <c r="D31" i="181" s="1"/>
  <c r="G31" i="181" s="1"/>
  <c r="F32" i="181" s="1"/>
  <c r="E32" i="181" s="1"/>
  <c r="D32" i="181" s="1"/>
  <c r="G32" i="181" s="1"/>
  <c r="F33" i="181" s="1"/>
  <c r="E33" i="181" s="1"/>
  <c r="D33" i="181" s="1"/>
  <c r="G33" i="181" s="1"/>
  <c r="F34" i="181" s="1"/>
  <c r="E34" i="181" s="1"/>
  <c r="D34" i="181" s="1"/>
  <c r="G34" i="181" s="1"/>
  <c r="F35" i="181" s="1"/>
  <c r="E35" i="181" s="1"/>
  <c r="D35" i="181" s="1"/>
  <c r="G35" i="181" s="1"/>
  <c r="F36" i="181" s="1"/>
  <c r="E36" i="181" s="1"/>
  <c r="D36" i="181" s="1"/>
  <c r="G36" i="181" s="1"/>
  <c r="F37" i="181" s="1"/>
  <c r="E37" i="180"/>
  <c r="D37" i="180" s="1"/>
  <c r="G37" i="180" s="1"/>
  <c r="F38" i="180" s="1"/>
  <c r="E9" i="181"/>
  <c r="D9" i="181" s="1"/>
  <c r="G9" i="181" s="1"/>
  <c r="F10" i="181" s="1"/>
  <c r="E10" i="180"/>
  <c r="D10" i="180" s="1"/>
  <c r="G10" i="180" s="1"/>
  <c r="F11" i="180" s="1"/>
  <c r="D32" i="179"/>
  <c r="G32" i="179" s="1"/>
  <c r="F33" i="179" s="1"/>
  <c r="E10" i="179"/>
  <c r="D10" i="179" s="1"/>
  <c r="G10" i="179" s="1"/>
  <c r="F11" i="179" s="1"/>
  <c r="E10" i="178"/>
  <c r="D10" i="178" s="1"/>
  <c r="G10" i="178" s="1"/>
  <c r="F11" i="178" s="1"/>
  <c r="D32" i="178"/>
  <c r="G32" i="178" s="1"/>
  <c r="F33" i="178" s="1"/>
  <c r="E33" i="178" s="1"/>
  <c r="E75" i="211" l="1"/>
  <c r="D75" i="211" s="1"/>
  <c r="G75" i="211" s="1"/>
  <c r="F76" i="211" s="1"/>
  <c r="E74" i="210"/>
  <c r="D74" i="210" s="1"/>
  <c r="G74" i="210" s="1"/>
  <c r="F75" i="210" s="1"/>
  <c r="E85" i="209"/>
  <c r="D85" i="209" s="1"/>
  <c r="G85" i="209"/>
  <c r="F86" i="209" s="1"/>
  <c r="E83" i="198"/>
  <c r="D83" i="198" s="1"/>
  <c r="G83" i="198"/>
  <c r="F84" i="198" s="1"/>
  <c r="E83" i="204"/>
  <c r="D83" i="204" s="1"/>
  <c r="G83" i="204" s="1"/>
  <c r="F84" i="204" s="1"/>
  <c r="E41" i="198"/>
  <c r="D41" i="198" s="1"/>
  <c r="G41" i="198" s="1"/>
  <c r="F42" i="198" s="1"/>
  <c r="E85" i="207"/>
  <c r="D85" i="207" s="1"/>
  <c r="G85" i="207"/>
  <c r="F86" i="207" s="1"/>
  <c r="E35" i="211"/>
  <c r="D35" i="211" s="1"/>
  <c r="G35" i="211"/>
  <c r="F36" i="211" s="1"/>
  <c r="E88" i="200"/>
  <c r="D88" i="200" s="1"/>
  <c r="G88" i="200" s="1"/>
  <c r="F89" i="200" s="1"/>
  <c r="E44" i="206"/>
  <c r="D44" i="206" s="1"/>
  <c r="G44" i="206" s="1"/>
  <c r="F45" i="206" s="1"/>
  <c r="E84" i="208"/>
  <c r="D84" i="208" s="1"/>
  <c r="G84" i="208"/>
  <c r="F85" i="208" s="1"/>
  <c r="E34" i="210"/>
  <c r="D34" i="210" s="1"/>
  <c r="G34" i="210" s="1"/>
  <c r="F35" i="210" s="1"/>
  <c r="E45" i="209"/>
  <c r="D45" i="209" s="1"/>
  <c r="G45" i="209" s="1"/>
  <c r="F46" i="209" s="1"/>
  <c r="E44" i="208"/>
  <c r="D44" i="208" s="1"/>
  <c r="G44" i="208" s="1"/>
  <c r="F45" i="208" s="1"/>
  <c r="E84" i="202"/>
  <c r="D84" i="202" s="1"/>
  <c r="G84" i="202" s="1"/>
  <c r="F85" i="202" s="1"/>
  <c r="E41" i="204"/>
  <c r="D41" i="204" s="1"/>
  <c r="G41" i="204" s="1"/>
  <c r="F42" i="204" s="1"/>
  <c r="E45" i="207"/>
  <c r="D45" i="207" s="1"/>
  <c r="G45" i="207" s="1"/>
  <c r="F46" i="207" s="1"/>
  <c r="E84" i="206"/>
  <c r="D84" i="206" s="1"/>
  <c r="G84" i="206" s="1"/>
  <c r="F85" i="206" s="1"/>
  <c r="E42" i="202"/>
  <c r="D42" i="202" s="1"/>
  <c r="G42" i="202" s="1"/>
  <c r="F43" i="202" s="1"/>
  <c r="E37" i="181"/>
  <c r="D37" i="181" s="1"/>
  <c r="G37" i="181" s="1"/>
  <c r="F38" i="181" s="1"/>
  <c r="E38" i="180"/>
  <c r="D38" i="180" s="1"/>
  <c r="G38" i="180" s="1"/>
  <c r="F39" i="180" s="1"/>
  <c r="E10" i="181"/>
  <c r="D10" i="181" s="1"/>
  <c r="G10" i="181" s="1"/>
  <c r="F11" i="181" s="1"/>
  <c r="E11" i="180"/>
  <c r="D11" i="180" s="1"/>
  <c r="G11" i="180" s="1"/>
  <c r="F12" i="180" s="1"/>
  <c r="E33" i="179"/>
  <c r="D33" i="179" s="1"/>
  <c r="G33" i="179" s="1"/>
  <c r="F34" i="179" s="1"/>
  <c r="E11" i="179"/>
  <c r="D11" i="179" s="1"/>
  <c r="G11" i="179" s="1"/>
  <c r="F12" i="179" s="1"/>
  <c r="D33" i="178"/>
  <c r="G33" i="178" s="1"/>
  <c r="F34" i="178" s="1"/>
  <c r="E34" i="178" s="1"/>
  <c r="E11" i="178"/>
  <c r="D11" i="178" s="1"/>
  <c r="G11" i="178" s="1"/>
  <c r="F12" i="178" s="1"/>
  <c r="E46" i="207" l="1"/>
  <c r="D46" i="207" s="1"/>
  <c r="G46" i="207" s="1"/>
  <c r="F47" i="207" s="1"/>
  <c r="E45" i="206"/>
  <c r="D45" i="206" s="1"/>
  <c r="G45" i="206"/>
  <c r="F46" i="206" s="1"/>
  <c r="E42" i="198"/>
  <c r="D42" i="198" s="1"/>
  <c r="G42" i="198" s="1"/>
  <c r="F43" i="198" s="1"/>
  <c r="E89" i="200"/>
  <c r="D89" i="200" s="1"/>
  <c r="G89" i="200"/>
  <c r="F90" i="200" s="1"/>
  <c r="G43" i="202"/>
  <c r="F44" i="202" s="1"/>
  <c r="E43" i="202"/>
  <c r="D43" i="202" s="1"/>
  <c r="E45" i="208"/>
  <c r="D45" i="208" s="1"/>
  <c r="G45" i="208"/>
  <c r="F46" i="208" s="1"/>
  <c r="E84" i="204"/>
  <c r="D84" i="204" s="1"/>
  <c r="G84" i="204" s="1"/>
  <c r="F85" i="204" s="1"/>
  <c r="E85" i="202"/>
  <c r="D85" i="202" s="1"/>
  <c r="G85" i="202"/>
  <c r="F86" i="202" s="1"/>
  <c r="E46" i="209"/>
  <c r="D46" i="209" s="1"/>
  <c r="G46" i="209" s="1"/>
  <c r="F47" i="209" s="1"/>
  <c r="E75" i="210"/>
  <c r="D75" i="210" s="1"/>
  <c r="G75" i="210" s="1"/>
  <c r="F76" i="210" s="1"/>
  <c r="E85" i="206"/>
  <c r="D85" i="206" s="1"/>
  <c r="G85" i="206" s="1"/>
  <c r="F86" i="206" s="1"/>
  <c r="E42" i="204"/>
  <c r="D42" i="204" s="1"/>
  <c r="G42" i="204" s="1"/>
  <c r="F43" i="204" s="1"/>
  <c r="G35" i="210"/>
  <c r="F36" i="210" s="1"/>
  <c r="E35" i="210"/>
  <c r="D35" i="210" s="1"/>
  <c r="E76" i="211"/>
  <c r="D76" i="211" s="1"/>
  <c r="G76" i="211"/>
  <c r="F77" i="211" s="1"/>
  <c r="E84" i="198"/>
  <c r="D84" i="198" s="1"/>
  <c r="G84" i="198" s="1"/>
  <c r="F85" i="198" s="1"/>
  <c r="E85" i="208"/>
  <c r="D85" i="208" s="1"/>
  <c r="G85" i="208" s="1"/>
  <c r="F86" i="208" s="1"/>
  <c r="E86" i="207"/>
  <c r="D86" i="207" s="1"/>
  <c r="G86" i="207" s="1"/>
  <c r="F87" i="207" s="1"/>
  <c r="E86" i="209"/>
  <c r="D86" i="209" s="1"/>
  <c r="G86" i="209"/>
  <c r="F87" i="209" s="1"/>
  <c r="E36" i="211"/>
  <c r="D36" i="211" s="1"/>
  <c r="G36" i="211" s="1"/>
  <c r="F37" i="211" s="1"/>
  <c r="E38" i="181"/>
  <c r="D38" i="181" s="1"/>
  <c r="G38" i="181" s="1"/>
  <c r="F39" i="181" s="1"/>
  <c r="E39" i="181" s="1"/>
  <c r="D39" i="181" s="1"/>
  <c r="E39" i="180"/>
  <c r="D39" i="180" s="1"/>
  <c r="G39" i="180" s="1"/>
  <c r="F40" i="180" s="1"/>
  <c r="E11" i="181"/>
  <c r="D11" i="181" s="1"/>
  <c r="G11" i="181" s="1"/>
  <c r="F12" i="181" s="1"/>
  <c r="E12" i="180"/>
  <c r="D12" i="180" s="1"/>
  <c r="G12" i="180" s="1"/>
  <c r="F13" i="180" s="1"/>
  <c r="E34" i="179"/>
  <c r="D34" i="179" s="1"/>
  <c r="G34" i="179" s="1"/>
  <c r="F35" i="179" s="1"/>
  <c r="E12" i="178"/>
  <c r="D12" i="178" s="1"/>
  <c r="G12" i="178" s="1"/>
  <c r="F13" i="178" s="1"/>
  <c r="D34" i="178"/>
  <c r="G34" i="178" s="1"/>
  <c r="F35" i="178" s="1"/>
  <c r="E12" i="179"/>
  <c r="D12" i="179" s="1"/>
  <c r="G12" i="179" s="1"/>
  <c r="F13" i="179" s="1"/>
  <c r="E87" i="207" l="1"/>
  <c r="D87" i="207" s="1"/>
  <c r="G87" i="207" s="1"/>
  <c r="F88" i="207" s="1"/>
  <c r="E47" i="209"/>
  <c r="D47" i="209" s="1"/>
  <c r="G47" i="209" s="1"/>
  <c r="F48" i="209" s="1"/>
  <c r="E86" i="208"/>
  <c r="D86" i="208" s="1"/>
  <c r="G86" i="208" s="1"/>
  <c r="F87" i="208" s="1"/>
  <c r="E85" i="204"/>
  <c r="D85" i="204" s="1"/>
  <c r="G85" i="204" s="1"/>
  <c r="F86" i="204" s="1"/>
  <c r="E86" i="206"/>
  <c r="D86" i="206" s="1"/>
  <c r="G86" i="206"/>
  <c r="F87" i="206" s="1"/>
  <c r="E85" i="198"/>
  <c r="D85" i="198" s="1"/>
  <c r="G85" i="198" s="1"/>
  <c r="F86" i="198" s="1"/>
  <c r="E43" i="198"/>
  <c r="D43" i="198" s="1"/>
  <c r="G43" i="198"/>
  <c r="F44" i="198" s="1"/>
  <c r="E37" i="211"/>
  <c r="D37" i="211" s="1"/>
  <c r="G37" i="211" s="1"/>
  <c r="F38" i="211" s="1"/>
  <c r="E76" i="210"/>
  <c r="D76" i="210" s="1"/>
  <c r="G76" i="210" s="1"/>
  <c r="F77" i="210" s="1"/>
  <c r="E43" i="204"/>
  <c r="D43" i="204" s="1"/>
  <c r="G43" i="204" s="1"/>
  <c r="F44" i="204" s="1"/>
  <c r="E47" i="207"/>
  <c r="D47" i="207" s="1"/>
  <c r="G47" i="207"/>
  <c r="F48" i="207" s="1"/>
  <c r="E90" i="200"/>
  <c r="D90" i="200" s="1"/>
  <c r="G90" i="200" s="1"/>
  <c r="F91" i="200" s="1"/>
  <c r="E46" i="208"/>
  <c r="D46" i="208" s="1"/>
  <c r="G46" i="208"/>
  <c r="F47" i="208" s="1"/>
  <c r="E87" i="209"/>
  <c r="D87" i="209" s="1"/>
  <c r="G87" i="209" s="1"/>
  <c r="F88" i="209" s="1"/>
  <c r="E77" i="211"/>
  <c r="D77" i="211" s="1"/>
  <c r="G77" i="211" s="1"/>
  <c r="F78" i="211" s="1"/>
  <c r="E46" i="206"/>
  <c r="D46" i="206" s="1"/>
  <c r="G46" i="206" s="1"/>
  <c r="F47" i="206" s="1"/>
  <c r="E86" i="202"/>
  <c r="D86" i="202" s="1"/>
  <c r="G86" i="202" s="1"/>
  <c r="F87" i="202" s="1"/>
  <c r="E36" i="210"/>
  <c r="D36" i="210" s="1"/>
  <c r="G36" i="210"/>
  <c r="F37" i="210" s="1"/>
  <c r="E44" i="202"/>
  <c r="D44" i="202" s="1"/>
  <c r="G44" i="202" s="1"/>
  <c r="F45" i="202" s="1"/>
  <c r="G39" i="181"/>
  <c r="F40" i="181" s="1"/>
  <c r="E40" i="181" s="1"/>
  <c r="D40" i="181" s="1"/>
  <c r="G40" i="181" s="1"/>
  <c r="F41" i="181" s="1"/>
  <c r="E40" i="180"/>
  <c r="D40" i="180" s="1"/>
  <c r="G40" i="180" s="1"/>
  <c r="F41" i="180" s="1"/>
  <c r="E13" i="180"/>
  <c r="D13" i="180" s="1"/>
  <c r="G13" i="180" s="1"/>
  <c r="F14" i="180" s="1"/>
  <c r="E12" i="181"/>
  <c r="D12" i="181" s="1"/>
  <c r="G12" i="181" s="1"/>
  <c r="F13" i="181" s="1"/>
  <c r="E35" i="179"/>
  <c r="D35" i="179" s="1"/>
  <c r="G35" i="179" s="1"/>
  <c r="F36" i="179" s="1"/>
  <c r="E35" i="178"/>
  <c r="D35" i="178" s="1"/>
  <c r="G35" i="178" s="1"/>
  <c r="F36" i="178" s="1"/>
  <c r="E36" i="178" s="1"/>
  <c r="D36" i="178" s="1"/>
  <c r="G36" i="178" s="1"/>
  <c r="F37" i="178" s="1"/>
  <c r="E37" i="178" s="1"/>
  <c r="D37" i="178" s="1"/>
  <c r="G37" i="178" s="1"/>
  <c r="F38" i="178" s="1"/>
  <c r="E13" i="179"/>
  <c r="D13" i="179" s="1"/>
  <c r="G13" i="179" s="1"/>
  <c r="F14" i="179" s="1"/>
  <c r="E13" i="178"/>
  <c r="D13" i="178" s="1"/>
  <c r="G13" i="178" s="1"/>
  <c r="F14" i="178" s="1"/>
  <c r="E45" i="202" l="1"/>
  <c r="D45" i="202" s="1"/>
  <c r="G45" i="202" s="1"/>
  <c r="F46" i="202" s="1"/>
  <c r="G46" i="202" s="1"/>
  <c r="E86" i="198"/>
  <c r="D86" i="198" s="1"/>
  <c r="G86" i="198" s="1"/>
  <c r="F87" i="198" s="1"/>
  <c r="E87" i="202"/>
  <c r="D87" i="202" s="1"/>
  <c r="G87" i="202" s="1"/>
  <c r="F88" i="202" s="1"/>
  <c r="E47" i="206"/>
  <c r="D47" i="206" s="1"/>
  <c r="G47" i="206"/>
  <c r="F48" i="206" s="1"/>
  <c r="E86" i="204"/>
  <c r="D86" i="204" s="1"/>
  <c r="G86" i="204" s="1"/>
  <c r="F87" i="204" s="1"/>
  <c r="E77" i="210"/>
  <c r="D77" i="210" s="1"/>
  <c r="G77" i="210" s="1"/>
  <c r="F78" i="210" s="1"/>
  <c r="E87" i="208"/>
  <c r="D87" i="208" s="1"/>
  <c r="G87" i="208" s="1"/>
  <c r="F88" i="208" s="1"/>
  <c r="E91" i="200"/>
  <c r="D91" i="200" s="1"/>
  <c r="G91" i="200" s="1"/>
  <c r="F92" i="200" s="1"/>
  <c r="G78" i="211"/>
  <c r="F79" i="211" s="1"/>
  <c r="E78" i="211"/>
  <c r="D78" i="211" s="1"/>
  <c r="E38" i="211"/>
  <c r="D38" i="211" s="1"/>
  <c r="G38" i="211" s="1"/>
  <c r="F39" i="211" s="1"/>
  <c r="E48" i="209"/>
  <c r="D48" i="209" s="1"/>
  <c r="G48" i="209"/>
  <c r="F49" i="209" s="1"/>
  <c r="E44" i="204"/>
  <c r="D44" i="204" s="1"/>
  <c r="G44" i="204"/>
  <c r="F45" i="204" s="1"/>
  <c r="G88" i="209"/>
  <c r="F89" i="209" s="1"/>
  <c r="E88" i="209"/>
  <c r="D88" i="209" s="1"/>
  <c r="E88" i="207"/>
  <c r="D88" i="207" s="1"/>
  <c r="G88" i="207" s="1"/>
  <c r="F89" i="207" s="1"/>
  <c r="E44" i="198"/>
  <c r="D44" i="198" s="1"/>
  <c r="G44" i="198" s="1"/>
  <c r="F45" i="198" s="1"/>
  <c r="E48" i="207"/>
  <c r="D48" i="207" s="1"/>
  <c r="G48" i="207"/>
  <c r="F49" i="207" s="1"/>
  <c r="E37" i="210"/>
  <c r="D37" i="210" s="1"/>
  <c r="G37" i="210" s="1"/>
  <c r="F38" i="210" s="1"/>
  <c r="E87" i="206"/>
  <c r="D87" i="206" s="1"/>
  <c r="G87" i="206" s="1"/>
  <c r="F88" i="206" s="1"/>
  <c r="E47" i="208"/>
  <c r="D47" i="208" s="1"/>
  <c r="G47" i="208" s="1"/>
  <c r="F48" i="208" s="1"/>
  <c r="E41" i="181"/>
  <c r="D41" i="181" s="1"/>
  <c r="G41" i="181" s="1"/>
  <c r="F42" i="181" s="1"/>
  <c r="E41" i="180"/>
  <c r="D41" i="180" s="1"/>
  <c r="G41" i="180" s="1"/>
  <c r="F42" i="180" s="1"/>
  <c r="E14" i="180"/>
  <c r="D14" i="180" s="1"/>
  <c r="G14" i="180" s="1"/>
  <c r="F15" i="180" s="1"/>
  <c r="E13" i="181"/>
  <c r="D13" i="181" s="1"/>
  <c r="G13" i="181" s="1"/>
  <c r="F14" i="181" s="1"/>
  <c r="E36" i="179"/>
  <c r="D36" i="179" s="1"/>
  <c r="G36" i="179" s="1"/>
  <c r="F37" i="179" s="1"/>
  <c r="E38" i="178"/>
  <c r="D38" i="178" s="1"/>
  <c r="G38" i="178" s="1"/>
  <c r="F39" i="178" s="1"/>
  <c r="E39" i="178" s="1"/>
  <c r="D39" i="178" s="1"/>
  <c r="G39" i="178" s="1"/>
  <c r="F40" i="178" s="1"/>
  <c r="E40" i="178" s="1"/>
  <c r="D40" i="178" s="1"/>
  <c r="G40" i="178" s="1"/>
  <c r="F41" i="178" s="1"/>
  <c r="E41" i="178" s="1"/>
  <c r="D41" i="178" s="1"/>
  <c r="G41" i="178" s="1"/>
  <c r="F42" i="178" s="1"/>
  <c r="E42" i="178" s="1"/>
  <c r="D42" i="178" s="1"/>
  <c r="G42" i="178" s="1"/>
  <c r="F43" i="178" s="1"/>
  <c r="E43" i="178" s="1"/>
  <c r="D43" i="178" s="1"/>
  <c r="G43" i="178" s="1"/>
  <c r="F44" i="178" s="1"/>
  <c r="E44" i="178" s="1"/>
  <c r="D44" i="178" s="1"/>
  <c r="G44" i="178" s="1"/>
  <c r="F45" i="178" s="1"/>
  <c r="E45" i="178" s="1"/>
  <c r="D45" i="178" s="1"/>
  <c r="G45" i="178" s="1"/>
  <c r="F46" i="178" s="1"/>
  <c r="E14" i="178"/>
  <c r="D14" i="178" s="1"/>
  <c r="G14" i="178" s="1"/>
  <c r="F15" i="178" s="1"/>
  <c r="E14" i="179"/>
  <c r="D14" i="179" s="1"/>
  <c r="G14" i="179" s="1"/>
  <c r="F15" i="179" s="1"/>
  <c r="E88" i="208" l="1"/>
  <c r="D88" i="208" s="1"/>
  <c r="G88" i="208" s="1"/>
  <c r="F89" i="208" s="1"/>
  <c r="E88" i="206"/>
  <c r="D88" i="206" s="1"/>
  <c r="G88" i="206" s="1"/>
  <c r="F89" i="206" s="1"/>
  <c r="E87" i="204"/>
  <c r="D87" i="204" s="1"/>
  <c r="G87" i="204" s="1"/>
  <c r="F88" i="204" s="1"/>
  <c r="E45" i="198"/>
  <c r="D45" i="198" s="1"/>
  <c r="G45" i="198" s="1"/>
  <c r="F46" i="198" s="1"/>
  <c r="G46" i="198" s="1"/>
  <c r="E39" i="211"/>
  <c r="D39" i="211" s="1"/>
  <c r="G39" i="211"/>
  <c r="F40" i="211" s="1"/>
  <c r="E78" i="210"/>
  <c r="D78" i="210" s="1"/>
  <c r="G78" i="210"/>
  <c r="F79" i="210" s="1"/>
  <c r="E88" i="202"/>
  <c r="D88" i="202" s="1"/>
  <c r="G88" i="202" s="1"/>
  <c r="F89" i="202" s="1"/>
  <c r="E89" i="207"/>
  <c r="D89" i="207" s="1"/>
  <c r="G89" i="207" s="1"/>
  <c r="F90" i="207" s="1"/>
  <c r="E87" i="198"/>
  <c r="D87" i="198" s="1"/>
  <c r="G87" i="198" s="1"/>
  <c r="F88" i="198" s="1"/>
  <c r="G88" i="198" s="1"/>
  <c r="E38" i="210"/>
  <c r="D38" i="210" s="1"/>
  <c r="G38" i="210" s="1"/>
  <c r="F39" i="210" s="1"/>
  <c r="E48" i="208"/>
  <c r="D48" i="208" s="1"/>
  <c r="G48" i="208" s="1"/>
  <c r="F49" i="208" s="1"/>
  <c r="E92" i="200"/>
  <c r="D92" i="200" s="1"/>
  <c r="G92" i="200"/>
  <c r="F93" i="200" s="1"/>
  <c r="E49" i="209"/>
  <c r="D49" i="209" s="1"/>
  <c r="G49" i="209" s="1"/>
  <c r="F50" i="209" s="1"/>
  <c r="E45" i="204"/>
  <c r="D45" i="204" s="1"/>
  <c r="G45" i="204" s="1"/>
  <c r="F46" i="204" s="1"/>
  <c r="G46" i="204" s="1"/>
  <c r="E49" i="207"/>
  <c r="D49" i="207" s="1"/>
  <c r="G49" i="207" s="1"/>
  <c r="F50" i="207" s="1"/>
  <c r="E48" i="206"/>
  <c r="D48" i="206" s="1"/>
  <c r="G48" i="206" s="1"/>
  <c r="F49" i="206" s="1"/>
  <c r="E89" i="209"/>
  <c r="D89" i="209" s="1"/>
  <c r="G89" i="209" s="1"/>
  <c r="F90" i="209" s="1"/>
  <c r="E79" i="211"/>
  <c r="D79" i="211" s="1"/>
  <c r="G79" i="211" s="1"/>
  <c r="F80" i="211" s="1"/>
  <c r="E42" i="181"/>
  <c r="D42" i="181" s="1"/>
  <c r="G42" i="181" s="1"/>
  <c r="F43" i="181" s="1"/>
  <c r="E42" i="180"/>
  <c r="D42" i="180" s="1"/>
  <c r="G42" i="180" s="1"/>
  <c r="F43" i="180" s="1"/>
  <c r="E15" i="180"/>
  <c r="D15" i="180" s="1"/>
  <c r="G15" i="180" s="1"/>
  <c r="F16" i="180" s="1"/>
  <c r="E14" i="181"/>
  <c r="D14" i="181" s="1"/>
  <c r="G14" i="181" s="1"/>
  <c r="F15" i="181" s="1"/>
  <c r="E37" i="179"/>
  <c r="D37" i="179" s="1"/>
  <c r="G37" i="179" s="1"/>
  <c r="F38" i="179" s="1"/>
  <c r="E46" i="178"/>
  <c r="D46" i="178" s="1"/>
  <c r="G46" i="178" s="1"/>
  <c r="F47" i="178" s="1"/>
  <c r="E47" i="178" s="1"/>
  <c r="D47" i="178" s="1"/>
  <c r="G47" i="178" s="1"/>
  <c r="F48" i="178" s="1"/>
  <c r="E48" i="178" s="1"/>
  <c r="D48" i="178" s="1"/>
  <c r="G48" i="178" s="1"/>
  <c r="F49" i="178" s="1"/>
  <c r="E49" i="178" s="1"/>
  <c r="D49" i="178" s="1"/>
  <c r="G49" i="178" s="1"/>
  <c r="F50" i="178" s="1"/>
  <c r="E50" i="178" s="1"/>
  <c r="D50" i="178" s="1"/>
  <c r="G50" i="178" s="1"/>
  <c r="F51" i="178" s="1"/>
  <c r="E51" i="178" s="1"/>
  <c r="D51" i="178" s="1"/>
  <c r="G51" i="178" s="1"/>
  <c r="F52" i="178" s="1"/>
  <c r="E52" i="178" s="1"/>
  <c r="D52" i="178" s="1"/>
  <c r="G52" i="178" s="1"/>
  <c r="F53" i="178" s="1"/>
  <c r="E53" i="178" s="1"/>
  <c r="D53" i="178" s="1"/>
  <c r="G53" i="178" s="1"/>
  <c r="F54" i="178" s="1"/>
  <c r="E54" i="178" s="1"/>
  <c r="D54" i="178" s="1"/>
  <c r="G54" i="178" s="1"/>
  <c r="F55" i="178" s="1"/>
  <c r="E55" i="178" s="1"/>
  <c r="D55" i="178" s="1"/>
  <c r="G55" i="178" s="1"/>
  <c r="F56" i="178" s="1"/>
  <c r="D56" i="178" s="1"/>
  <c r="G56" i="178" s="1"/>
  <c r="E15" i="179"/>
  <c r="D15" i="179" s="1"/>
  <c r="G15" i="179" s="1"/>
  <c r="F16" i="179" s="1"/>
  <c r="E15" i="178"/>
  <c r="D15" i="178" s="1"/>
  <c r="G15" i="178" s="1"/>
  <c r="F16" i="178" s="1"/>
  <c r="E50" i="209" l="1"/>
  <c r="D50" i="209" s="1"/>
  <c r="G50" i="209" s="1"/>
  <c r="F51" i="209" s="1"/>
  <c r="E80" i="211"/>
  <c r="D80" i="211" s="1"/>
  <c r="G80" i="211" s="1"/>
  <c r="F81" i="211" s="1"/>
  <c r="E49" i="208"/>
  <c r="D49" i="208" s="1"/>
  <c r="G49" i="208" s="1"/>
  <c r="F50" i="208" s="1"/>
  <c r="E90" i="209"/>
  <c r="D90" i="209" s="1"/>
  <c r="G90" i="209" s="1"/>
  <c r="F91" i="209" s="1"/>
  <c r="E49" i="206"/>
  <c r="D49" i="206" s="1"/>
  <c r="G49" i="206" s="1"/>
  <c r="F50" i="206" s="1"/>
  <c r="E88" i="204"/>
  <c r="D88" i="204" s="1"/>
  <c r="G88" i="204" s="1"/>
  <c r="F89" i="204" s="1"/>
  <c r="E50" i="207"/>
  <c r="D50" i="207" s="1"/>
  <c r="G50" i="207" s="1"/>
  <c r="F51" i="207" s="1"/>
  <c r="E90" i="207"/>
  <c r="D90" i="207" s="1"/>
  <c r="G90" i="207" s="1"/>
  <c r="F91" i="207" s="1"/>
  <c r="E89" i="206"/>
  <c r="D89" i="206" s="1"/>
  <c r="G89" i="206" s="1"/>
  <c r="F90" i="206" s="1"/>
  <c r="E39" i="210"/>
  <c r="D39" i="210" s="1"/>
  <c r="G39" i="210" s="1"/>
  <c r="F40" i="210" s="1"/>
  <c r="E89" i="202"/>
  <c r="D89" i="202" s="1"/>
  <c r="G89" i="202"/>
  <c r="F90" i="202" s="1"/>
  <c r="E89" i="208"/>
  <c r="D89" i="208" s="1"/>
  <c r="G89" i="208" s="1"/>
  <c r="F90" i="208" s="1"/>
  <c r="E93" i="200"/>
  <c r="D93" i="200" s="1"/>
  <c r="G93" i="200" s="1"/>
  <c r="F94" i="200" s="1"/>
  <c r="E79" i="210"/>
  <c r="D79" i="210" s="1"/>
  <c r="G79" i="210" s="1"/>
  <c r="F80" i="210" s="1"/>
  <c r="E40" i="211"/>
  <c r="D40" i="211" s="1"/>
  <c r="G40" i="211" s="1"/>
  <c r="F41" i="211" s="1"/>
  <c r="E43" i="181"/>
  <c r="D43" i="181" s="1"/>
  <c r="G43" i="181" s="1"/>
  <c r="F44" i="181" s="1"/>
  <c r="E43" i="180"/>
  <c r="D43" i="180" s="1"/>
  <c r="G43" i="180" s="1"/>
  <c r="F44" i="180" s="1"/>
  <c r="E16" i="180"/>
  <c r="D16" i="180" s="1"/>
  <c r="G16" i="180" s="1"/>
  <c r="F17" i="180" s="1"/>
  <c r="E15" i="181"/>
  <c r="D15" i="181" s="1"/>
  <c r="G15" i="181" s="1"/>
  <c r="F16" i="181" s="1"/>
  <c r="E38" i="179"/>
  <c r="D38" i="179" s="1"/>
  <c r="G38" i="179" s="1"/>
  <c r="F39" i="179" s="1"/>
  <c r="E39" i="179" s="1"/>
  <c r="D39" i="179" s="1"/>
  <c r="G39" i="179" s="1"/>
  <c r="F40" i="179" s="1"/>
  <c r="E40" i="179" s="1"/>
  <c r="D40" i="179" s="1"/>
  <c r="G40" i="179" s="1"/>
  <c r="F41" i="179" s="1"/>
  <c r="E41" i="179" s="1"/>
  <c r="D41" i="179" s="1"/>
  <c r="G41" i="179" s="1"/>
  <c r="F42" i="179" s="1"/>
  <c r="E42" i="179" s="1"/>
  <c r="D42" i="179" s="1"/>
  <c r="G42" i="179" s="1"/>
  <c r="F43" i="179" s="1"/>
  <c r="E43" i="179" s="1"/>
  <c r="D43" i="179" s="1"/>
  <c r="G43" i="179" s="1"/>
  <c r="F44" i="179" s="1"/>
  <c r="E44" i="179" s="1"/>
  <c r="D44" i="179" s="1"/>
  <c r="G44" i="179" s="1"/>
  <c r="F45" i="179" s="1"/>
  <c r="E45" i="179" s="1"/>
  <c r="D45" i="179" s="1"/>
  <c r="G45" i="179" s="1"/>
  <c r="F46" i="179" s="1"/>
  <c r="E46" i="179" s="1"/>
  <c r="D46" i="179" s="1"/>
  <c r="G46" i="179" s="1"/>
  <c r="F47" i="179" s="1"/>
  <c r="E47" i="179" s="1"/>
  <c r="D47" i="179" s="1"/>
  <c r="G47" i="179" s="1"/>
  <c r="F48" i="179" s="1"/>
  <c r="E48" i="179" s="1"/>
  <c r="D48" i="179" s="1"/>
  <c r="G48" i="179" s="1"/>
  <c r="F49" i="179" s="1"/>
  <c r="E49" i="179" s="1"/>
  <c r="D49" i="179" s="1"/>
  <c r="G49" i="179" s="1"/>
  <c r="F50" i="179" s="1"/>
  <c r="E50" i="179" s="1"/>
  <c r="D50" i="179" s="1"/>
  <c r="G50" i="179" s="1"/>
  <c r="F51" i="179" s="1"/>
  <c r="E51" i="179" s="1"/>
  <c r="D51" i="179" s="1"/>
  <c r="G51" i="179" s="1"/>
  <c r="F52" i="179" s="1"/>
  <c r="E52" i="179" s="1"/>
  <c r="D52" i="179" s="1"/>
  <c r="G52" i="179" s="1"/>
  <c r="F53" i="179" s="1"/>
  <c r="E53" i="179" s="1"/>
  <c r="D53" i="179" s="1"/>
  <c r="G53" i="179" s="1"/>
  <c r="F54" i="179" s="1"/>
  <c r="E54" i="179" s="1"/>
  <c r="D54" i="179" s="1"/>
  <c r="G54" i="179" s="1"/>
  <c r="F55" i="179" s="1"/>
  <c r="E55" i="179" s="1"/>
  <c r="D55" i="179" s="1"/>
  <c r="G55" i="179" s="1"/>
  <c r="F56" i="179" s="1"/>
  <c r="D56" i="179" s="1"/>
  <c r="G56" i="179" s="1"/>
  <c r="E16" i="178"/>
  <c r="D16" i="178" s="1"/>
  <c r="G16" i="178" s="1"/>
  <c r="F17" i="178" s="1"/>
  <c r="E16" i="179"/>
  <c r="D16" i="179" s="1"/>
  <c r="G16" i="179" s="1"/>
  <c r="F17" i="179" s="1"/>
  <c r="E89" i="204" l="1"/>
  <c r="D89" i="204" s="1"/>
  <c r="G89" i="204" s="1"/>
  <c r="F90" i="204" s="1"/>
  <c r="E50" i="206"/>
  <c r="D50" i="206" s="1"/>
  <c r="G50" i="206" s="1"/>
  <c r="F51" i="206" s="1"/>
  <c r="E41" i="211"/>
  <c r="D41" i="211" s="1"/>
  <c r="G41" i="211" s="1"/>
  <c r="F42" i="211" s="1"/>
  <c r="E91" i="209"/>
  <c r="D91" i="209" s="1"/>
  <c r="G91" i="209" s="1"/>
  <c r="F92" i="209" s="1"/>
  <c r="G92" i="209" s="1"/>
  <c r="E80" i="210"/>
  <c r="D80" i="210" s="1"/>
  <c r="G80" i="210"/>
  <c r="F81" i="210" s="1"/>
  <c r="E50" i="208"/>
  <c r="D50" i="208" s="1"/>
  <c r="G50" i="208"/>
  <c r="F51" i="208" s="1"/>
  <c r="E51" i="207"/>
  <c r="D51" i="207" s="1"/>
  <c r="G51" i="207" s="1"/>
  <c r="F52" i="207" s="1"/>
  <c r="G52" i="207" s="1"/>
  <c r="E40" i="210"/>
  <c r="D40" i="210" s="1"/>
  <c r="G40" i="210" s="1"/>
  <c r="F41" i="210" s="1"/>
  <c r="E81" i="211"/>
  <c r="D81" i="211" s="1"/>
  <c r="G81" i="211" s="1"/>
  <c r="F82" i="211" s="1"/>
  <c r="E91" i="207"/>
  <c r="D91" i="207" s="1"/>
  <c r="G91" i="207" s="1"/>
  <c r="F92" i="207" s="1"/>
  <c r="G92" i="207" s="1"/>
  <c r="E94" i="200"/>
  <c r="D94" i="200" s="1"/>
  <c r="G94" i="200" s="1"/>
  <c r="F95" i="200" s="1"/>
  <c r="E90" i="208"/>
  <c r="D90" i="208" s="1"/>
  <c r="G90" i="208" s="1"/>
  <c r="F91" i="208" s="1"/>
  <c r="E90" i="206"/>
  <c r="D90" i="206" s="1"/>
  <c r="G90" i="206" s="1"/>
  <c r="F91" i="206" s="1"/>
  <c r="E51" i="209"/>
  <c r="D51" i="209" s="1"/>
  <c r="G51" i="209" s="1"/>
  <c r="F52" i="209" s="1"/>
  <c r="G52" i="209" s="1"/>
  <c r="E90" i="202"/>
  <c r="D90" i="202" s="1"/>
  <c r="G90" i="202" s="1"/>
  <c r="F91" i="202" s="1"/>
  <c r="E44" i="181"/>
  <c r="D44" i="181" s="1"/>
  <c r="G44" i="181" s="1"/>
  <c r="F45" i="181" s="1"/>
  <c r="E44" i="180"/>
  <c r="D44" i="180" s="1"/>
  <c r="G44" i="180" s="1"/>
  <c r="F45" i="180" s="1"/>
  <c r="E16" i="181"/>
  <c r="D16" i="181" s="1"/>
  <c r="G16" i="181" s="1"/>
  <c r="F17" i="181" s="1"/>
  <c r="E17" i="180"/>
  <c r="D17" i="180" s="1"/>
  <c r="G17" i="180" s="1"/>
  <c r="F18" i="180" s="1"/>
  <c r="E17" i="179"/>
  <c r="D17" i="179" s="1"/>
  <c r="G17" i="179" s="1"/>
  <c r="F18" i="179" s="1"/>
  <c r="E17" i="178"/>
  <c r="D17" i="178" s="1"/>
  <c r="G17" i="178" s="1"/>
  <c r="F18" i="178" s="1"/>
  <c r="E95" i="200" l="1"/>
  <c r="D95" i="200" s="1"/>
  <c r="G95" i="200" s="1"/>
  <c r="F96" i="200" s="1"/>
  <c r="E91" i="206"/>
  <c r="D91" i="206" s="1"/>
  <c r="G91" i="206" s="1"/>
  <c r="F92" i="206" s="1"/>
  <c r="G92" i="206" s="1"/>
  <c r="E82" i="211"/>
  <c r="D82" i="211" s="1"/>
  <c r="G82" i="211" s="1"/>
  <c r="F83" i="211" s="1"/>
  <c r="E42" i="211"/>
  <c r="D42" i="211" s="1"/>
  <c r="G42" i="211" s="1"/>
  <c r="F43" i="211" s="1"/>
  <c r="E41" i="210"/>
  <c r="D41" i="210" s="1"/>
  <c r="G41" i="210" s="1"/>
  <c r="F42" i="210" s="1"/>
  <c r="E51" i="206"/>
  <c r="D51" i="206" s="1"/>
  <c r="G51" i="206" s="1"/>
  <c r="F52" i="206" s="1"/>
  <c r="G52" i="206" s="1"/>
  <c r="E91" i="208"/>
  <c r="D91" i="208" s="1"/>
  <c r="G91" i="208" s="1"/>
  <c r="F92" i="208" s="1"/>
  <c r="G92" i="208" s="1"/>
  <c r="E91" i="202"/>
  <c r="D91" i="202" s="1"/>
  <c r="G91" i="202" s="1"/>
  <c r="F92" i="202" s="1"/>
  <c r="E90" i="204"/>
  <c r="D90" i="204" s="1"/>
  <c r="G90" i="204"/>
  <c r="F91" i="204" s="1"/>
  <c r="E51" i="208"/>
  <c r="D51" i="208" s="1"/>
  <c r="G51" i="208" s="1"/>
  <c r="F52" i="208" s="1"/>
  <c r="G52" i="208" s="1"/>
  <c r="E81" i="210"/>
  <c r="D81" i="210" s="1"/>
  <c r="G81" i="210" s="1"/>
  <c r="F82" i="210" s="1"/>
  <c r="E45" i="181"/>
  <c r="D45" i="181" s="1"/>
  <c r="G45" i="181" s="1"/>
  <c r="F46" i="181" s="1"/>
  <c r="E45" i="180"/>
  <c r="D45" i="180" s="1"/>
  <c r="G45" i="180" s="1"/>
  <c r="F46" i="180" s="1"/>
  <c r="E18" i="180"/>
  <c r="D18" i="180" s="1"/>
  <c r="G18" i="180" s="1"/>
  <c r="F19" i="180" s="1"/>
  <c r="E17" i="181"/>
  <c r="D17" i="181" s="1"/>
  <c r="G17" i="181" s="1"/>
  <c r="F18" i="181" s="1"/>
  <c r="E18" i="179"/>
  <c r="D18" i="179" s="1"/>
  <c r="G18" i="179" s="1"/>
  <c r="F19" i="179" s="1"/>
  <c r="E18" i="178"/>
  <c r="D18" i="178" s="1"/>
  <c r="G18" i="178" s="1"/>
  <c r="F19" i="178" s="1"/>
  <c r="E92" i="202" l="1"/>
  <c r="D92" i="202" s="1"/>
  <c r="G92" i="202" s="1"/>
  <c r="F93" i="202" s="1"/>
  <c r="E42" i="210"/>
  <c r="D42" i="210" s="1"/>
  <c r="G42" i="210" s="1"/>
  <c r="F43" i="210" s="1"/>
  <c r="E82" i="210"/>
  <c r="D82" i="210" s="1"/>
  <c r="G82" i="210" s="1"/>
  <c r="F83" i="210" s="1"/>
  <c r="E43" i="211"/>
  <c r="D43" i="211" s="1"/>
  <c r="G43" i="211" s="1"/>
  <c r="F44" i="211" s="1"/>
  <c r="E83" i="211"/>
  <c r="D83" i="211" s="1"/>
  <c r="G83" i="211" s="1"/>
  <c r="F84" i="211" s="1"/>
  <c r="E96" i="200"/>
  <c r="D96" i="200" s="1"/>
  <c r="G96" i="200" s="1"/>
  <c r="F97" i="200" s="1"/>
  <c r="E91" i="204"/>
  <c r="D91" i="204" s="1"/>
  <c r="G91" i="204" s="1"/>
  <c r="F92" i="204" s="1"/>
  <c r="E46" i="181"/>
  <c r="D46" i="181" s="1"/>
  <c r="G46" i="181" s="1"/>
  <c r="F47" i="181" s="1"/>
  <c r="E46" i="180"/>
  <c r="D46" i="180" s="1"/>
  <c r="G46" i="180" s="1"/>
  <c r="F47" i="180" s="1"/>
  <c r="E18" i="181"/>
  <c r="D18" i="181" s="1"/>
  <c r="G18" i="181" s="1"/>
  <c r="F19" i="181" s="1"/>
  <c r="E19" i="180"/>
  <c r="D19" i="180" s="1"/>
  <c r="G19" i="180" s="1"/>
  <c r="F20" i="180" s="1"/>
  <c r="E19" i="178"/>
  <c r="D19" i="178" s="1"/>
  <c r="G19" i="178" s="1"/>
  <c r="F20" i="178" s="1"/>
  <c r="E19" i="179"/>
  <c r="D19" i="179" s="1"/>
  <c r="G19" i="179" s="1"/>
  <c r="F20" i="179" s="1"/>
  <c r="E84" i="211" l="1"/>
  <c r="D84" i="211" s="1"/>
  <c r="G84" i="211" s="1"/>
  <c r="F85" i="211" s="1"/>
  <c r="E92" i="204"/>
  <c r="D92" i="204" s="1"/>
  <c r="G92" i="204" s="1"/>
  <c r="F93" i="204" s="1"/>
  <c r="E83" i="210"/>
  <c r="D83" i="210" s="1"/>
  <c r="G83" i="210" s="1"/>
  <c r="F84" i="210" s="1"/>
  <c r="E43" i="210"/>
  <c r="D43" i="210" s="1"/>
  <c r="G43" i="210" s="1"/>
  <c r="F44" i="210" s="1"/>
  <c r="E97" i="200"/>
  <c r="D97" i="200" s="1"/>
  <c r="G97" i="200" s="1"/>
  <c r="F98" i="200" s="1"/>
  <c r="E44" i="211"/>
  <c r="D44" i="211" s="1"/>
  <c r="G44" i="211" s="1"/>
  <c r="F45" i="211" s="1"/>
  <c r="E93" i="202"/>
  <c r="D93" i="202" s="1"/>
  <c r="G93" i="202" s="1"/>
  <c r="F94" i="202" s="1"/>
  <c r="E47" i="181"/>
  <c r="D47" i="181" s="1"/>
  <c r="G47" i="181" s="1"/>
  <c r="F48" i="181" s="1"/>
  <c r="E47" i="180"/>
  <c r="D47" i="180" s="1"/>
  <c r="G47" i="180" s="1"/>
  <c r="F48" i="180" s="1"/>
  <c r="E20" i="180"/>
  <c r="D20" i="180" s="1"/>
  <c r="G20" i="180" s="1"/>
  <c r="F21" i="180" s="1"/>
  <c r="E19" i="181"/>
  <c r="D19" i="181" s="1"/>
  <c r="G19" i="181" s="1"/>
  <c r="F20" i="181" s="1"/>
  <c r="E20" i="179"/>
  <c r="D20" i="179" s="1"/>
  <c r="G20" i="179" s="1"/>
  <c r="F21" i="179" s="1"/>
  <c r="E20" i="178"/>
  <c r="D20" i="178" s="1"/>
  <c r="G20" i="178" s="1"/>
  <c r="F21" i="178" s="1"/>
  <c r="E98" i="200" l="1"/>
  <c r="D98" i="200" s="1"/>
  <c r="G98" i="200" s="1"/>
  <c r="F99" i="200" s="1"/>
  <c r="E94" i="202"/>
  <c r="D94" i="202" s="1"/>
  <c r="G94" i="202" s="1"/>
  <c r="F95" i="202" s="1"/>
  <c r="E84" i="210"/>
  <c r="D84" i="210" s="1"/>
  <c r="G84" i="210" s="1"/>
  <c r="F85" i="210" s="1"/>
  <c r="E93" i="204"/>
  <c r="D93" i="204" s="1"/>
  <c r="G93" i="204" s="1"/>
  <c r="F94" i="204" s="1"/>
  <c r="E45" i="211"/>
  <c r="D45" i="211" s="1"/>
  <c r="G45" i="211" s="1"/>
  <c r="F46" i="211" s="1"/>
  <c r="E44" i="210"/>
  <c r="D44" i="210" s="1"/>
  <c r="G44" i="210"/>
  <c r="F45" i="210" s="1"/>
  <c r="E85" i="211"/>
  <c r="D85" i="211" s="1"/>
  <c r="G85" i="211" s="1"/>
  <c r="F86" i="211" s="1"/>
  <c r="E48" i="181"/>
  <c r="D48" i="181" s="1"/>
  <c r="G48" i="181" s="1"/>
  <c r="F49" i="181" s="1"/>
  <c r="E48" i="180"/>
  <c r="D48" i="180" s="1"/>
  <c r="G48" i="180" s="1"/>
  <c r="F49" i="180" s="1"/>
  <c r="E20" i="181"/>
  <c r="D20" i="181" s="1"/>
  <c r="G20" i="181" s="1"/>
  <c r="F21" i="181" s="1"/>
  <c r="E21" i="180"/>
  <c r="D21" i="180" s="1"/>
  <c r="G21" i="180" s="1"/>
  <c r="F22" i="180" s="1"/>
  <c r="E21" i="178"/>
  <c r="D21" i="178" s="1"/>
  <c r="G21" i="178" s="1"/>
  <c r="F22" i="178" s="1"/>
  <c r="E21" i="179"/>
  <c r="D21" i="179" s="1"/>
  <c r="G21" i="179" s="1"/>
  <c r="F22" i="179" s="1"/>
  <c r="E46" i="211" l="1"/>
  <c r="D46" i="211" s="1"/>
  <c r="G46" i="211" s="1"/>
  <c r="F47" i="211" s="1"/>
  <c r="E86" i="211"/>
  <c r="D86" i="211" s="1"/>
  <c r="G86" i="211" s="1"/>
  <c r="F87" i="211" s="1"/>
  <c r="E94" i="204"/>
  <c r="D94" i="204" s="1"/>
  <c r="G94" i="204" s="1"/>
  <c r="F95" i="204" s="1"/>
  <c r="E95" i="202"/>
  <c r="D95" i="202" s="1"/>
  <c r="G95" i="202" s="1"/>
  <c r="F96" i="202" s="1"/>
  <c r="E85" i="210"/>
  <c r="D85" i="210" s="1"/>
  <c r="G85" i="210" s="1"/>
  <c r="F86" i="210" s="1"/>
  <c r="E99" i="200"/>
  <c r="D99" i="200" s="1"/>
  <c r="G99" i="200" s="1"/>
  <c r="F100" i="200" s="1"/>
  <c r="E45" i="210"/>
  <c r="D45" i="210" s="1"/>
  <c r="G45" i="210" s="1"/>
  <c r="F46" i="210" s="1"/>
  <c r="E49" i="181"/>
  <c r="D49" i="181" s="1"/>
  <c r="G49" i="181" s="1"/>
  <c r="F50" i="181" s="1"/>
  <c r="E49" i="180"/>
  <c r="D49" i="180" s="1"/>
  <c r="G49" i="180" s="1"/>
  <c r="F50" i="180" s="1"/>
  <c r="E22" i="180"/>
  <c r="D22" i="180" s="1"/>
  <c r="G22" i="180" s="1"/>
  <c r="F23" i="180" s="1"/>
  <c r="E21" i="181"/>
  <c r="D21" i="181" s="1"/>
  <c r="G21" i="181" s="1"/>
  <c r="F22" i="181" s="1"/>
  <c r="E22" i="179"/>
  <c r="D22" i="179" s="1"/>
  <c r="G22" i="179" s="1"/>
  <c r="F23" i="179" s="1"/>
  <c r="E22" i="178"/>
  <c r="D22" i="178" s="1"/>
  <c r="G22" i="178" s="1"/>
  <c r="F23" i="178" s="1"/>
  <c r="E86" i="210" l="1"/>
  <c r="D86" i="210" s="1"/>
  <c r="G86" i="210" s="1"/>
  <c r="F87" i="210" s="1"/>
  <c r="E46" i="210"/>
  <c r="D46" i="210" s="1"/>
  <c r="G46" i="210" s="1"/>
  <c r="F47" i="210" s="1"/>
  <c r="E95" i="204"/>
  <c r="D95" i="204" s="1"/>
  <c r="G95" i="204" s="1"/>
  <c r="F96" i="204" s="1"/>
  <c r="E87" i="211"/>
  <c r="D87" i="211" s="1"/>
  <c r="G87" i="211" s="1"/>
  <c r="F88" i="211" s="1"/>
  <c r="E100" i="200"/>
  <c r="D100" i="200" s="1"/>
  <c r="G100" i="200" s="1"/>
  <c r="F101" i="200" s="1"/>
  <c r="E96" i="202"/>
  <c r="D96" i="202" s="1"/>
  <c r="G96" i="202" s="1"/>
  <c r="F97" i="202" s="1"/>
  <c r="E47" i="211"/>
  <c r="D47" i="211" s="1"/>
  <c r="G47" i="211"/>
  <c r="F48" i="211" s="1"/>
  <c r="E50" i="181"/>
  <c r="D50" i="181" s="1"/>
  <c r="G50" i="181" s="1"/>
  <c r="F51" i="181" s="1"/>
  <c r="E50" i="180"/>
  <c r="D50" i="180" s="1"/>
  <c r="G50" i="180" s="1"/>
  <c r="F51" i="180" s="1"/>
  <c r="E22" i="181"/>
  <c r="D22" i="181" s="1"/>
  <c r="G22" i="181" s="1"/>
  <c r="F23" i="181" s="1"/>
  <c r="E23" i="180"/>
  <c r="D23" i="180" s="1"/>
  <c r="G23" i="180" s="1"/>
  <c r="F24" i="180" s="1"/>
  <c r="E23" i="179"/>
  <c r="D23" i="179" s="1"/>
  <c r="G23" i="179" s="1"/>
  <c r="F24" i="179" s="1"/>
  <c r="E23" i="178"/>
  <c r="D23" i="178" s="1"/>
  <c r="G23" i="178" s="1"/>
  <c r="F24" i="178" s="1"/>
  <c r="E97" i="202" l="1"/>
  <c r="D97" i="202" s="1"/>
  <c r="G97" i="202" s="1"/>
  <c r="F98" i="202" s="1"/>
  <c r="E88" i="211"/>
  <c r="D88" i="211" s="1"/>
  <c r="G88" i="211" s="1"/>
  <c r="F89" i="211" s="1"/>
  <c r="E47" i="210"/>
  <c r="D47" i="210" s="1"/>
  <c r="G47" i="210" s="1"/>
  <c r="F48" i="210" s="1"/>
  <c r="E101" i="200"/>
  <c r="D101" i="200" s="1"/>
  <c r="G101" i="200" s="1"/>
  <c r="F102" i="200" s="1"/>
  <c r="E96" i="204"/>
  <c r="D96" i="204" s="1"/>
  <c r="G96" i="204" s="1"/>
  <c r="F97" i="204" s="1"/>
  <c r="E87" i="210"/>
  <c r="D87" i="210" s="1"/>
  <c r="G87" i="210" s="1"/>
  <c r="F88" i="210" s="1"/>
  <c r="E48" i="211"/>
  <c r="D48" i="211" s="1"/>
  <c r="G48" i="211" s="1"/>
  <c r="F49" i="211" s="1"/>
  <c r="E51" i="181"/>
  <c r="D51" i="181" s="1"/>
  <c r="G51" i="181" s="1"/>
  <c r="F52" i="181" s="1"/>
  <c r="E51" i="180"/>
  <c r="D51" i="180" s="1"/>
  <c r="G51" i="180" s="1"/>
  <c r="F52" i="180" s="1"/>
  <c r="E23" i="181"/>
  <c r="D23" i="181" s="1"/>
  <c r="G23" i="181" s="1"/>
  <c r="F24" i="181" s="1"/>
  <c r="E24" i="180"/>
  <c r="D24" i="180" s="1"/>
  <c r="G24" i="180" s="1"/>
  <c r="F25" i="180" s="1"/>
  <c r="E24" i="179"/>
  <c r="D24" i="179" s="1"/>
  <c r="G24" i="179" s="1"/>
  <c r="F25" i="179" s="1"/>
  <c r="E24" i="178"/>
  <c r="D24" i="178" s="1"/>
  <c r="G24" i="178" s="1"/>
  <c r="F25" i="178" s="1"/>
  <c r="E88" i="210" l="1"/>
  <c r="D88" i="210" s="1"/>
  <c r="G88" i="210" s="1"/>
  <c r="F89" i="210" s="1"/>
  <c r="E49" i="211"/>
  <c r="D49" i="211" s="1"/>
  <c r="G49" i="211" s="1"/>
  <c r="F50" i="211" s="1"/>
  <c r="E97" i="204"/>
  <c r="D97" i="204" s="1"/>
  <c r="G97" i="204" s="1"/>
  <c r="F98" i="204" s="1"/>
  <c r="E102" i="200"/>
  <c r="D102" i="200" s="1"/>
  <c r="G102" i="200" s="1"/>
  <c r="F103" i="200" s="1"/>
  <c r="E48" i="210"/>
  <c r="D48" i="210" s="1"/>
  <c r="G48" i="210" s="1"/>
  <c r="F49" i="210" s="1"/>
  <c r="E89" i="211"/>
  <c r="D89" i="211" s="1"/>
  <c r="G89" i="211" s="1"/>
  <c r="F90" i="211" s="1"/>
  <c r="E98" i="202"/>
  <c r="D98" i="202" s="1"/>
  <c r="G98" i="202" s="1"/>
  <c r="F99" i="202" s="1"/>
  <c r="E52" i="181"/>
  <c r="D52" i="181" s="1"/>
  <c r="G52" i="181" s="1"/>
  <c r="F53" i="181" s="1"/>
  <c r="E52" i="180"/>
  <c r="D52" i="180" s="1"/>
  <c r="G52" i="180" s="1"/>
  <c r="F53" i="180" s="1"/>
  <c r="E25" i="180"/>
  <c r="D25" i="180" s="1"/>
  <c r="G25" i="180" s="1"/>
  <c r="F26" i="180" s="1"/>
  <c r="E24" i="181"/>
  <c r="D24" i="181" s="1"/>
  <c r="G24" i="181" s="1"/>
  <c r="F25" i="181" s="1"/>
  <c r="E25" i="178"/>
  <c r="D25" i="178" s="1"/>
  <c r="G25" i="178" s="1"/>
  <c r="F26" i="178" s="1"/>
  <c r="E25" i="179"/>
  <c r="D25" i="179" s="1"/>
  <c r="G25" i="179" s="1"/>
  <c r="F26" i="179" s="1"/>
  <c r="E90" i="211" l="1"/>
  <c r="D90" i="211" s="1"/>
  <c r="G90" i="211" s="1"/>
  <c r="F91" i="211" s="1"/>
  <c r="E98" i="204"/>
  <c r="D98" i="204" s="1"/>
  <c r="G98" i="204"/>
  <c r="F99" i="204" s="1"/>
  <c r="E49" i="210"/>
  <c r="D49" i="210" s="1"/>
  <c r="G49" i="210" s="1"/>
  <c r="F50" i="210" s="1"/>
  <c r="E50" i="211"/>
  <c r="D50" i="211" s="1"/>
  <c r="G50" i="211" s="1"/>
  <c r="F51" i="211" s="1"/>
  <c r="E99" i="202"/>
  <c r="D99" i="202" s="1"/>
  <c r="G99" i="202" s="1"/>
  <c r="F100" i="202" s="1"/>
  <c r="E103" i="200"/>
  <c r="D103" i="200" s="1"/>
  <c r="G103" i="200" s="1"/>
  <c r="F104" i="200" s="1"/>
  <c r="E89" i="210"/>
  <c r="D89" i="210" s="1"/>
  <c r="G89" i="210" s="1"/>
  <c r="F90" i="210" s="1"/>
  <c r="E53" i="181"/>
  <c r="D53" i="181" s="1"/>
  <c r="G53" i="181" s="1"/>
  <c r="F54" i="181" s="1"/>
  <c r="E53" i="180"/>
  <c r="D53" i="180" s="1"/>
  <c r="G53" i="180" s="1"/>
  <c r="F54" i="180" s="1"/>
  <c r="E25" i="181"/>
  <c r="D25" i="181" s="1"/>
  <c r="G25" i="181" s="1"/>
  <c r="F26" i="181" s="1"/>
  <c r="E26" i="180"/>
  <c r="D26" i="180" s="1"/>
  <c r="G26" i="180" s="1"/>
  <c r="F27" i="180" s="1"/>
  <c r="E26" i="179"/>
  <c r="D26" i="179" s="1"/>
  <c r="G26" i="179" s="1"/>
  <c r="F27" i="179" s="1"/>
  <c r="E26" i="178"/>
  <c r="D26" i="178" s="1"/>
  <c r="G26" i="178" s="1"/>
  <c r="F27" i="178" s="1"/>
  <c r="E90" i="210" l="1"/>
  <c r="D90" i="210" s="1"/>
  <c r="G90" i="210" s="1"/>
  <c r="F91" i="210" s="1"/>
  <c r="E51" i="211"/>
  <c r="D51" i="211" s="1"/>
  <c r="G51" i="211"/>
  <c r="F52" i="211" s="1"/>
  <c r="G52" i="211" s="1"/>
  <c r="E104" i="200"/>
  <c r="D104" i="200" s="1"/>
  <c r="G104" i="200" s="1"/>
  <c r="F105" i="200" s="1"/>
  <c r="E50" i="210"/>
  <c r="D50" i="210" s="1"/>
  <c r="G50" i="210" s="1"/>
  <c r="F51" i="210" s="1"/>
  <c r="E100" i="202"/>
  <c r="D100" i="202" s="1"/>
  <c r="G100" i="202" s="1"/>
  <c r="F101" i="202" s="1"/>
  <c r="E91" i="211"/>
  <c r="D91" i="211" s="1"/>
  <c r="G91" i="211" s="1"/>
  <c r="F92" i="211" s="1"/>
  <c r="G92" i="211" s="1"/>
  <c r="E99" i="204"/>
  <c r="D99" i="204" s="1"/>
  <c r="G99" i="204" s="1"/>
  <c r="F100" i="204" s="1"/>
  <c r="E54" i="181"/>
  <c r="D54" i="181" s="1"/>
  <c r="G54" i="181" s="1"/>
  <c r="F55" i="181" s="1"/>
  <c r="E54" i="180"/>
  <c r="D54" i="180" s="1"/>
  <c r="G54" i="180" s="1"/>
  <c r="F55" i="180" s="1"/>
  <c r="E26" i="181"/>
  <c r="D26" i="181" s="1"/>
  <c r="G26" i="181" s="1"/>
  <c r="F27" i="181" s="1"/>
  <c r="E27" i="180"/>
  <c r="D27" i="180" s="1"/>
  <c r="G27" i="180" s="1"/>
  <c r="F28" i="180" s="1"/>
  <c r="G28" i="180" s="1"/>
  <c r="E27" i="178"/>
  <c r="D27" i="178" s="1"/>
  <c r="G27" i="178" s="1"/>
  <c r="F28" i="178" s="1"/>
  <c r="G28" i="178" s="1"/>
  <c r="E27" i="179"/>
  <c r="D27" i="179" s="1"/>
  <c r="G27" i="179" s="1"/>
  <c r="F28" i="179" s="1"/>
  <c r="G28" i="179" s="1"/>
  <c r="E100" i="204" l="1"/>
  <c r="D100" i="204" s="1"/>
  <c r="G100" i="204" s="1"/>
  <c r="F101" i="204" s="1"/>
  <c r="E51" i="210"/>
  <c r="D51" i="210" s="1"/>
  <c r="G51" i="210" s="1"/>
  <c r="F52" i="210" s="1"/>
  <c r="G52" i="210" s="1"/>
  <c r="E101" i="202"/>
  <c r="D101" i="202" s="1"/>
  <c r="G101" i="202" s="1"/>
  <c r="F102" i="202" s="1"/>
  <c r="E105" i="200"/>
  <c r="D105" i="200" s="1"/>
  <c r="G105" i="200" s="1"/>
  <c r="F106" i="200" s="1"/>
  <c r="G106" i="200" s="1"/>
  <c r="E91" i="210"/>
  <c r="D91" i="210" s="1"/>
  <c r="G91" i="210" s="1"/>
  <c r="F92" i="210" s="1"/>
  <c r="G92" i="210" s="1"/>
  <c r="E55" i="181"/>
  <c r="D55" i="181" s="1"/>
  <c r="G55" i="181" s="1"/>
  <c r="F56" i="181" s="1"/>
  <c r="E55" i="180"/>
  <c r="D55" i="180" s="1"/>
  <c r="G55" i="180" s="1"/>
  <c r="F56" i="180" s="1"/>
  <c r="E27" i="181"/>
  <c r="D27" i="181" s="1"/>
  <c r="G27" i="181" s="1"/>
  <c r="F28" i="181" s="1"/>
  <c r="G28" i="181" s="1"/>
  <c r="E102" i="202" l="1"/>
  <c r="D102" i="202" s="1"/>
  <c r="G102" i="202" s="1"/>
  <c r="F103" i="202" s="1"/>
  <c r="E101" i="204"/>
  <c r="D101" i="204" s="1"/>
  <c r="G101" i="204" s="1"/>
  <c r="F102" i="204" s="1"/>
  <c r="D56" i="181"/>
  <c r="G56" i="181" s="1"/>
  <c r="D56" i="180"/>
  <c r="G56" i="180" s="1"/>
  <c r="E102" i="204" l="1"/>
  <c r="D102" i="204" s="1"/>
  <c r="G102" i="204" s="1"/>
  <c r="F103" i="204" s="1"/>
  <c r="E103" i="202"/>
  <c r="D103" i="202" s="1"/>
  <c r="G103" i="202" s="1"/>
  <c r="F104" i="202" s="1"/>
  <c r="H2" i="175"/>
  <c r="C39" i="175" s="1"/>
  <c r="E2" i="175"/>
  <c r="C33" i="175" s="1"/>
  <c r="J2" i="175"/>
  <c r="K2" i="175"/>
  <c r="L2" i="175"/>
  <c r="M2" i="175"/>
  <c r="J2" i="174"/>
  <c r="C40" i="174" s="1"/>
  <c r="E2" i="174"/>
  <c r="C34" i="174" s="1"/>
  <c r="B48" i="175"/>
  <c r="B47" i="175"/>
  <c r="B46" i="175"/>
  <c r="B45" i="175"/>
  <c r="B44" i="175"/>
  <c r="B43" i="175"/>
  <c r="B42" i="175"/>
  <c r="B41" i="175"/>
  <c r="B40" i="175"/>
  <c r="B39" i="175"/>
  <c r="B38" i="175"/>
  <c r="B37" i="175"/>
  <c r="B36" i="175"/>
  <c r="B35" i="175"/>
  <c r="B34" i="175"/>
  <c r="B33" i="175"/>
  <c r="B32" i="175"/>
  <c r="B31" i="175"/>
  <c r="B30" i="175"/>
  <c r="B29" i="175"/>
  <c r="B28" i="175"/>
  <c r="B27" i="175"/>
  <c r="B26" i="175"/>
  <c r="B25" i="175"/>
  <c r="B24" i="175"/>
  <c r="B23" i="175"/>
  <c r="B22" i="175"/>
  <c r="B21" i="175"/>
  <c r="B20" i="175"/>
  <c r="B19" i="175"/>
  <c r="B18" i="175"/>
  <c r="B17" i="175"/>
  <c r="B16" i="175"/>
  <c r="B15" i="175"/>
  <c r="B14" i="175"/>
  <c r="B13" i="175"/>
  <c r="B12" i="175"/>
  <c r="B11" i="175"/>
  <c r="B10" i="175"/>
  <c r="B9" i="175"/>
  <c r="B8" i="175"/>
  <c r="B7" i="175"/>
  <c r="B6" i="175"/>
  <c r="B5" i="175"/>
  <c r="G4" i="175"/>
  <c r="F5" i="175" s="1"/>
  <c r="E4" i="175"/>
  <c r="B4" i="175"/>
  <c r="C2" i="175"/>
  <c r="C27" i="175" s="1"/>
  <c r="B48" i="174"/>
  <c r="B47" i="174"/>
  <c r="B46" i="174"/>
  <c r="B45" i="174"/>
  <c r="B44" i="174"/>
  <c r="B43" i="174"/>
  <c r="B42" i="174"/>
  <c r="B41" i="174"/>
  <c r="B40" i="174"/>
  <c r="B39" i="174"/>
  <c r="B38" i="174"/>
  <c r="B37" i="174"/>
  <c r="B36" i="174"/>
  <c r="B35" i="174"/>
  <c r="B34" i="174"/>
  <c r="B33" i="174"/>
  <c r="B32" i="174"/>
  <c r="B31" i="174"/>
  <c r="B30" i="174"/>
  <c r="C29" i="174"/>
  <c r="B29" i="174"/>
  <c r="B28" i="174"/>
  <c r="B27" i="174"/>
  <c r="B26" i="174"/>
  <c r="B25" i="174"/>
  <c r="B24" i="174"/>
  <c r="B23" i="174"/>
  <c r="B22" i="174"/>
  <c r="B21" i="174"/>
  <c r="B20" i="174"/>
  <c r="B19" i="174"/>
  <c r="B18" i="174"/>
  <c r="B17" i="174"/>
  <c r="B16" i="174"/>
  <c r="B15" i="174"/>
  <c r="B14" i="174"/>
  <c r="B13" i="174"/>
  <c r="B12" i="174"/>
  <c r="B11" i="174"/>
  <c r="B10" i="174"/>
  <c r="B9" i="174"/>
  <c r="B8" i="174"/>
  <c r="B7" i="174"/>
  <c r="B6" i="174"/>
  <c r="B5" i="174"/>
  <c r="G4" i="174"/>
  <c r="F5" i="174" s="1"/>
  <c r="B4" i="174"/>
  <c r="E4" i="174" s="1"/>
  <c r="M2" i="174"/>
  <c r="L2" i="174"/>
  <c r="H2" i="174"/>
  <c r="G2" i="174"/>
  <c r="C2" i="174"/>
  <c r="C27" i="174" s="1"/>
  <c r="H2" i="170"/>
  <c r="C43" i="170" s="1"/>
  <c r="E2" i="170"/>
  <c r="C33" i="170" s="1"/>
  <c r="C32" i="170"/>
  <c r="C35" i="170"/>
  <c r="C36" i="170"/>
  <c r="C41" i="170"/>
  <c r="H2" i="169"/>
  <c r="C45" i="169" s="1"/>
  <c r="C43" i="169"/>
  <c r="C50" i="169"/>
  <c r="C42" i="169"/>
  <c r="E2" i="169"/>
  <c r="C33" i="169" s="1"/>
  <c r="C32" i="169"/>
  <c r="C40" i="169"/>
  <c r="B50" i="170"/>
  <c r="B49" i="170"/>
  <c r="B48" i="170"/>
  <c r="B47" i="170"/>
  <c r="B46" i="170"/>
  <c r="B45" i="170"/>
  <c r="B44" i="170"/>
  <c r="B43" i="170"/>
  <c r="B42" i="170"/>
  <c r="B41" i="170"/>
  <c r="B40" i="170"/>
  <c r="B39" i="170"/>
  <c r="B38" i="170"/>
  <c r="B37" i="170"/>
  <c r="B36" i="170"/>
  <c r="B35" i="170"/>
  <c r="B34" i="170"/>
  <c r="B33" i="170"/>
  <c r="B32" i="170"/>
  <c r="B31" i="170"/>
  <c r="B30" i="170"/>
  <c r="B29" i="170"/>
  <c r="B28" i="170"/>
  <c r="B27" i="170"/>
  <c r="C26" i="170"/>
  <c r="B26" i="170"/>
  <c r="B25" i="170"/>
  <c r="B24" i="170"/>
  <c r="B23" i="170"/>
  <c r="C22" i="170"/>
  <c r="B22" i="170"/>
  <c r="B21" i="170"/>
  <c r="B20" i="170"/>
  <c r="B19" i="170"/>
  <c r="B18" i="170"/>
  <c r="B17" i="170"/>
  <c r="B16" i="170"/>
  <c r="B15" i="170"/>
  <c r="B14" i="170"/>
  <c r="B13" i="170"/>
  <c r="B12" i="170"/>
  <c r="B11" i="170"/>
  <c r="B10" i="170"/>
  <c r="B9" i="170"/>
  <c r="B8" i="170"/>
  <c r="C7" i="170"/>
  <c r="B7" i="170"/>
  <c r="B6" i="170"/>
  <c r="B5" i="170"/>
  <c r="G4" i="170"/>
  <c r="F5" i="170" s="1"/>
  <c r="B4" i="170"/>
  <c r="E4" i="170" s="1"/>
  <c r="C2" i="170"/>
  <c r="C25" i="170" s="1"/>
  <c r="B50" i="169"/>
  <c r="B49" i="169"/>
  <c r="B48" i="169"/>
  <c r="B47" i="169"/>
  <c r="B46" i="169"/>
  <c r="B45" i="169"/>
  <c r="B44" i="169"/>
  <c r="B43" i="169"/>
  <c r="B42" i="169"/>
  <c r="B41" i="169"/>
  <c r="B40" i="169"/>
  <c r="B39" i="169"/>
  <c r="B38" i="169"/>
  <c r="B37" i="169"/>
  <c r="B36" i="169"/>
  <c r="B35" i="169"/>
  <c r="B34" i="169"/>
  <c r="B33" i="169"/>
  <c r="B32" i="169"/>
  <c r="B31" i="169"/>
  <c r="B30" i="169"/>
  <c r="B29" i="169"/>
  <c r="B28" i="169"/>
  <c r="B27" i="169"/>
  <c r="B26" i="169"/>
  <c r="B25" i="169"/>
  <c r="B24" i="169"/>
  <c r="B23" i="169"/>
  <c r="B22" i="169"/>
  <c r="B21" i="169"/>
  <c r="B20" i="169"/>
  <c r="B19" i="169"/>
  <c r="B18" i="169"/>
  <c r="B17" i="169"/>
  <c r="B16" i="169"/>
  <c r="C15" i="169"/>
  <c r="B15" i="169"/>
  <c r="B14" i="169"/>
  <c r="B13" i="169"/>
  <c r="B12" i="169"/>
  <c r="B11" i="169"/>
  <c r="C10" i="169"/>
  <c r="B10" i="169"/>
  <c r="B9" i="169"/>
  <c r="B8" i="169"/>
  <c r="B7" i="169"/>
  <c r="B6" i="169"/>
  <c r="B5" i="169"/>
  <c r="G4" i="169"/>
  <c r="F5" i="169" s="1"/>
  <c r="B4" i="169"/>
  <c r="E4" i="169" s="1"/>
  <c r="C2" i="169"/>
  <c r="C25" i="169" s="1"/>
  <c r="H2" i="168"/>
  <c r="C38" i="168" s="1"/>
  <c r="E37" i="168"/>
  <c r="F37" i="168"/>
  <c r="C40" i="168"/>
  <c r="C41" i="168"/>
  <c r="C42" i="168"/>
  <c r="C43" i="168"/>
  <c r="C44" i="168"/>
  <c r="C45" i="168"/>
  <c r="C46" i="168"/>
  <c r="C47" i="168"/>
  <c r="C48" i="168"/>
  <c r="C37" i="168"/>
  <c r="E2" i="168"/>
  <c r="C33" i="168" s="1"/>
  <c r="C31" i="168"/>
  <c r="C32" i="168"/>
  <c r="C35" i="168"/>
  <c r="C36" i="168"/>
  <c r="E29" i="168"/>
  <c r="M2" i="168"/>
  <c r="L2" i="168"/>
  <c r="K2" i="168"/>
  <c r="J2" i="168"/>
  <c r="C30" i="168"/>
  <c r="C29" i="168"/>
  <c r="F29" i="168"/>
  <c r="B29" i="168"/>
  <c r="B48" i="168"/>
  <c r="B47" i="168"/>
  <c r="B46" i="168"/>
  <c r="B45" i="168"/>
  <c r="B44" i="168"/>
  <c r="B43" i="168"/>
  <c r="B42" i="168"/>
  <c r="B41" i="168"/>
  <c r="B40" i="168"/>
  <c r="B39" i="168"/>
  <c r="B38" i="168"/>
  <c r="B37" i="168"/>
  <c r="B36" i="168"/>
  <c r="B35" i="168"/>
  <c r="B34" i="168"/>
  <c r="B33" i="168"/>
  <c r="B32" i="168"/>
  <c r="B31" i="168"/>
  <c r="B30" i="168"/>
  <c r="J2" i="167"/>
  <c r="C38" i="167" s="1"/>
  <c r="M2" i="167"/>
  <c r="L2" i="167"/>
  <c r="E2" i="167"/>
  <c r="C33" i="167" s="1"/>
  <c r="H2" i="167"/>
  <c r="G2" i="167"/>
  <c r="B29" i="167"/>
  <c r="B28" i="168"/>
  <c r="B27" i="168"/>
  <c r="C26" i="168"/>
  <c r="B26" i="168"/>
  <c r="C25" i="168"/>
  <c r="B25" i="168"/>
  <c r="B24" i="168"/>
  <c r="B23" i="168"/>
  <c r="C22" i="168"/>
  <c r="B22" i="168"/>
  <c r="C21" i="168"/>
  <c r="B21" i="168"/>
  <c r="B20" i="168"/>
  <c r="B19" i="168"/>
  <c r="C18" i="168"/>
  <c r="B18" i="168"/>
  <c r="C17" i="168"/>
  <c r="B17" i="168"/>
  <c r="B16" i="168"/>
  <c r="B15" i="168"/>
  <c r="C14" i="168"/>
  <c r="B14" i="168"/>
  <c r="C13" i="168"/>
  <c r="B13" i="168"/>
  <c r="B12" i="168"/>
  <c r="B11" i="168"/>
  <c r="C10" i="168"/>
  <c r="B10" i="168"/>
  <c r="C9" i="168"/>
  <c r="B9" i="168"/>
  <c r="B8" i="168"/>
  <c r="B7" i="168"/>
  <c r="C6" i="168"/>
  <c r="B6" i="168"/>
  <c r="F5" i="168"/>
  <c r="B5" i="168"/>
  <c r="G4" i="168"/>
  <c r="B4" i="168"/>
  <c r="E4" i="168" s="1"/>
  <c r="C2" i="168"/>
  <c r="C5" i="168" s="1"/>
  <c r="B48" i="167"/>
  <c r="B47" i="167"/>
  <c r="B46" i="167"/>
  <c r="B45" i="167"/>
  <c r="B44" i="167"/>
  <c r="B43" i="167"/>
  <c r="B42" i="167"/>
  <c r="B41" i="167"/>
  <c r="B40" i="167"/>
  <c r="B39" i="167"/>
  <c r="B38" i="167"/>
  <c r="B37" i="167"/>
  <c r="B36" i="167"/>
  <c r="B35" i="167"/>
  <c r="B34" i="167"/>
  <c r="B33" i="167"/>
  <c r="B32" i="167"/>
  <c r="B31" i="167"/>
  <c r="B30" i="167"/>
  <c r="B28" i="167"/>
  <c r="B27" i="167"/>
  <c r="B26" i="167"/>
  <c r="B25" i="167"/>
  <c r="B24" i="167"/>
  <c r="B23" i="167"/>
  <c r="B22" i="167"/>
  <c r="B21" i="167"/>
  <c r="B20" i="167"/>
  <c r="B19" i="167"/>
  <c r="B18" i="167"/>
  <c r="B17" i="167"/>
  <c r="B16" i="167"/>
  <c r="B15" i="167"/>
  <c r="B14" i="167"/>
  <c r="B13" i="167"/>
  <c r="B12" i="167"/>
  <c r="B11" i="167"/>
  <c r="B10" i="167"/>
  <c r="B9" i="167"/>
  <c r="B8" i="167"/>
  <c r="B7" i="167"/>
  <c r="B6" i="167"/>
  <c r="B5" i="167"/>
  <c r="G4" i="167"/>
  <c r="F5" i="167" s="1"/>
  <c r="B4" i="167"/>
  <c r="E4" i="167" s="1"/>
  <c r="C2" i="167"/>
  <c r="C17" i="167" s="1"/>
  <c r="H2" i="166"/>
  <c r="C44" i="166" s="1"/>
  <c r="E2" i="166"/>
  <c r="B31" i="166"/>
  <c r="B32" i="166"/>
  <c r="B33" i="166"/>
  <c r="B34" i="166"/>
  <c r="B35" i="166"/>
  <c r="B36" i="166"/>
  <c r="B37" i="166"/>
  <c r="B38" i="166"/>
  <c r="B39" i="166"/>
  <c r="B40" i="166"/>
  <c r="B41" i="166"/>
  <c r="B42" i="166"/>
  <c r="B43" i="166"/>
  <c r="B44" i="166"/>
  <c r="B45" i="166"/>
  <c r="B46" i="166"/>
  <c r="B47" i="166"/>
  <c r="B48" i="166"/>
  <c r="B49" i="166"/>
  <c r="B50" i="166"/>
  <c r="B30" i="166"/>
  <c r="B29" i="166"/>
  <c r="C2" i="166"/>
  <c r="C16" i="166" s="1"/>
  <c r="B6" i="166"/>
  <c r="B7" i="166"/>
  <c r="B8" i="166"/>
  <c r="B9" i="166"/>
  <c r="B10" i="166"/>
  <c r="B11" i="166"/>
  <c r="B12" i="166"/>
  <c r="B13" i="166"/>
  <c r="B14" i="166"/>
  <c r="B15" i="166"/>
  <c r="B16" i="166"/>
  <c r="B17" i="166"/>
  <c r="B18" i="166"/>
  <c r="B19" i="166"/>
  <c r="B20" i="166"/>
  <c r="B21" i="166"/>
  <c r="B22" i="166"/>
  <c r="B23" i="166"/>
  <c r="B24" i="166"/>
  <c r="B25" i="166"/>
  <c r="B26" i="166"/>
  <c r="B27" i="166"/>
  <c r="B28" i="166"/>
  <c r="B5" i="166"/>
  <c r="G4" i="166"/>
  <c r="F5" i="166" s="1"/>
  <c r="B4" i="166"/>
  <c r="E4" i="166" s="1"/>
  <c r="H2" i="165"/>
  <c r="C44" i="165" s="1"/>
  <c r="C43" i="165"/>
  <c r="E2" i="165"/>
  <c r="C36" i="165" s="1"/>
  <c r="C30" i="165"/>
  <c r="B50" i="165"/>
  <c r="B49" i="165"/>
  <c r="B48" i="165"/>
  <c r="B47" i="165"/>
  <c r="B46" i="165"/>
  <c r="B45" i="165"/>
  <c r="B44" i="165"/>
  <c r="B43" i="165"/>
  <c r="B42" i="165"/>
  <c r="B41" i="165"/>
  <c r="B40" i="165"/>
  <c r="B39" i="165"/>
  <c r="B38" i="165"/>
  <c r="B37" i="165"/>
  <c r="B36" i="165"/>
  <c r="B35" i="165"/>
  <c r="B34" i="165"/>
  <c r="B33" i="165"/>
  <c r="B32" i="165"/>
  <c r="B31" i="165"/>
  <c r="B30" i="165"/>
  <c r="B29" i="165"/>
  <c r="C2" i="165"/>
  <c r="C21" i="165" s="1"/>
  <c r="B28" i="165"/>
  <c r="B27" i="165"/>
  <c r="B26" i="165"/>
  <c r="B25" i="165"/>
  <c r="B24" i="165"/>
  <c r="B23" i="165"/>
  <c r="B22" i="165"/>
  <c r="B21" i="165"/>
  <c r="B20" i="165"/>
  <c r="B19" i="165"/>
  <c r="B18" i="165"/>
  <c r="B17" i="165"/>
  <c r="B16" i="165"/>
  <c r="B15" i="165"/>
  <c r="B14" i="165"/>
  <c r="B13" i="165"/>
  <c r="B12" i="165"/>
  <c r="B11" i="165"/>
  <c r="B10" i="165"/>
  <c r="B9" i="165"/>
  <c r="B8" i="165"/>
  <c r="B7" i="165"/>
  <c r="B6" i="165"/>
  <c r="B5" i="165"/>
  <c r="G4" i="165"/>
  <c r="F5" i="165" s="1"/>
  <c r="B4" i="165"/>
  <c r="E4" i="165" s="1"/>
  <c r="E104" i="202" l="1"/>
  <c r="D104" i="202" s="1"/>
  <c r="G104" i="202" s="1"/>
  <c r="F105" i="202" s="1"/>
  <c r="E103" i="204"/>
  <c r="D103" i="204" s="1"/>
  <c r="G103" i="204" s="1"/>
  <c r="F104" i="204" s="1"/>
  <c r="C46" i="175"/>
  <c r="C45" i="175"/>
  <c r="C44" i="175"/>
  <c r="C42" i="175"/>
  <c r="C36" i="175"/>
  <c r="C38" i="175"/>
  <c r="C43" i="175"/>
  <c r="C37" i="175"/>
  <c r="C41" i="175"/>
  <c r="C48" i="175"/>
  <c r="C40" i="175"/>
  <c r="C47" i="175"/>
  <c r="C35" i="175"/>
  <c r="C29" i="175"/>
  <c r="C32" i="175"/>
  <c r="C31" i="175"/>
  <c r="C34" i="175"/>
  <c r="C30" i="175"/>
  <c r="E5" i="174"/>
  <c r="C32" i="174"/>
  <c r="C47" i="174"/>
  <c r="C8" i="174"/>
  <c r="C46" i="174"/>
  <c r="C36" i="174"/>
  <c r="C45" i="174"/>
  <c r="C33" i="174"/>
  <c r="C43" i="174"/>
  <c r="C42" i="174"/>
  <c r="C31" i="174"/>
  <c r="C39" i="174"/>
  <c r="C38" i="174"/>
  <c r="C44" i="174"/>
  <c r="C37" i="174"/>
  <c r="C41" i="174"/>
  <c r="C48" i="174"/>
  <c r="C35" i="174"/>
  <c r="C30" i="174"/>
  <c r="C6" i="174"/>
  <c r="C10" i="174"/>
  <c r="C14" i="174"/>
  <c r="C18" i="174"/>
  <c r="C22" i="174"/>
  <c r="C26" i="174"/>
  <c r="C6" i="175"/>
  <c r="C10" i="175"/>
  <c r="C14" i="175"/>
  <c r="C18" i="175"/>
  <c r="C22" i="175"/>
  <c r="C26" i="175"/>
  <c r="C5" i="174"/>
  <c r="C9" i="174"/>
  <c r="C13" i="174"/>
  <c r="C17" i="174"/>
  <c r="C21" i="174"/>
  <c r="C25" i="174"/>
  <c r="C5" i="175"/>
  <c r="D5" i="175" s="1"/>
  <c r="G5" i="175" s="1"/>
  <c r="F6" i="175" s="1"/>
  <c r="C9" i="175"/>
  <c r="C13" i="175"/>
  <c r="C17" i="175"/>
  <c r="C21" i="175"/>
  <c r="C25" i="175"/>
  <c r="C12" i="174"/>
  <c r="C16" i="174"/>
  <c r="C20" i="174"/>
  <c r="C24" i="174"/>
  <c r="C28" i="174"/>
  <c r="D28" i="174" s="1"/>
  <c r="E5" i="175"/>
  <c r="C8" i="175"/>
  <c r="C12" i="175"/>
  <c r="C16" i="175"/>
  <c r="C20" i="175"/>
  <c r="C24" i="175"/>
  <c r="C28" i="175"/>
  <c r="D28" i="175" s="1"/>
  <c r="C7" i="174"/>
  <c r="C11" i="174"/>
  <c r="C15" i="174"/>
  <c r="C19" i="174"/>
  <c r="C23" i="174"/>
  <c r="C7" i="175"/>
  <c r="C11" i="175"/>
  <c r="C15" i="175"/>
  <c r="C19" i="175"/>
  <c r="C23" i="175"/>
  <c r="C42" i="170"/>
  <c r="C5" i="170"/>
  <c r="C10" i="170"/>
  <c r="C40" i="170"/>
  <c r="C50" i="170"/>
  <c r="C30" i="170"/>
  <c r="C39" i="170"/>
  <c r="C49" i="170"/>
  <c r="C6" i="170"/>
  <c r="C18" i="170"/>
  <c r="C38" i="170"/>
  <c r="C48" i="170"/>
  <c r="C37" i="170"/>
  <c r="C47" i="170"/>
  <c r="C45" i="170"/>
  <c r="C14" i="170"/>
  <c r="C44" i="170"/>
  <c r="C34" i="170"/>
  <c r="C46" i="170"/>
  <c r="C14" i="169"/>
  <c r="C26" i="169"/>
  <c r="C6" i="169"/>
  <c r="C22" i="169"/>
  <c r="C11" i="169"/>
  <c r="C48" i="169"/>
  <c r="C7" i="169"/>
  <c r="C30" i="169"/>
  <c r="C44" i="169"/>
  <c r="C18" i="169"/>
  <c r="C8" i="169"/>
  <c r="C49" i="169"/>
  <c r="C47" i="169"/>
  <c r="C46" i="169"/>
  <c r="C38" i="169"/>
  <c r="C36" i="169"/>
  <c r="C35" i="169"/>
  <c r="C39" i="169"/>
  <c r="C34" i="169"/>
  <c r="C37" i="169"/>
  <c r="C41" i="169"/>
  <c r="E5" i="170"/>
  <c r="D5" i="170" s="1"/>
  <c r="G5" i="170" s="1"/>
  <c r="F6" i="170" s="1"/>
  <c r="E5" i="169"/>
  <c r="C12" i="169"/>
  <c r="C16" i="169"/>
  <c r="C20" i="169"/>
  <c r="C24" i="169"/>
  <c r="C28" i="169"/>
  <c r="D28" i="169" s="1"/>
  <c r="C8" i="170"/>
  <c r="C12" i="170"/>
  <c r="C16" i="170"/>
  <c r="C20" i="170"/>
  <c r="C24" i="170"/>
  <c r="C28" i="170"/>
  <c r="D28" i="170" s="1"/>
  <c r="C31" i="169"/>
  <c r="C31" i="170"/>
  <c r="C19" i="169"/>
  <c r="C23" i="169"/>
  <c r="C27" i="169"/>
  <c r="C11" i="170"/>
  <c r="C15" i="170"/>
  <c r="C19" i="170"/>
  <c r="C23" i="170"/>
  <c r="C27" i="170"/>
  <c r="C29" i="169"/>
  <c r="C29" i="170"/>
  <c r="C5" i="169"/>
  <c r="C9" i="169"/>
  <c r="C13" i="169"/>
  <c r="C17" i="169"/>
  <c r="C21" i="169"/>
  <c r="C9" i="170"/>
  <c r="C13" i="170"/>
  <c r="C17" i="170"/>
  <c r="C21" i="170"/>
  <c r="C39" i="168"/>
  <c r="C34" i="168"/>
  <c r="D29" i="168"/>
  <c r="G29" i="168" s="1"/>
  <c r="F30" i="168" s="1"/>
  <c r="C7" i="168"/>
  <c r="C11" i="168"/>
  <c r="C15" i="168"/>
  <c r="C19" i="168"/>
  <c r="C23" i="168"/>
  <c r="C27" i="168"/>
  <c r="C8" i="168"/>
  <c r="C12" i="168"/>
  <c r="C16" i="168"/>
  <c r="C20" i="168"/>
  <c r="C24" i="168"/>
  <c r="C28" i="168"/>
  <c r="D28" i="168" s="1"/>
  <c r="C32" i="167"/>
  <c r="C46" i="167"/>
  <c r="C31" i="167"/>
  <c r="C44" i="167"/>
  <c r="C43" i="167"/>
  <c r="C42" i="167"/>
  <c r="C45" i="167"/>
  <c r="C37" i="167"/>
  <c r="C41" i="167"/>
  <c r="C48" i="167"/>
  <c r="C40" i="167"/>
  <c r="C47" i="167"/>
  <c r="C39" i="167"/>
  <c r="C36" i="167"/>
  <c r="C35" i="167"/>
  <c r="C34" i="167"/>
  <c r="C29" i="167"/>
  <c r="C8" i="167"/>
  <c r="C13" i="167"/>
  <c r="C5" i="167"/>
  <c r="C19" i="167"/>
  <c r="C28" i="167"/>
  <c r="D28" i="167" s="1"/>
  <c r="C15" i="167"/>
  <c r="C24" i="167"/>
  <c r="C16" i="167"/>
  <c r="C25" i="167"/>
  <c r="C11" i="167"/>
  <c r="C20" i="167"/>
  <c r="C7" i="167"/>
  <c r="C12" i="167"/>
  <c r="C21" i="167"/>
  <c r="C27" i="167"/>
  <c r="C9" i="167"/>
  <c r="C23" i="167"/>
  <c r="C6" i="167"/>
  <c r="C10" i="167"/>
  <c r="C14" i="167"/>
  <c r="C18" i="167"/>
  <c r="C22" i="167"/>
  <c r="C26" i="167"/>
  <c r="C30" i="167"/>
  <c r="E5" i="167"/>
  <c r="D5" i="167" s="1"/>
  <c r="G5" i="167" s="1"/>
  <c r="F6" i="167" s="1"/>
  <c r="E5" i="168"/>
  <c r="D5" i="168" s="1"/>
  <c r="G5" i="168" s="1"/>
  <c r="F6" i="168" s="1"/>
  <c r="C30" i="166"/>
  <c r="C29" i="166"/>
  <c r="C42" i="166"/>
  <c r="C50" i="166"/>
  <c r="C43" i="166"/>
  <c r="C48" i="166"/>
  <c r="C49" i="166"/>
  <c r="C47" i="166"/>
  <c r="C46" i="166"/>
  <c r="C45" i="166"/>
  <c r="C39" i="166"/>
  <c r="E5" i="166"/>
  <c r="C38" i="166"/>
  <c r="C36" i="166"/>
  <c r="C35" i="166"/>
  <c r="C34" i="166"/>
  <c r="C41" i="166"/>
  <c r="C33" i="166"/>
  <c r="C37" i="166"/>
  <c r="C40" i="166"/>
  <c r="C32" i="166"/>
  <c r="C8" i="166"/>
  <c r="C17" i="166"/>
  <c r="C21" i="166"/>
  <c r="C12" i="166"/>
  <c r="C9" i="166"/>
  <c r="C18" i="166"/>
  <c r="C13" i="166"/>
  <c r="C5" i="166"/>
  <c r="C14" i="166"/>
  <c r="C24" i="166"/>
  <c r="C10" i="166"/>
  <c r="C6" i="166"/>
  <c r="C20" i="166"/>
  <c r="C25" i="166"/>
  <c r="C28" i="166"/>
  <c r="C31" i="166"/>
  <c r="C7" i="166"/>
  <c r="C11" i="166"/>
  <c r="C15" i="166"/>
  <c r="C19" i="166"/>
  <c r="C23" i="166"/>
  <c r="C27" i="166"/>
  <c r="C22" i="166"/>
  <c r="C26" i="166"/>
  <c r="C42" i="165"/>
  <c r="C50" i="165"/>
  <c r="C49" i="165"/>
  <c r="C37" i="165"/>
  <c r="C48" i="165"/>
  <c r="C45" i="165"/>
  <c r="C47" i="165"/>
  <c r="C46" i="165"/>
  <c r="C34" i="165"/>
  <c r="C35" i="165"/>
  <c r="C41" i="165"/>
  <c r="C33" i="165"/>
  <c r="C40" i="165"/>
  <c r="C32" i="165"/>
  <c r="C39" i="165"/>
  <c r="C31" i="165"/>
  <c r="C38" i="165"/>
  <c r="C29" i="165"/>
  <c r="C8" i="165"/>
  <c r="C24" i="165"/>
  <c r="C5" i="165"/>
  <c r="C11" i="165"/>
  <c r="C10" i="165"/>
  <c r="C28" i="165"/>
  <c r="E5" i="165"/>
  <c r="C7" i="165"/>
  <c r="C20" i="165"/>
  <c r="C13" i="165"/>
  <c r="C16" i="165"/>
  <c r="C19" i="165"/>
  <c r="C22" i="165"/>
  <c r="C25" i="165"/>
  <c r="C17" i="165"/>
  <c r="C23" i="165"/>
  <c r="C26" i="165"/>
  <c r="C6" i="165"/>
  <c r="C9" i="165"/>
  <c r="C12" i="165"/>
  <c r="C15" i="165"/>
  <c r="C27" i="165"/>
  <c r="C18" i="165"/>
  <c r="C14" i="165"/>
  <c r="E104" i="204" l="1"/>
  <c r="D104" i="204" s="1"/>
  <c r="G104" i="204" s="1"/>
  <c r="F105" i="204" s="1"/>
  <c r="E105" i="202"/>
  <c r="D105" i="202" s="1"/>
  <c r="G105" i="202" s="1"/>
  <c r="F106" i="202" s="1"/>
  <c r="D5" i="174"/>
  <c r="G5" i="174" s="1"/>
  <c r="F6" i="174" s="1"/>
  <c r="E6" i="174" s="1"/>
  <c r="D6" i="174" s="1"/>
  <c r="G6" i="174" s="1"/>
  <c r="F7" i="174" s="1"/>
  <c r="E6" i="175"/>
  <c r="D6" i="175" s="1"/>
  <c r="G6" i="175" s="1"/>
  <c r="F7" i="175" s="1"/>
  <c r="E6" i="170"/>
  <c r="D6" i="170" s="1"/>
  <c r="G6" i="170" s="1"/>
  <c r="D5" i="169"/>
  <c r="G5" i="169" s="1"/>
  <c r="F6" i="169" s="1"/>
  <c r="E30" i="168"/>
  <c r="D30" i="168" s="1"/>
  <c r="G30" i="168" s="1"/>
  <c r="F31" i="168" s="1"/>
  <c r="E6" i="167"/>
  <c r="D6" i="167" s="1"/>
  <c r="G6" i="167" s="1"/>
  <c r="E6" i="168"/>
  <c r="D6" i="168" s="1"/>
  <c r="G6" i="168" s="1"/>
  <c r="D5" i="166"/>
  <c r="G5" i="166" s="1"/>
  <c r="F6" i="166" s="1"/>
  <c r="E6" i="166" s="1"/>
  <c r="D6" i="166" s="1"/>
  <c r="G6" i="166" s="1"/>
  <c r="D5" i="165"/>
  <c r="G5" i="165" s="1"/>
  <c r="F6" i="165" s="1"/>
  <c r="E6" i="165" s="1"/>
  <c r="D6" i="165" s="1"/>
  <c r="G6" i="165" s="1"/>
  <c r="E106" i="202" l="1"/>
  <c r="D106" i="202" s="1"/>
  <c r="G106" i="202" s="1"/>
  <c r="F107" i="202" s="1"/>
  <c r="G107" i="202" s="1"/>
  <c r="E105" i="204"/>
  <c r="D105" i="204" s="1"/>
  <c r="G105" i="204" s="1"/>
  <c r="F106" i="204" s="1"/>
  <c r="E7" i="174"/>
  <c r="D7" i="174" s="1"/>
  <c r="G7" i="174" s="1"/>
  <c r="F8" i="174" s="1"/>
  <c r="E7" i="175"/>
  <c r="D7" i="175" s="1"/>
  <c r="G7" i="175" s="1"/>
  <c r="F8" i="175" s="1"/>
  <c r="F7" i="170"/>
  <c r="F29" i="170"/>
  <c r="E6" i="169"/>
  <c r="D6" i="169" s="1"/>
  <c r="G6" i="169" s="1"/>
  <c r="E31" i="168"/>
  <c r="D31" i="168" s="1"/>
  <c r="G31" i="168" s="1"/>
  <c r="F32" i="168" s="1"/>
  <c r="E32" i="168" s="1"/>
  <c r="D32" i="168" s="1"/>
  <c r="G32" i="168" s="1"/>
  <c r="F33" i="168" s="1"/>
  <c r="E33" i="168" s="1"/>
  <c r="D33" i="168" s="1"/>
  <c r="G33" i="168" s="1"/>
  <c r="F34" i="168" s="1"/>
  <c r="F7" i="168"/>
  <c r="F7" i="167"/>
  <c r="F7" i="166"/>
  <c r="F29" i="166"/>
  <c r="F7" i="165"/>
  <c r="E29" i="165" s="1"/>
  <c r="D29" i="165" s="1"/>
  <c r="F29" i="165"/>
  <c r="E106" i="204" l="1"/>
  <c r="D106" i="204" s="1"/>
  <c r="G106" i="204" s="1"/>
  <c r="F107" i="204" s="1"/>
  <c r="E8" i="175"/>
  <c r="D8" i="175" s="1"/>
  <c r="G8" i="175" s="1"/>
  <c r="F29" i="175" s="1"/>
  <c r="E29" i="175" s="1"/>
  <c r="E8" i="174"/>
  <c r="D8" i="174" s="1"/>
  <c r="G8" i="174" s="1"/>
  <c r="F29" i="174" s="1"/>
  <c r="E29" i="174" s="1"/>
  <c r="F7" i="169"/>
  <c r="F29" i="169"/>
  <c r="E7" i="170"/>
  <c r="D7" i="170" s="1"/>
  <c r="G7" i="170" s="1"/>
  <c r="F8" i="170" s="1"/>
  <c r="E29" i="170"/>
  <c r="D29" i="170" s="1"/>
  <c r="G29" i="170" s="1"/>
  <c r="F30" i="170" s="1"/>
  <c r="E34" i="168"/>
  <c r="D34" i="168" s="1"/>
  <c r="G34" i="168" s="1"/>
  <c r="F35" i="168" s="1"/>
  <c r="E7" i="167"/>
  <c r="D7" i="167" s="1"/>
  <c r="G7" i="167" s="1"/>
  <c r="F8" i="167" s="1"/>
  <c r="E7" i="168"/>
  <c r="D7" i="168" s="1"/>
  <c r="G7" i="168" s="1"/>
  <c r="F8" i="168" s="1"/>
  <c r="E7" i="166"/>
  <c r="D7" i="166" s="1"/>
  <c r="G7" i="166" s="1"/>
  <c r="F8" i="166" s="1"/>
  <c r="E8" i="166" s="1"/>
  <c r="E29" i="166"/>
  <c r="D29" i="166" s="1"/>
  <c r="G29" i="166" s="1"/>
  <c r="F30" i="166" s="1"/>
  <c r="E30" i="166" s="1"/>
  <c r="E7" i="165"/>
  <c r="D7" i="165" s="1"/>
  <c r="G7" i="165" s="1"/>
  <c r="F8" i="165" s="1"/>
  <c r="E8" i="165" s="1"/>
  <c r="D8" i="165" s="1"/>
  <c r="G8" i="165" s="1"/>
  <c r="F9" i="165" s="1"/>
  <c r="G29" i="165"/>
  <c r="F30" i="165" s="1"/>
  <c r="E30" i="165" s="1"/>
  <c r="D30" i="165" s="1"/>
  <c r="G30" i="165" s="1"/>
  <c r="E107" i="204" l="1"/>
  <c r="D107" i="204" s="1"/>
  <c r="G107" i="204" s="1"/>
  <c r="F9" i="174"/>
  <c r="D29" i="174"/>
  <c r="F9" i="175"/>
  <c r="D29" i="175"/>
  <c r="E30" i="170"/>
  <c r="D30" i="170" s="1"/>
  <c r="G30" i="170" s="1"/>
  <c r="F31" i="170" s="1"/>
  <c r="E31" i="170" s="1"/>
  <c r="E8" i="170"/>
  <c r="D8" i="170" s="1"/>
  <c r="G8" i="170" s="1"/>
  <c r="F9" i="170" s="1"/>
  <c r="E7" i="169"/>
  <c r="D7" i="169" s="1"/>
  <c r="G7" i="169" s="1"/>
  <c r="F8" i="169" s="1"/>
  <c r="E29" i="169"/>
  <c r="D29" i="169" s="1"/>
  <c r="G29" i="169" s="1"/>
  <c r="F30" i="169" s="1"/>
  <c r="E35" i="168"/>
  <c r="D35" i="168" s="1"/>
  <c r="G35" i="168" s="1"/>
  <c r="F36" i="168" s="1"/>
  <c r="E36" i="168" s="1"/>
  <c r="D36" i="168" s="1"/>
  <c r="G36" i="168" s="1"/>
  <c r="E8" i="168"/>
  <c r="D8" i="168" s="1"/>
  <c r="E8" i="167"/>
  <c r="D8" i="167" s="1"/>
  <c r="G8" i="167" s="1"/>
  <c r="D30" i="166"/>
  <c r="G30" i="166" s="1"/>
  <c r="F31" i="166" s="1"/>
  <c r="E31" i="166" s="1"/>
  <c r="D8" i="166"/>
  <c r="G8" i="166" s="1"/>
  <c r="F9" i="166" s="1"/>
  <c r="E9" i="166" s="1"/>
  <c r="F31" i="165"/>
  <c r="E31" i="165" s="1"/>
  <c r="D31" i="165" s="1"/>
  <c r="G31" i="165" s="1"/>
  <c r="F32" i="165" s="1"/>
  <c r="E32" i="165" s="1"/>
  <c r="D32" i="165" s="1"/>
  <c r="G32" i="165" s="1"/>
  <c r="F33" i="165" s="1"/>
  <c r="E33" i="165" s="1"/>
  <c r="D33" i="165" s="1"/>
  <c r="G33" i="165" s="1"/>
  <c r="F34" i="165" s="1"/>
  <c r="E34" i="165" s="1"/>
  <c r="D34" i="165" s="1"/>
  <c r="G34" i="165" s="1"/>
  <c r="F35" i="165" s="1"/>
  <c r="E35" i="165" s="1"/>
  <c r="D35" i="165" s="1"/>
  <c r="G35" i="165" s="1"/>
  <c r="F36" i="165" s="1"/>
  <c r="E9" i="165"/>
  <c r="D9" i="165" s="1"/>
  <c r="G9" i="165" s="1"/>
  <c r="F10" i="165" s="1"/>
  <c r="F108" i="204" l="1"/>
  <c r="G29" i="175"/>
  <c r="F30" i="175" s="1"/>
  <c r="E30" i="175" s="1"/>
  <c r="E9" i="175"/>
  <c r="D9" i="175" s="1"/>
  <c r="G9" i="175" s="1"/>
  <c r="F10" i="175" s="1"/>
  <c r="G29" i="174"/>
  <c r="F30" i="174" s="1"/>
  <c r="E30" i="174" s="1"/>
  <c r="E9" i="174"/>
  <c r="D9" i="174" s="1"/>
  <c r="G9" i="174" s="1"/>
  <c r="F10" i="174" s="1"/>
  <c r="E30" i="169"/>
  <c r="D30" i="169" s="1"/>
  <c r="G30" i="169" s="1"/>
  <c r="F31" i="169" s="1"/>
  <c r="E31" i="169" s="1"/>
  <c r="E8" i="169"/>
  <c r="D8" i="169" s="1"/>
  <c r="G8" i="169" s="1"/>
  <c r="F9" i="169" s="1"/>
  <c r="E9" i="170"/>
  <c r="D9" i="170" s="1"/>
  <c r="G9" i="170" s="1"/>
  <c r="F10" i="170" s="1"/>
  <c r="D31" i="170"/>
  <c r="G31" i="170" s="1"/>
  <c r="F32" i="170" s="1"/>
  <c r="E32" i="170" s="1"/>
  <c r="D32" i="170" s="1"/>
  <c r="G32" i="170" s="1"/>
  <c r="F33" i="170" s="1"/>
  <c r="D37" i="168"/>
  <c r="G37" i="168" s="1"/>
  <c r="F38" i="168" s="1"/>
  <c r="G8" i="168"/>
  <c r="F9" i="168" s="1"/>
  <c r="E9" i="168" s="1"/>
  <c r="D9" i="168" s="1"/>
  <c r="G9" i="168" s="1"/>
  <c r="F10" i="168" s="1"/>
  <c r="F9" i="167"/>
  <c r="F29" i="167"/>
  <c r="E29" i="167" s="1"/>
  <c r="D29" i="167" s="1"/>
  <c r="G29" i="167" s="1"/>
  <c r="F30" i="167" s="1"/>
  <c r="E9" i="167"/>
  <c r="D9" i="167" s="1"/>
  <c r="G9" i="167" s="1"/>
  <c r="F10" i="167" s="1"/>
  <c r="D9" i="166"/>
  <c r="G9" i="166" s="1"/>
  <c r="F10" i="166" s="1"/>
  <c r="E10" i="166" s="1"/>
  <c r="D31" i="166"/>
  <c r="G31" i="166" s="1"/>
  <c r="F32" i="166" s="1"/>
  <c r="E32" i="166" s="1"/>
  <c r="E36" i="165"/>
  <c r="D36" i="165" s="1"/>
  <c r="G36" i="165" s="1"/>
  <c r="F37" i="165" s="1"/>
  <c r="E10" i="165"/>
  <c r="D10" i="165" s="1"/>
  <c r="G10" i="165" s="1"/>
  <c r="F11" i="165" s="1"/>
  <c r="E108" i="204" l="1"/>
  <c r="C108" i="204" s="1"/>
  <c r="D108" i="204" s="1"/>
  <c r="G108" i="204" s="1"/>
  <c r="E10" i="174"/>
  <c r="D10" i="174" s="1"/>
  <c r="G10" i="174" s="1"/>
  <c r="F11" i="174" s="1"/>
  <c r="E10" i="175"/>
  <c r="D10" i="175" s="1"/>
  <c r="G10" i="175" s="1"/>
  <c r="F11" i="175" s="1"/>
  <c r="D30" i="174"/>
  <c r="G30" i="174" s="1"/>
  <c r="F31" i="174" s="1"/>
  <c r="D30" i="175"/>
  <c r="G30" i="175" s="1"/>
  <c r="F31" i="175" s="1"/>
  <c r="E31" i="175" s="1"/>
  <c r="D31" i="175" s="1"/>
  <c r="G31" i="175" s="1"/>
  <c r="F32" i="175" s="1"/>
  <c r="E32" i="175" s="1"/>
  <c r="D32" i="175" s="1"/>
  <c r="G32" i="175" s="1"/>
  <c r="F33" i="175" s="1"/>
  <c r="E33" i="175" s="1"/>
  <c r="D33" i="175" s="1"/>
  <c r="G33" i="175" s="1"/>
  <c r="F34" i="175" s="1"/>
  <c r="E34" i="175" s="1"/>
  <c r="D34" i="175" s="1"/>
  <c r="G34" i="175" s="1"/>
  <c r="F35" i="175" s="1"/>
  <c r="E35" i="175" s="1"/>
  <c r="D35" i="175" s="1"/>
  <c r="G35" i="175" s="1"/>
  <c r="F36" i="175" s="1"/>
  <c r="E33" i="170"/>
  <c r="D33" i="170" s="1"/>
  <c r="G33" i="170" s="1"/>
  <c r="F34" i="170" s="1"/>
  <c r="E34" i="170" s="1"/>
  <c r="D34" i="170" s="1"/>
  <c r="G34" i="170" s="1"/>
  <c r="F35" i="170" s="1"/>
  <c r="E35" i="170" s="1"/>
  <c r="D35" i="170" s="1"/>
  <c r="G35" i="170" s="1"/>
  <c r="F36" i="170" s="1"/>
  <c r="E36" i="170" s="1"/>
  <c r="D36" i="170" s="1"/>
  <c r="G36" i="170" s="1"/>
  <c r="F37" i="170" s="1"/>
  <c r="E37" i="170" s="1"/>
  <c r="D37" i="170" s="1"/>
  <c r="G37" i="170" s="1"/>
  <c r="F38" i="170" s="1"/>
  <c r="E38" i="170" s="1"/>
  <c r="D38" i="170" s="1"/>
  <c r="G38" i="170" s="1"/>
  <c r="F39" i="170" s="1"/>
  <c r="E39" i="170" s="1"/>
  <c r="D39" i="170" s="1"/>
  <c r="G39" i="170" s="1"/>
  <c r="F40" i="170" s="1"/>
  <c r="E10" i="170"/>
  <c r="D10" i="170" s="1"/>
  <c r="G10" i="170" s="1"/>
  <c r="F11" i="170" s="1"/>
  <c r="E9" i="169"/>
  <c r="D9" i="169" s="1"/>
  <c r="G9" i="169" s="1"/>
  <c r="F10" i="169" s="1"/>
  <c r="D31" i="169"/>
  <c r="G31" i="169" s="1"/>
  <c r="F32" i="169" s="1"/>
  <c r="E38" i="168"/>
  <c r="D38" i="168" s="1"/>
  <c r="G38" i="168" s="1"/>
  <c r="F39" i="168" s="1"/>
  <c r="E10" i="168"/>
  <c r="D10" i="168" s="1"/>
  <c r="G10" i="168" s="1"/>
  <c r="F11" i="168" s="1"/>
  <c r="E10" i="167"/>
  <c r="D10" i="167" s="1"/>
  <c r="G10" i="167" s="1"/>
  <c r="F11" i="167" s="1"/>
  <c r="E30" i="167"/>
  <c r="D30" i="167" s="1"/>
  <c r="G30" i="167" s="1"/>
  <c r="F31" i="167" s="1"/>
  <c r="E31" i="167" s="1"/>
  <c r="D31" i="167" s="1"/>
  <c r="G31" i="167" s="1"/>
  <c r="F32" i="167" s="1"/>
  <c r="E32" i="167" s="1"/>
  <c r="D32" i="167" s="1"/>
  <c r="G32" i="167" s="1"/>
  <c r="F33" i="167" s="1"/>
  <c r="D32" i="166"/>
  <c r="G32" i="166" s="1"/>
  <c r="F33" i="166" s="1"/>
  <c r="E33" i="166" s="1"/>
  <c r="D10" i="166"/>
  <c r="G10" i="166" s="1"/>
  <c r="F11" i="166" s="1"/>
  <c r="E11" i="166" s="1"/>
  <c r="E37" i="165"/>
  <c r="D37" i="165" s="1"/>
  <c r="G37" i="165" s="1"/>
  <c r="F38" i="165" s="1"/>
  <c r="E11" i="165"/>
  <c r="D11" i="165" s="1"/>
  <c r="G11" i="165" s="1"/>
  <c r="F12" i="165" s="1"/>
  <c r="E36" i="175" l="1"/>
  <c r="D36" i="175" s="1"/>
  <c r="G36" i="175" s="1"/>
  <c r="F37" i="175" s="1"/>
  <c r="E37" i="175" s="1"/>
  <c r="E31" i="174"/>
  <c r="D31" i="174" s="1"/>
  <c r="G31" i="174" s="1"/>
  <c r="F32" i="174" s="1"/>
  <c r="E32" i="174" s="1"/>
  <c r="D32" i="174" s="1"/>
  <c r="G32" i="174" s="1"/>
  <c r="F33" i="174" s="1"/>
  <c r="E11" i="175"/>
  <c r="D11" i="175" s="1"/>
  <c r="G11" i="175" s="1"/>
  <c r="F12" i="175" s="1"/>
  <c r="E11" i="174"/>
  <c r="D11" i="174" s="1"/>
  <c r="G11" i="174" s="1"/>
  <c r="F12" i="174" s="1"/>
  <c r="E40" i="170"/>
  <c r="D40" i="170" s="1"/>
  <c r="G40" i="170" s="1"/>
  <c r="F41" i="170" s="1"/>
  <c r="E32" i="169"/>
  <c r="D32" i="169" s="1"/>
  <c r="G32" i="169" s="1"/>
  <c r="F33" i="169" s="1"/>
  <c r="E10" i="169"/>
  <c r="D10" i="169" s="1"/>
  <c r="G10" i="169" s="1"/>
  <c r="F11" i="169" s="1"/>
  <c r="E11" i="170"/>
  <c r="D11" i="170" s="1"/>
  <c r="G11" i="170" s="1"/>
  <c r="F12" i="170" s="1"/>
  <c r="E39" i="168"/>
  <c r="D39" i="168" s="1"/>
  <c r="G39" i="168" s="1"/>
  <c r="F40" i="168" s="1"/>
  <c r="E33" i="167"/>
  <c r="D33" i="167" s="1"/>
  <c r="G33" i="167" s="1"/>
  <c r="F34" i="167" s="1"/>
  <c r="E34" i="167" s="1"/>
  <c r="D34" i="167" s="1"/>
  <c r="G34" i="167" s="1"/>
  <c r="F35" i="167" s="1"/>
  <c r="E35" i="167" s="1"/>
  <c r="D35" i="167" s="1"/>
  <c r="G35" i="167" s="1"/>
  <c r="F36" i="167" s="1"/>
  <c r="E36" i="167" s="1"/>
  <c r="D36" i="167" s="1"/>
  <c r="G36" i="167" s="1"/>
  <c r="E11" i="168"/>
  <c r="D11" i="168" s="1"/>
  <c r="G11" i="168" s="1"/>
  <c r="F12" i="168" s="1"/>
  <c r="E11" i="167"/>
  <c r="D11" i="167" s="1"/>
  <c r="G11" i="167" s="1"/>
  <c r="F12" i="167" s="1"/>
  <c r="D33" i="166"/>
  <c r="G33" i="166" s="1"/>
  <c r="F34" i="166" s="1"/>
  <c r="E34" i="166" s="1"/>
  <c r="D11" i="166"/>
  <c r="G11" i="166" s="1"/>
  <c r="F12" i="166" s="1"/>
  <c r="E12" i="166" s="1"/>
  <c r="E38" i="165"/>
  <c r="D38" i="165" s="1"/>
  <c r="G38" i="165" s="1"/>
  <c r="F39" i="165" s="1"/>
  <c r="E12" i="165"/>
  <c r="D12" i="165" s="1"/>
  <c r="G12" i="165" s="1"/>
  <c r="F13" i="165" s="1"/>
  <c r="D37" i="175" l="1"/>
  <c r="G37" i="175" s="1"/>
  <c r="F38" i="175" s="1"/>
  <c r="E33" i="174"/>
  <c r="D33" i="174" s="1"/>
  <c r="G33" i="174" s="1"/>
  <c r="F34" i="174" s="1"/>
  <c r="E12" i="174"/>
  <c r="D12" i="174" s="1"/>
  <c r="G12" i="174" s="1"/>
  <c r="F13" i="174" s="1"/>
  <c r="E12" i="175"/>
  <c r="D12" i="175" s="1"/>
  <c r="G12" i="175" s="1"/>
  <c r="F13" i="175" s="1"/>
  <c r="E41" i="170"/>
  <c r="D41" i="170" s="1"/>
  <c r="G41" i="170" s="1"/>
  <c r="F42" i="170" s="1"/>
  <c r="E42" i="170" s="1"/>
  <c r="E33" i="169"/>
  <c r="D33" i="169" s="1"/>
  <c r="G33" i="169" s="1"/>
  <c r="F34" i="169" s="1"/>
  <c r="E34" i="169" s="1"/>
  <c r="D34" i="169" s="1"/>
  <c r="G34" i="169" s="1"/>
  <c r="F35" i="169" s="1"/>
  <c r="E35" i="169" s="1"/>
  <c r="D35" i="169" s="1"/>
  <c r="G35" i="169" s="1"/>
  <c r="F36" i="169" s="1"/>
  <c r="E12" i="170"/>
  <c r="D12" i="170" s="1"/>
  <c r="G12" i="170" s="1"/>
  <c r="F13" i="170" s="1"/>
  <c r="E11" i="169"/>
  <c r="D11" i="169" s="1"/>
  <c r="G11" i="169" s="1"/>
  <c r="F12" i="169" s="1"/>
  <c r="E40" i="168"/>
  <c r="D40" i="168" s="1"/>
  <c r="G40" i="168" s="1"/>
  <c r="F41" i="168" s="1"/>
  <c r="F37" i="167"/>
  <c r="E37" i="167"/>
  <c r="D37" i="167" s="1"/>
  <c r="G37" i="167" s="1"/>
  <c r="F38" i="167" s="1"/>
  <c r="E38" i="167" s="1"/>
  <c r="D38" i="167" s="1"/>
  <c r="G38" i="167" s="1"/>
  <c r="F39" i="167" s="1"/>
  <c r="E39" i="167" s="1"/>
  <c r="D39" i="167" s="1"/>
  <c r="G39" i="167" s="1"/>
  <c r="F40" i="167" s="1"/>
  <c r="E12" i="168"/>
  <c r="D12" i="168" s="1"/>
  <c r="G12" i="168" s="1"/>
  <c r="F13" i="168" s="1"/>
  <c r="E12" i="167"/>
  <c r="D12" i="167" s="1"/>
  <c r="G12" i="167" s="1"/>
  <c r="F13" i="167" s="1"/>
  <c r="D34" i="166"/>
  <c r="G34" i="166" s="1"/>
  <c r="F35" i="166" s="1"/>
  <c r="E35" i="166" s="1"/>
  <c r="D12" i="166"/>
  <c r="G12" i="166" s="1"/>
  <c r="F13" i="166" s="1"/>
  <c r="E13" i="166" s="1"/>
  <c r="E39" i="165"/>
  <c r="D39" i="165" s="1"/>
  <c r="G39" i="165" s="1"/>
  <c r="F40" i="165" s="1"/>
  <c r="E13" i="165"/>
  <c r="D13" i="165" s="1"/>
  <c r="G13" i="165" s="1"/>
  <c r="F14" i="165" s="1"/>
  <c r="E38" i="175" l="1"/>
  <c r="D38" i="175" s="1"/>
  <c r="G38" i="175" s="1"/>
  <c r="F39" i="175" s="1"/>
  <c r="E34" i="174"/>
  <c r="D34" i="174" s="1"/>
  <c r="G34" i="174" s="1"/>
  <c r="F35" i="174" s="1"/>
  <c r="E13" i="175"/>
  <c r="D13" i="175" s="1"/>
  <c r="G13" i="175" s="1"/>
  <c r="F14" i="175" s="1"/>
  <c r="E13" i="174"/>
  <c r="D13" i="174" s="1"/>
  <c r="G13" i="174" s="1"/>
  <c r="F14" i="174" s="1"/>
  <c r="D42" i="170"/>
  <c r="G42" i="170" s="1"/>
  <c r="F43" i="170" s="1"/>
  <c r="E43" i="170" s="1"/>
  <c r="E36" i="169"/>
  <c r="D36" i="169" s="1"/>
  <c r="G36" i="169" s="1"/>
  <c r="F37" i="169" s="1"/>
  <c r="E37" i="169" s="1"/>
  <c r="D37" i="169" s="1"/>
  <c r="G37" i="169" s="1"/>
  <c r="F38" i="169" s="1"/>
  <c r="E12" i="169"/>
  <c r="D12" i="169" s="1"/>
  <c r="G12" i="169" s="1"/>
  <c r="F13" i="169" s="1"/>
  <c r="E13" i="170"/>
  <c r="D13" i="170" s="1"/>
  <c r="G13" i="170" s="1"/>
  <c r="F14" i="170" s="1"/>
  <c r="E41" i="168"/>
  <c r="D41" i="168" s="1"/>
  <c r="G41" i="168" s="1"/>
  <c r="F42" i="168" s="1"/>
  <c r="E40" i="167"/>
  <c r="D40" i="167" s="1"/>
  <c r="G40" i="167" s="1"/>
  <c r="F41" i="167" s="1"/>
  <c r="E13" i="167"/>
  <c r="D13" i="167" s="1"/>
  <c r="G13" i="167" s="1"/>
  <c r="F14" i="167" s="1"/>
  <c r="E13" i="168"/>
  <c r="D13" i="168" s="1"/>
  <c r="G13" i="168" s="1"/>
  <c r="F14" i="168" s="1"/>
  <c r="D35" i="166"/>
  <c r="G35" i="166" s="1"/>
  <c r="F36" i="166" s="1"/>
  <c r="E36" i="166" s="1"/>
  <c r="D13" i="166"/>
  <c r="G13" i="166" s="1"/>
  <c r="F14" i="166" s="1"/>
  <c r="E14" i="166" s="1"/>
  <c r="E40" i="165"/>
  <c r="D40" i="165" s="1"/>
  <c r="G40" i="165" s="1"/>
  <c r="F41" i="165" s="1"/>
  <c r="E14" i="165"/>
  <c r="D14" i="165" s="1"/>
  <c r="G14" i="165" s="1"/>
  <c r="F15" i="165" s="1"/>
  <c r="E39" i="175" l="1"/>
  <c r="D39" i="175" s="1"/>
  <c r="G39" i="175" s="1"/>
  <c r="F40" i="175" s="1"/>
  <c r="E40" i="175" s="1"/>
  <c r="D40" i="175" s="1"/>
  <c r="G40" i="175" s="1"/>
  <c r="F41" i="175" s="1"/>
  <c r="E41" i="175" s="1"/>
  <c r="D41" i="175" s="1"/>
  <c r="G41" i="175" s="1"/>
  <c r="F42" i="175" s="1"/>
  <c r="E42" i="175" s="1"/>
  <c r="D42" i="175" s="1"/>
  <c r="G42" i="175" s="1"/>
  <c r="F43" i="175" s="1"/>
  <c r="E43" i="175" s="1"/>
  <c r="E35" i="174"/>
  <c r="D35" i="174" s="1"/>
  <c r="G35" i="174" s="1"/>
  <c r="F36" i="174" s="1"/>
  <c r="E14" i="174"/>
  <c r="D14" i="174" s="1"/>
  <c r="G14" i="174" s="1"/>
  <c r="F15" i="174" s="1"/>
  <c r="E14" i="175"/>
  <c r="D14" i="175" s="1"/>
  <c r="G14" i="175" s="1"/>
  <c r="F15" i="175" s="1"/>
  <c r="D43" i="170"/>
  <c r="G43" i="170" s="1"/>
  <c r="F44" i="170" s="1"/>
  <c r="E44" i="170" s="1"/>
  <c r="E38" i="169"/>
  <c r="D38" i="169" s="1"/>
  <c r="G38" i="169" s="1"/>
  <c r="F39" i="169" s="1"/>
  <c r="E39" i="169" s="1"/>
  <c r="D39" i="169" s="1"/>
  <c r="G39" i="169" s="1"/>
  <c r="F40" i="169" s="1"/>
  <c r="E40" i="169" s="1"/>
  <c r="D40" i="169" s="1"/>
  <c r="G40" i="169" s="1"/>
  <c r="F41" i="169" s="1"/>
  <c r="E41" i="169" s="1"/>
  <c r="D41" i="169" s="1"/>
  <c r="G41" i="169" s="1"/>
  <c r="F42" i="169" s="1"/>
  <c r="E14" i="170"/>
  <c r="D14" i="170" s="1"/>
  <c r="G14" i="170" s="1"/>
  <c r="F15" i="170" s="1"/>
  <c r="E13" i="169"/>
  <c r="D13" i="169" s="1"/>
  <c r="G13" i="169" s="1"/>
  <c r="F14" i="169" s="1"/>
  <c r="E42" i="168"/>
  <c r="D42" i="168" s="1"/>
  <c r="G42" i="168" s="1"/>
  <c r="F43" i="168" s="1"/>
  <c r="E41" i="167"/>
  <c r="D41" i="167" s="1"/>
  <c r="G41" i="167" s="1"/>
  <c r="F42" i="167" s="1"/>
  <c r="E14" i="168"/>
  <c r="D14" i="168" s="1"/>
  <c r="G14" i="168" s="1"/>
  <c r="F15" i="168" s="1"/>
  <c r="E14" i="167"/>
  <c r="D14" i="167" s="1"/>
  <c r="G14" i="167" s="1"/>
  <c r="F15" i="167" s="1"/>
  <c r="D14" i="166"/>
  <c r="G14" i="166" s="1"/>
  <c r="F15" i="166" s="1"/>
  <c r="E15" i="166" s="1"/>
  <c r="D36" i="166"/>
  <c r="G36" i="166" s="1"/>
  <c r="F37" i="166" s="1"/>
  <c r="E37" i="166" s="1"/>
  <c r="E41" i="165"/>
  <c r="D41" i="165" s="1"/>
  <c r="G41" i="165" s="1"/>
  <c r="F42" i="165" s="1"/>
  <c r="E15" i="165"/>
  <c r="D15" i="165" s="1"/>
  <c r="G15" i="165" s="1"/>
  <c r="F16" i="165" s="1"/>
  <c r="D43" i="175" l="1"/>
  <c r="G43" i="175" s="1"/>
  <c r="F44" i="175" s="1"/>
  <c r="E44" i="175" s="1"/>
  <c r="E36" i="174"/>
  <c r="D36" i="174" s="1"/>
  <c r="G36" i="174" s="1"/>
  <c r="F37" i="174" s="1"/>
  <c r="E37" i="174" s="1"/>
  <c r="E15" i="175"/>
  <c r="D15" i="175" s="1"/>
  <c r="G15" i="175" s="1"/>
  <c r="F16" i="175" s="1"/>
  <c r="E15" i="174"/>
  <c r="D15" i="174" s="1"/>
  <c r="G15" i="174" s="1"/>
  <c r="F16" i="174" s="1"/>
  <c r="D44" i="170"/>
  <c r="G44" i="170" s="1"/>
  <c r="F45" i="170" s="1"/>
  <c r="E45" i="170" s="1"/>
  <c r="D42" i="169"/>
  <c r="G42" i="169" s="1"/>
  <c r="F43" i="169" s="1"/>
  <c r="E43" i="169" s="1"/>
  <c r="D43" i="169" s="1"/>
  <c r="G43" i="169" s="1"/>
  <c r="F44" i="169" s="1"/>
  <c r="E44" i="169" s="1"/>
  <c r="D44" i="169" s="1"/>
  <c r="G44" i="169" s="1"/>
  <c r="F45" i="169" s="1"/>
  <c r="E45" i="169" s="1"/>
  <c r="E42" i="169"/>
  <c r="E14" i="169"/>
  <c r="D14" i="169" s="1"/>
  <c r="G14" i="169" s="1"/>
  <c r="F15" i="169" s="1"/>
  <c r="E15" i="170"/>
  <c r="D15" i="170" s="1"/>
  <c r="G15" i="170" s="1"/>
  <c r="F16" i="170" s="1"/>
  <c r="E43" i="168"/>
  <c r="D43" i="168" s="1"/>
  <c r="G43" i="168" s="1"/>
  <c r="F44" i="168" s="1"/>
  <c r="E42" i="167"/>
  <c r="D42" i="167" s="1"/>
  <c r="G42" i="167" s="1"/>
  <c r="F43" i="167" s="1"/>
  <c r="E15" i="168"/>
  <c r="D15" i="168" s="1"/>
  <c r="G15" i="168" s="1"/>
  <c r="F16" i="168" s="1"/>
  <c r="E15" i="167"/>
  <c r="D15" i="167" s="1"/>
  <c r="G15" i="167" s="1"/>
  <c r="F16" i="167" s="1"/>
  <c r="D37" i="166"/>
  <c r="G37" i="166" s="1"/>
  <c r="F38" i="166" s="1"/>
  <c r="E38" i="166" s="1"/>
  <c r="D15" i="166"/>
  <c r="G15" i="166" s="1"/>
  <c r="F16" i="166" s="1"/>
  <c r="E16" i="166" s="1"/>
  <c r="E42" i="165"/>
  <c r="D42" i="165" s="1"/>
  <c r="G42" i="165" s="1"/>
  <c r="F43" i="165" s="1"/>
  <c r="E43" i="165" s="1"/>
  <c r="D43" i="165" s="1"/>
  <c r="G43" i="165" s="1"/>
  <c r="F44" i="165" s="1"/>
  <c r="E44" i="165" s="1"/>
  <c r="D44" i="165" s="1"/>
  <c r="G44" i="165" s="1"/>
  <c r="F45" i="165" s="1"/>
  <c r="E45" i="165" s="1"/>
  <c r="D45" i="165" s="1"/>
  <c r="G45" i="165" s="1"/>
  <c r="F46" i="165" s="1"/>
  <c r="E46" i="165" s="1"/>
  <c r="D46" i="165" s="1"/>
  <c r="G46" i="165" s="1"/>
  <c r="F47" i="165" s="1"/>
  <c r="E47" i="165" s="1"/>
  <c r="D47" i="165" s="1"/>
  <c r="G47" i="165" s="1"/>
  <c r="F48" i="165" s="1"/>
  <c r="E48" i="165" s="1"/>
  <c r="D48" i="165" s="1"/>
  <c r="G48" i="165" s="1"/>
  <c r="F49" i="165" s="1"/>
  <c r="E49" i="165" s="1"/>
  <c r="D49" i="165" s="1"/>
  <c r="G49" i="165" s="1"/>
  <c r="F50" i="165" s="1"/>
  <c r="D50" i="165" s="1"/>
  <c r="G50" i="165" s="1"/>
  <c r="E16" i="165"/>
  <c r="D16" i="165" s="1"/>
  <c r="G16" i="165" s="1"/>
  <c r="F17" i="165" s="1"/>
  <c r="D44" i="175" l="1"/>
  <c r="G44" i="175" s="1"/>
  <c r="F45" i="175" s="1"/>
  <c r="E45" i="175" s="1"/>
  <c r="D37" i="174"/>
  <c r="G37" i="174" s="1"/>
  <c r="F38" i="174" s="1"/>
  <c r="E16" i="174"/>
  <c r="D16" i="174" s="1"/>
  <c r="G16" i="174" s="1"/>
  <c r="F17" i="174" s="1"/>
  <c r="E16" i="175"/>
  <c r="D16" i="175" s="1"/>
  <c r="G16" i="175" s="1"/>
  <c r="F17" i="175" s="1"/>
  <c r="D45" i="170"/>
  <c r="G45" i="170" s="1"/>
  <c r="F46" i="170" s="1"/>
  <c r="E46" i="170" s="1"/>
  <c r="D45" i="169"/>
  <c r="G45" i="169" s="1"/>
  <c r="F46" i="169" s="1"/>
  <c r="E46" i="169" s="1"/>
  <c r="E16" i="170"/>
  <c r="D16" i="170" s="1"/>
  <c r="G16" i="170" s="1"/>
  <c r="F17" i="170" s="1"/>
  <c r="E15" i="169"/>
  <c r="D15" i="169" s="1"/>
  <c r="G15" i="169" s="1"/>
  <c r="F16" i="169" s="1"/>
  <c r="E44" i="168"/>
  <c r="D44" i="168" s="1"/>
  <c r="G44" i="168" s="1"/>
  <c r="F45" i="168" s="1"/>
  <c r="E43" i="167"/>
  <c r="D43" i="167" s="1"/>
  <c r="G43" i="167" s="1"/>
  <c r="F44" i="167" s="1"/>
  <c r="E16" i="168"/>
  <c r="D16" i="168" s="1"/>
  <c r="G16" i="168" s="1"/>
  <c r="F17" i="168" s="1"/>
  <c r="E16" i="167"/>
  <c r="D16" i="167" s="1"/>
  <c r="G16" i="167" s="1"/>
  <c r="F17" i="167" s="1"/>
  <c r="D16" i="166"/>
  <c r="G16" i="166" s="1"/>
  <c r="F17" i="166" s="1"/>
  <c r="E17" i="166" s="1"/>
  <c r="D38" i="166"/>
  <c r="G38" i="166" s="1"/>
  <c r="F39" i="166" s="1"/>
  <c r="E39" i="166" s="1"/>
  <c r="E17" i="165"/>
  <c r="D17" i="165" s="1"/>
  <c r="G17" i="165" s="1"/>
  <c r="F18" i="165" s="1"/>
  <c r="D45" i="175" l="1"/>
  <c r="G45" i="175" s="1"/>
  <c r="F46" i="175" s="1"/>
  <c r="E46" i="175" s="1"/>
  <c r="E38" i="174"/>
  <c r="D38" i="174" s="1"/>
  <c r="G38" i="174" s="1"/>
  <c r="F39" i="174" s="1"/>
  <c r="E39" i="174" s="1"/>
  <c r="E17" i="175"/>
  <c r="D17" i="175" s="1"/>
  <c r="G17" i="175" s="1"/>
  <c r="F18" i="175" s="1"/>
  <c r="E17" i="174"/>
  <c r="D17" i="174" s="1"/>
  <c r="G17" i="174" s="1"/>
  <c r="F18" i="174" s="1"/>
  <c r="D46" i="170"/>
  <c r="G46" i="170" s="1"/>
  <c r="F47" i="170" s="1"/>
  <c r="E47" i="170" s="1"/>
  <c r="D46" i="169"/>
  <c r="G46" i="169" s="1"/>
  <c r="F47" i="169" s="1"/>
  <c r="E47" i="169" s="1"/>
  <c r="E16" i="169"/>
  <c r="D16" i="169" s="1"/>
  <c r="G16" i="169" s="1"/>
  <c r="F17" i="169" s="1"/>
  <c r="E17" i="170"/>
  <c r="D17" i="170" s="1"/>
  <c r="G17" i="170" s="1"/>
  <c r="F18" i="170" s="1"/>
  <c r="E45" i="168"/>
  <c r="D45" i="168" s="1"/>
  <c r="G45" i="168" s="1"/>
  <c r="F46" i="168" s="1"/>
  <c r="E44" i="167"/>
  <c r="D44" i="167" s="1"/>
  <c r="G44" i="167" s="1"/>
  <c r="F45" i="167" s="1"/>
  <c r="E17" i="167"/>
  <c r="D17" i="167" s="1"/>
  <c r="G17" i="167" s="1"/>
  <c r="F18" i="167" s="1"/>
  <c r="E17" i="168"/>
  <c r="D17" i="168" s="1"/>
  <c r="G17" i="168" s="1"/>
  <c r="F18" i="168" s="1"/>
  <c r="D39" i="166"/>
  <c r="G39" i="166" s="1"/>
  <c r="F40" i="166" s="1"/>
  <c r="E40" i="166" s="1"/>
  <c r="D17" i="166"/>
  <c r="G17" i="166" s="1"/>
  <c r="F18" i="166" s="1"/>
  <c r="E18" i="166" s="1"/>
  <c r="E18" i="165"/>
  <c r="D18" i="165" s="1"/>
  <c r="G18" i="165" s="1"/>
  <c r="F19" i="165" s="1"/>
  <c r="D46" i="175" l="1"/>
  <c r="G46" i="175" s="1"/>
  <c r="F47" i="175" s="1"/>
  <c r="E47" i="175" s="1"/>
  <c r="D39" i="174"/>
  <c r="G39" i="174" s="1"/>
  <c r="F40" i="174" s="1"/>
  <c r="E18" i="174"/>
  <c r="D18" i="174" s="1"/>
  <c r="G18" i="174" s="1"/>
  <c r="F19" i="174" s="1"/>
  <c r="E18" i="175"/>
  <c r="D18" i="175" s="1"/>
  <c r="G18" i="175" s="1"/>
  <c r="F19" i="175" s="1"/>
  <c r="D47" i="170"/>
  <c r="G47" i="170" s="1"/>
  <c r="F48" i="170" s="1"/>
  <c r="E48" i="170" s="1"/>
  <c r="D47" i="169"/>
  <c r="G47" i="169" s="1"/>
  <c r="F48" i="169" s="1"/>
  <c r="E48" i="169" s="1"/>
  <c r="E18" i="170"/>
  <c r="D18" i="170" s="1"/>
  <c r="G18" i="170" s="1"/>
  <c r="F19" i="170" s="1"/>
  <c r="E17" i="169"/>
  <c r="D17" i="169" s="1"/>
  <c r="G17" i="169" s="1"/>
  <c r="F18" i="169" s="1"/>
  <c r="E46" i="168"/>
  <c r="D46" i="168" s="1"/>
  <c r="G46" i="168" s="1"/>
  <c r="F47" i="168" s="1"/>
  <c r="E45" i="167"/>
  <c r="D45" i="167" s="1"/>
  <c r="G45" i="167" s="1"/>
  <c r="F46" i="167" s="1"/>
  <c r="E18" i="168"/>
  <c r="D18" i="168" s="1"/>
  <c r="G18" i="168" s="1"/>
  <c r="F19" i="168" s="1"/>
  <c r="E18" i="167"/>
  <c r="D18" i="167" s="1"/>
  <c r="G18" i="167" s="1"/>
  <c r="F19" i="167" s="1"/>
  <c r="D40" i="166"/>
  <c r="G40" i="166" s="1"/>
  <c r="F41" i="166" s="1"/>
  <c r="E41" i="166" s="1"/>
  <c r="D18" i="166"/>
  <c r="G18" i="166" s="1"/>
  <c r="F19" i="166" s="1"/>
  <c r="E19" i="166" s="1"/>
  <c r="E19" i="165"/>
  <c r="D19" i="165" s="1"/>
  <c r="G19" i="165" s="1"/>
  <c r="F20" i="165" s="1"/>
  <c r="D47" i="175" l="1"/>
  <c r="G47" i="175" s="1"/>
  <c r="F48" i="175" s="1"/>
  <c r="E40" i="174"/>
  <c r="D40" i="174" s="1"/>
  <c r="G40" i="174" s="1"/>
  <c r="F41" i="174" s="1"/>
  <c r="E19" i="175"/>
  <c r="D19" i="175" s="1"/>
  <c r="G19" i="175" s="1"/>
  <c r="F20" i="175" s="1"/>
  <c r="E19" i="174"/>
  <c r="D19" i="174" s="1"/>
  <c r="G19" i="174" s="1"/>
  <c r="F20" i="174" s="1"/>
  <c r="D48" i="170"/>
  <c r="G48" i="170" s="1"/>
  <c r="F49" i="170" s="1"/>
  <c r="E49" i="170" s="1"/>
  <c r="D48" i="169"/>
  <c r="G48" i="169" s="1"/>
  <c r="F49" i="169" s="1"/>
  <c r="E49" i="169" s="1"/>
  <c r="E18" i="169"/>
  <c r="D18" i="169" s="1"/>
  <c r="G18" i="169" s="1"/>
  <c r="F19" i="169" s="1"/>
  <c r="E19" i="170"/>
  <c r="D19" i="170" s="1"/>
  <c r="G19" i="170" s="1"/>
  <c r="F20" i="170" s="1"/>
  <c r="E47" i="168"/>
  <c r="D47" i="168" s="1"/>
  <c r="G47" i="168" s="1"/>
  <c r="F48" i="168" s="1"/>
  <c r="E46" i="167"/>
  <c r="D46" i="167" s="1"/>
  <c r="G46" i="167" s="1"/>
  <c r="F47" i="167" s="1"/>
  <c r="E19" i="167"/>
  <c r="D19" i="167" s="1"/>
  <c r="G19" i="167" s="1"/>
  <c r="F20" i="167" s="1"/>
  <c r="E19" i="168"/>
  <c r="D19" i="168" s="1"/>
  <c r="G19" i="168" s="1"/>
  <c r="F20" i="168" s="1"/>
  <c r="D19" i="166"/>
  <c r="G19" i="166" s="1"/>
  <c r="F20" i="166" s="1"/>
  <c r="E20" i="166" s="1"/>
  <c r="D41" i="166"/>
  <c r="G41" i="166" s="1"/>
  <c r="F42" i="166" s="1"/>
  <c r="E20" i="165"/>
  <c r="D20" i="165" s="1"/>
  <c r="G20" i="165" s="1"/>
  <c r="F21" i="165" s="1"/>
  <c r="D48" i="175" l="1"/>
  <c r="G48" i="175" s="1"/>
  <c r="E41" i="174"/>
  <c r="D41" i="174" s="1"/>
  <c r="G41" i="174" s="1"/>
  <c r="F42" i="174" s="1"/>
  <c r="E42" i="174" s="1"/>
  <c r="D42" i="174" s="1"/>
  <c r="G42" i="174" s="1"/>
  <c r="F43" i="174" s="1"/>
  <c r="E43" i="174" s="1"/>
  <c r="D43" i="174" s="1"/>
  <c r="G43" i="174" s="1"/>
  <c r="F44" i="174" s="1"/>
  <c r="E20" i="174"/>
  <c r="D20" i="174" s="1"/>
  <c r="G20" i="174" s="1"/>
  <c r="F21" i="174" s="1"/>
  <c r="E20" i="175"/>
  <c r="D20" i="175" s="1"/>
  <c r="G20" i="175" s="1"/>
  <c r="F21" i="175" s="1"/>
  <c r="D49" i="170"/>
  <c r="G49" i="170" s="1"/>
  <c r="F50" i="170" s="1"/>
  <c r="D49" i="169"/>
  <c r="G49" i="169" s="1"/>
  <c r="F50" i="169" s="1"/>
  <c r="E20" i="170"/>
  <c r="D20" i="170" s="1"/>
  <c r="G20" i="170" s="1"/>
  <c r="F21" i="170" s="1"/>
  <c r="E19" i="169"/>
  <c r="D19" i="169" s="1"/>
  <c r="G19" i="169" s="1"/>
  <c r="F20" i="169" s="1"/>
  <c r="D48" i="168"/>
  <c r="G48" i="168" s="1"/>
  <c r="E47" i="167"/>
  <c r="D47" i="167" s="1"/>
  <c r="G47" i="167" s="1"/>
  <c r="F48" i="167" s="1"/>
  <c r="E20" i="168"/>
  <c r="D20" i="168" s="1"/>
  <c r="G20" i="168" s="1"/>
  <c r="F21" i="168" s="1"/>
  <c r="E20" i="167"/>
  <c r="D20" i="167" s="1"/>
  <c r="G20" i="167" s="1"/>
  <c r="F21" i="167" s="1"/>
  <c r="E42" i="166"/>
  <c r="D42" i="166" s="1"/>
  <c r="G42" i="166" s="1"/>
  <c r="F43" i="166" s="1"/>
  <c r="E43" i="166" s="1"/>
  <c r="D43" i="166" s="1"/>
  <c r="G43" i="166" s="1"/>
  <c r="F44" i="166" s="1"/>
  <c r="E44" i="166" s="1"/>
  <c r="D44" i="166" s="1"/>
  <c r="G44" i="166" s="1"/>
  <c r="F45" i="166" s="1"/>
  <c r="E45" i="166" s="1"/>
  <c r="D45" i="166" s="1"/>
  <c r="G45" i="166" s="1"/>
  <c r="F46" i="166" s="1"/>
  <c r="E46" i="166" s="1"/>
  <c r="D46" i="166" s="1"/>
  <c r="G46" i="166" s="1"/>
  <c r="F47" i="166" s="1"/>
  <c r="E47" i="166" s="1"/>
  <c r="D47" i="166" s="1"/>
  <c r="G47" i="166" s="1"/>
  <c r="F48" i="166" s="1"/>
  <c r="E48" i="166" s="1"/>
  <c r="D48" i="166" s="1"/>
  <c r="G48" i="166" s="1"/>
  <c r="F49" i="166" s="1"/>
  <c r="E49" i="166" s="1"/>
  <c r="D49" i="166" s="1"/>
  <c r="G49" i="166" s="1"/>
  <c r="F50" i="166" s="1"/>
  <c r="D50" i="166" s="1"/>
  <c r="G50" i="166" s="1"/>
  <c r="D20" i="166"/>
  <c r="G20" i="166" s="1"/>
  <c r="F21" i="166" s="1"/>
  <c r="E21" i="166" s="1"/>
  <c r="E21" i="165"/>
  <c r="D21" i="165" s="1"/>
  <c r="G21" i="165" s="1"/>
  <c r="F22" i="165" s="1"/>
  <c r="E44" i="174" l="1"/>
  <c r="D44" i="174" s="1"/>
  <c r="G44" i="174" s="1"/>
  <c r="F45" i="174" s="1"/>
  <c r="E21" i="174"/>
  <c r="D21" i="174" s="1"/>
  <c r="G21" i="174" s="1"/>
  <c r="F22" i="174" s="1"/>
  <c r="E21" i="175"/>
  <c r="D21" i="175" s="1"/>
  <c r="G21" i="175" s="1"/>
  <c r="F22" i="175" s="1"/>
  <c r="D50" i="170"/>
  <c r="G50" i="170" s="1"/>
  <c r="D50" i="169"/>
  <c r="G50" i="169" s="1"/>
  <c r="E20" i="169"/>
  <c r="D20" i="169" s="1"/>
  <c r="G20" i="169" s="1"/>
  <c r="F21" i="169" s="1"/>
  <c r="E21" i="170"/>
  <c r="D21" i="170" s="1"/>
  <c r="G21" i="170" s="1"/>
  <c r="F22" i="170" s="1"/>
  <c r="D48" i="167"/>
  <c r="G48" i="167" s="1"/>
  <c r="E21" i="167"/>
  <c r="D21" i="167" s="1"/>
  <c r="G21" i="167" s="1"/>
  <c r="F22" i="167" s="1"/>
  <c r="E21" i="168"/>
  <c r="D21" i="168" s="1"/>
  <c r="G21" i="168" s="1"/>
  <c r="F22" i="168" s="1"/>
  <c r="D21" i="166"/>
  <c r="G21" i="166" s="1"/>
  <c r="F22" i="166" s="1"/>
  <c r="E22" i="166" s="1"/>
  <c r="E22" i="165"/>
  <c r="D22" i="165" s="1"/>
  <c r="G22" i="165" s="1"/>
  <c r="F23" i="165" s="1"/>
  <c r="E45" i="174" l="1"/>
  <c r="D45" i="174" s="1"/>
  <c r="G45" i="174" s="1"/>
  <c r="F46" i="174" s="1"/>
  <c r="E22" i="174"/>
  <c r="D22" i="174" s="1"/>
  <c r="G22" i="174" s="1"/>
  <c r="F23" i="174" s="1"/>
  <c r="E22" i="175"/>
  <c r="D22" i="175" s="1"/>
  <c r="G22" i="175" s="1"/>
  <c r="F23" i="175" s="1"/>
  <c r="E22" i="170"/>
  <c r="D22" i="170" s="1"/>
  <c r="G22" i="170" s="1"/>
  <c r="F23" i="170" s="1"/>
  <c r="E21" i="169"/>
  <c r="D21" i="169" s="1"/>
  <c r="G21" i="169" s="1"/>
  <c r="F22" i="169" s="1"/>
  <c r="E22" i="167"/>
  <c r="D22" i="167" s="1"/>
  <c r="G22" i="167" s="1"/>
  <c r="F23" i="167" s="1"/>
  <c r="E22" i="168"/>
  <c r="D22" i="168" s="1"/>
  <c r="G22" i="168" s="1"/>
  <c r="F23" i="168" s="1"/>
  <c r="D22" i="166"/>
  <c r="G22" i="166" s="1"/>
  <c r="F23" i="166" s="1"/>
  <c r="E23" i="166" s="1"/>
  <c r="E23" i="165"/>
  <c r="D23" i="165" s="1"/>
  <c r="G23" i="165" s="1"/>
  <c r="F24" i="165" s="1"/>
  <c r="E46" i="174" l="1"/>
  <c r="D46" i="174" s="1"/>
  <c r="G46" i="174" s="1"/>
  <c r="F47" i="174" s="1"/>
  <c r="E23" i="174"/>
  <c r="D23" i="174" s="1"/>
  <c r="G23" i="174" s="1"/>
  <c r="F24" i="174" s="1"/>
  <c r="E23" i="175"/>
  <c r="D23" i="175" s="1"/>
  <c r="G23" i="175" s="1"/>
  <c r="F24" i="175" s="1"/>
  <c r="E22" i="169"/>
  <c r="D22" i="169" s="1"/>
  <c r="G22" i="169" s="1"/>
  <c r="F23" i="169" s="1"/>
  <c r="E23" i="170"/>
  <c r="D23" i="170" s="1"/>
  <c r="G23" i="170" s="1"/>
  <c r="F24" i="170" s="1"/>
  <c r="E23" i="168"/>
  <c r="D23" i="168" s="1"/>
  <c r="G23" i="168" s="1"/>
  <c r="F24" i="168" s="1"/>
  <c r="E23" i="167"/>
  <c r="D23" i="167" s="1"/>
  <c r="G23" i="167" s="1"/>
  <c r="F24" i="167" s="1"/>
  <c r="D23" i="166"/>
  <c r="G23" i="166" s="1"/>
  <c r="F24" i="166" s="1"/>
  <c r="E24" i="166" s="1"/>
  <c r="E24" i="165"/>
  <c r="D24" i="165" s="1"/>
  <c r="G24" i="165" s="1"/>
  <c r="F25" i="165" s="1"/>
  <c r="E47" i="174" l="1"/>
  <c r="D47" i="174" s="1"/>
  <c r="G47" i="174" s="1"/>
  <c r="F48" i="174" s="1"/>
  <c r="E24" i="174"/>
  <c r="D24" i="174" s="1"/>
  <c r="G24" i="174" s="1"/>
  <c r="F25" i="174" s="1"/>
  <c r="E24" i="175"/>
  <c r="D24" i="175" s="1"/>
  <c r="G24" i="175" s="1"/>
  <c r="F25" i="175" s="1"/>
  <c r="E24" i="170"/>
  <c r="D24" i="170" s="1"/>
  <c r="G24" i="170"/>
  <c r="F25" i="170" s="1"/>
  <c r="E23" i="169"/>
  <c r="D23" i="169" s="1"/>
  <c r="G23" i="169" s="1"/>
  <c r="F24" i="169" s="1"/>
  <c r="E24" i="167"/>
  <c r="D24" i="167" s="1"/>
  <c r="G24" i="167" s="1"/>
  <c r="F25" i="167" s="1"/>
  <c r="E24" i="168"/>
  <c r="D24" i="168" s="1"/>
  <c r="G24" i="168" s="1"/>
  <c r="F25" i="168" s="1"/>
  <c r="D24" i="166"/>
  <c r="G24" i="166" s="1"/>
  <c r="F25" i="166" s="1"/>
  <c r="E25" i="166" s="1"/>
  <c r="E25" i="165"/>
  <c r="D25" i="165" s="1"/>
  <c r="G25" i="165" s="1"/>
  <c r="F26" i="165" s="1"/>
  <c r="D48" i="174" l="1"/>
  <c r="G48" i="174" s="1"/>
  <c r="E25" i="174"/>
  <c r="D25" i="174" s="1"/>
  <c r="G25" i="174" s="1"/>
  <c r="F26" i="174" s="1"/>
  <c r="E25" i="175"/>
  <c r="D25" i="175" s="1"/>
  <c r="G25" i="175" s="1"/>
  <c r="F26" i="175" s="1"/>
  <c r="E24" i="169"/>
  <c r="D24" i="169" s="1"/>
  <c r="G24" i="169" s="1"/>
  <c r="F25" i="169" s="1"/>
  <c r="E25" i="170"/>
  <c r="D25" i="170" s="1"/>
  <c r="G25" i="170" s="1"/>
  <c r="F26" i="170" s="1"/>
  <c r="E25" i="168"/>
  <c r="D25" i="168" s="1"/>
  <c r="G25" i="168" s="1"/>
  <c r="F26" i="168" s="1"/>
  <c r="E25" i="167"/>
  <c r="D25" i="167" s="1"/>
  <c r="G25" i="167" s="1"/>
  <c r="F26" i="167" s="1"/>
  <c r="D25" i="166"/>
  <c r="G25" i="166" s="1"/>
  <c r="F26" i="166" s="1"/>
  <c r="E26" i="166" s="1"/>
  <c r="E26" i="165"/>
  <c r="D26" i="165" s="1"/>
  <c r="G26" i="165" s="1"/>
  <c r="F27" i="165" s="1"/>
  <c r="E26" i="174" l="1"/>
  <c r="D26" i="174" s="1"/>
  <c r="G26" i="174" s="1"/>
  <c r="F27" i="174" s="1"/>
  <c r="E26" i="175"/>
  <c r="D26" i="175" s="1"/>
  <c r="G26" i="175" s="1"/>
  <c r="F27" i="175" s="1"/>
  <c r="E26" i="170"/>
  <c r="D26" i="170" s="1"/>
  <c r="G26" i="170" s="1"/>
  <c r="F27" i="170" s="1"/>
  <c r="E25" i="169"/>
  <c r="D25" i="169" s="1"/>
  <c r="G25" i="169" s="1"/>
  <c r="F26" i="169" s="1"/>
  <c r="E26" i="168"/>
  <c r="D26" i="168" s="1"/>
  <c r="G26" i="168" s="1"/>
  <c r="F27" i="168" s="1"/>
  <c r="E26" i="167"/>
  <c r="D26" i="167" s="1"/>
  <c r="G26" i="167" s="1"/>
  <c r="F27" i="167" s="1"/>
  <c r="D26" i="166"/>
  <c r="G26" i="166" s="1"/>
  <c r="F27" i="166" s="1"/>
  <c r="E27" i="166" s="1"/>
  <c r="E27" i="165"/>
  <c r="D27" i="165" s="1"/>
  <c r="G27" i="165" s="1"/>
  <c r="F28" i="165" s="1"/>
  <c r="E27" i="174" l="1"/>
  <c r="D27" i="174" s="1"/>
  <c r="G27" i="174" s="1"/>
  <c r="F28" i="174" s="1"/>
  <c r="G28" i="174" s="1"/>
  <c r="E27" i="175"/>
  <c r="D27" i="175" s="1"/>
  <c r="G27" i="175" s="1"/>
  <c r="F28" i="175" s="1"/>
  <c r="G28" i="175" s="1"/>
  <c r="E27" i="170"/>
  <c r="D27" i="170" s="1"/>
  <c r="G27" i="170" s="1"/>
  <c r="F28" i="170" s="1"/>
  <c r="G28" i="170" s="1"/>
  <c r="E26" i="169"/>
  <c r="D26" i="169" s="1"/>
  <c r="G26" i="169" s="1"/>
  <c r="F27" i="169" s="1"/>
  <c r="E27" i="168"/>
  <c r="D27" i="168" s="1"/>
  <c r="G27" i="168" s="1"/>
  <c r="F28" i="168" s="1"/>
  <c r="G28" i="168" s="1"/>
  <c r="E27" i="167"/>
  <c r="D27" i="167" s="1"/>
  <c r="G27" i="167" s="1"/>
  <c r="F28" i="167" s="1"/>
  <c r="G28" i="167" s="1"/>
  <c r="D27" i="166"/>
  <c r="G27" i="166" s="1"/>
  <c r="F28" i="166" s="1"/>
  <c r="D28" i="165"/>
  <c r="G28" i="165" s="1"/>
  <c r="E27" i="169" l="1"/>
  <c r="D27" i="169" s="1"/>
  <c r="G27" i="169" s="1"/>
  <c r="F28" i="169" s="1"/>
  <c r="G28" i="169" s="1"/>
  <c r="D28" i="166"/>
  <c r="G28" i="166" s="1"/>
  <c r="H2" i="163" l="1"/>
  <c r="C68" i="163" s="1"/>
  <c r="J2" i="163"/>
  <c r="J1" i="163"/>
  <c r="E2" i="163"/>
  <c r="C60" i="163" s="1"/>
  <c r="B55" i="163"/>
  <c r="B56" i="163"/>
  <c r="B57" i="163"/>
  <c r="B58" i="163"/>
  <c r="B59" i="163"/>
  <c r="B60" i="163"/>
  <c r="B61" i="163"/>
  <c r="B62" i="163"/>
  <c r="B63" i="163"/>
  <c r="B64" i="163"/>
  <c r="B65" i="163"/>
  <c r="B66" i="163"/>
  <c r="B67" i="163"/>
  <c r="B68" i="163"/>
  <c r="B69" i="163"/>
  <c r="B70" i="163"/>
  <c r="B71" i="163"/>
  <c r="B72" i="163"/>
  <c r="B73" i="163"/>
  <c r="B74" i="163"/>
  <c r="B75" i="163"/>
  <c r="B76" i="163"/>
  <c r="B77" i="163"/>
  <c r="B78" i="163"/>
  <c r="B79" i="163"/>
  <c r="B80" i="163"/>
  <c r="B81" i="163"/>
  <c r="B82" i="163"/>
  <c r="B83" i="163"/>
  <c r="B84" i="163"/>
  <c r="B85" i="163"/>
  <c r="B86" i="163"/>
  <c r="B87" i="163"/>
  <c r="B88" i="163"/>
  <c r="B89" i="163"/>
  <c r="B90" i="163"/>
  <c r="B91" i="163"/>
  <c r="B92" i="163"/>
  <c r="B93" i="163"/>
  <c r="B94" i="163"/>
  <c r="B95" i="163"/>
  <c r="B96" i="163"/>
  <c r="B97" i="163"/>
  <c r="B98" i="163"/>
  <c r="B54" i="163"/>
  <c r="C58" i="163"/>
  <c r="C62" i="163"/>
  <c r="C63" i="163"/>
  <c r="C65" i="163"/>
  <c r="H2" i="162"/>
  <c r="C67" i="162" s="1"/>
  <c r="J2" i="162"/>
  <c r="J1" i="162"/>
  <c r="E2" i="162"/>
  <c r="C56" i="162" s="1"/>
  <c r="B71" i="162"/>
  <c r="B79" i="162"/>
  <c r="B95" i="162"/>
  <c r="B52" i="163"/>
  <c r="B51" i="163"/>
  <c r="B50" i="163"/>
  <c r="B49" i="163"/>
  <c r="B48" i="163"/>
  <c r="B47" i="163"/>
  <c r="B46" i="163"/>
  <c r="B45" i="163"/>
  <c r="B44" i="163"/>
  <c r="B43" i="163"/>
  <c r="B42" i="163"/>
  <c r="B41" i="163"/>
  <c r="B40" i="163"/>
  <c r="B39" i="163"/>
  <c r="B38" i="163"/>
  <c r="B37" i="163"/>
  <c r="B36" i="163"/>
  <c r="B35" i="163"/>
  <c r="B34" i="163"/>
  <c r="B33" i="163"/>
  <c r="B32" i="163"/>
  <c r="B31" i="163"/>
  <c r="B30" i="163"/>
  <c r="B29" i="163"/>
  <c r="B28" i="163"/>
  <c r="B27" i="163"/>
  <c r="B26" i="163"/>
  <c r="B25" i="163"/>
  <c r="B24" i="163"/>
  <c r="B23" i="163"/>
  <c r="B22" i="163"/>
  <c r="B21" i="163"/>
  <c r="B20" i="163"/>
  <c r="B19" i="163"/>
  <c r="B18" i="163"/>
  <c r="B17" i="163"/>
  <c r="B16" i="163"/>
  <c r="B15" i="163"/>
  <c r="B14" i="163"/>
  <c r="B13" i="163"/>
  <c r="B53" i="163" s="1"/>
  <c r="B12" i="163"/>
  <c r="B11" i="163"/>
  <c r="B10" i="163"/>
  <c r="B9" i="163"/>
  <c r="B8" i="163"/>
  <c r="B7" i="163"/>
  <c r="B6" i="163"/>
  <c r="B5" i="163"/>
  <c r="G4" i="163"/>
  <c r="F5" i="163" s="1"/>
  <c r="B4" i="163"/>
  <c r="E4" i="163" s="1"/>
  <c r="C2" i="163"/>
  <c r="C52" i="163" s="1"/>
  <c r="D52" i="163" s="1"/>
  <c r="B52" i="162"/>
  <c r="B92" i="162" s="1"/>
  <c r="B51" i="162"/>
  <c r="B91" i="162" s="1"/>
  <c r="B50" i="162"/>
  <c r="B90" i="162" s="1"/>
  <c r="B49" i="162"/>
  <c r="B89" i="162" s="1"/>
  <c r="B48" i="162"/>
  <c r="B88" i="162" s="1"/>
  <c r="B46" i="162"/>
  <c r="B86" i="162" s="1"/>
  <c r="B45" i="162"/>
  <c r="B85" i="162" s="1"/>
  <c r="B44" i="162"/>
  <c r="B84" i="162" s="1"/>
  <c r="B43" i="162"/>
  <c r="B83" i="162" s="1"/>
  <c r="B42" i="162"/>
  <c r="B82" i="162" s="1"/>
  <c r="B41" i="162"/>
  <c r="B81" i="162" s="1"/>
  <c r="B40" i="162"/>
  <c r="B80" i="162" s="1"/>
  <c r="B39" i="162"/>
  <c r="B38" i="162"/>
  <c r="B78" i="162" s="1"/>
  <c r="B37" i="162"/>
  <c r="B77" i="162" s="1"/>
  <c r="B36" i="162"/>
  <c r="B76" i="162" s="1"/>
  <c r="B35" i="162"/>
  <c r="B75" i="162" s="1"/>
  <c r="B34" i="162"/>
  <c r="B74" i="162" s="1"/>
  <c r="B33" i="162"/>
  <c r="B73" i="162" s="1"/>
  <c r="B32" i="162"/>
  <c r="B72" i="162" s="1"/>
  <c r="B31" i="162"/>
  <c r="B30" i="162"/>
  <c r="B70" i="162" s="1"/>
  <c r="B29" i="162"/>
  <c r="B69" i="162" s="1"/>
  <c r="B28" i="162"/>
  <c r="B68" i="162" s="1"/>
  <c r="B27" i="162"/>
  <c r="B67" i="162" s="1"/>
  <c r="B26" i="162"/>
  <c r="B66" i="162" s="1"/>
  <c r="B25" i="162"/>
  <c r="B65" i="162" s="1"/>
  <c r="B24" i="162"/>
  <c r="B64" i="162" s="1"/>
  <c r="B23" i="162"/>
  <c r="B63" i="162" s="1"/>
  <c r="B22" i="162"/>
  <c r="B62" i="162" s="1"/>
  <c r="B21" i="162"/>
  <c r="B61" i="162" s="1"/>
  <c r="B20" i="162"/>
  <c r="B60" i="162" s="1"/>
  <c r="B19" i="162"/>
  <c r="B59" i="162" s="1"/>
  <c r="B18" i="162"/>
  <c r="B58" i="162" s="1"/>
  <c r="B98" i="162" s="1"/>
  <c r="B17" i="162"/>
  <c r="B57" i="162" s="1"/>
  <c r="B97" i="162" s="1"/>
  <c r="B16" i="162"/>
  <c r="B56" i="162" s="1"/>
  <c r="B96" i="162" s="1"/>
  <c r="B15" i="162"/>
  <c r="B55" i="162" s="1"/>
  <c r="B14" i="162"/>
  <c r="B54" i="162" s="1"/>
  <c r="B94" i="162" s="1"/>
  <c r="B13" i="162"/>
  <c r="B53" i="162" s="1"/>
  <c r="B93" i="162" s="1"/>
  <c r="B12" i="162"/>
  <c r="B11" i="162"/>
  <c r="B10" i="162"/>
  <c r="B9" i="162"/>
  <c r="B8" i="162"/>
  <c r="B7" i="162"/>
  <c r="B6" i="162"/>
  <c r="B5" i="162"/>
  <c r="B47" i="162" s="1"/>
  <c r="B87" i="162" s="1"/>
  <c r="G4" i="162"/>
  <c r="F5" i="162" s="1"/>
  <c r="B4" i="162"/>
  <c r="E4" i="162" s="1"/>
  <c r="C2" i="162"/>
  <c r="C51" i="162" s="1"/>
  <c r="E2" i="161"/>
  <c r="C54" i="161" s="1"/>
  <c r="B55" i="161"/>
  <c r="B56" i="161"/>
  <c r="B57" i="161"/>
  <c r="B58" i="161"/>
  <c r="B59" i="161"/>
  <c r="B60" i="161"/>
  <c r="B61" i="161"/>
  <c r="B62" i="161"/>
  <c r="B63" i="161"/>
  <c r="B64" i="161"/>
  <c r="B65" i="161"/>
  <c r="B66" i="161"/>
  <c r="B67" i="161"/>
  <c r="B68" i="161"/>
  <c r="B69" i="161"/>
  <c r="B70" i="161"/>
  <c r="B71" i="161"/>
  <c r="B72" i="161"/>
  <c r="B73" i="161"/>
  <c r="B74" i="161"/>
  <c r="B75" i="161"/>
  <c r="B76" i="161"/>
  <c r="B77" i="161"/>
  <c r="B78" i="161"/>
  <c r="B79" i="161"/>
  <c r="B80" i="161"/>
  <c r="B81" i="161"/>
  <c r="B82" i="161"/>
  <c r="B83" i="161"/>
  <c r="B84" i="161"/>
  <c r="B54" i="161"/>
  <c r="E2" i="160"/>
  <c r="C69" i="160" s="1"/>
  <c r="C53" i="160"/>
  <c r="B57" i="160"/>
  <c r="B58" i="160"/>
  <c r="B59" i="160"/>
  <c r="B60" i="160"/>
  <c r="B61" i="160"/>
  <c r="B62" i="160"/>
  <c r="B63" i="160"/>
  <c r="B64" i="160"/>
  <c r="B65" i="160"/>
  <c r="B66" i="160"/>
  <c r="B67" i="160"/>
  <c r="B68" i="160"/>
  <c r="B69" i="160"/>
  <c r="B70" i="160"/>
  <c r="B71" i="160"/>
  <c r="B72" i="160"/>
  <c r="B73" i="160"/>
  <c r="B74" i="160"/>
  <c r="B75" i="160"/>
  <c r="B76" i="160"/>
  <c r="B77" i="160"/>
  <c r="B78" i="160"/>
  <c r="B79" i="160"/>
  <c r="B80" i="160"/>
  <c r="B81" i="160"/>
  <c r="B82" i="160"/>
  <c r="B83" i="160"/>
  <c r="B84" i="160"/>
  <c r="B52" i="161"/>
  <c r="B51" i="161"/>
  <c r="B50" i="161"/>
  <c r="B49" i="161"/>
  <c r="B48" i="161"/>
  <c r="B47" i="161"/>
  <c r="B46" i="161"/>
  <c r="B45" i="161"/>
  <c r="B44" i="161"/>
  <c r="B43" i="161"/>
  <c r="B42" i="161"/>
  <c r="B41" i="161"/>
  <c r="B40" i="161"/>
  <c r="B39" i="161"/>
  <c r="B38" i="161"/>
  <c r="B37" i="161"/>
  <c r="B36" i="161"/>
  <c r="B35" i="161"/>
  <c r="B34" i="161"/>
  <c r="B33" i="161"/>
  <c r="B32" i="161"/>
  <c r="B31" i="161"/>
  <c r="B30" i="161"/>
  <c r="B29" i="161"/>
  <c r="B28" i="161"/>
  <c r="B27" i="161"/>
  <c r="B26" i="161"/>
  <c r="B25" i="161"/>
  <c r="B24" i="161"/>
  <c r="B23" i="161"/>
  <c r="B22" i="161"/>
  <c r="B21" i="161"/>
  <c r="B20" i="161"/>
  <c r="B19" i="161"/>
  <c r="B18" i="161"/>
  <c r="B17" i="161"/>
  <c r="B16" i="161"/>
  <c r="B15" i="161"/>
  <c r="B14" i="161"/>
  <c r="B13" i="161"/>
  <c r="B53" i="161" s="1"/>
  <c r="B12" i="161"/>
  <c r="B11" i="161"/>
  <c r="B10" i="161"/>
  <c r="B9" i="161"/>
  <c r="B8" i="161"/>
  <c r="B7" i="161"/>
  <c r="B6" i="161"/>
  <c r="B5" i="161"/>
  <c r="G4" i="161"/>
  <c r="F5" i="161" s="1"/>
  <c r="E4" i="161"/>
  <c r="B4" i="161"/>
  <c r="C2" i="161"/>
  <c r="C25" i="161" s="1"/>
  <c r="B52" i="160"/>
  <c r="B51" i="160"/>
  <c r="B50" i="160"/>
  <c r="B49" i="160"/>
  <c r="B48" i="160"/>
  <c r="B46" i="160"/>
  <c r="B45" i="160"/>
  <c r="B44" i="160"/>
  <c r="B43" i="160"/>
  <c r="B42" i="160"/>
  <c r="B41" i="160"/>
  <c r="B40" i="160"/>
  <c r="B39" i="160"/>
  <c r="B38" i="160"/>
  <c r="B37" i="160"/>
  <c r="B36" i="160"/>
  <c r="B35" i="160"/>
  <c r="B34" i="160"/>
  <c r="B33" i="160"/>
  <c r="B32" i="160"/>
  <c r="B31" i="160"/>
  <c r="B30" i="160"/>
  <c r="B29" i="160"/>
  <c r="B28" i="160"/>
  <c r="B27" i="160"/>
  <c r="B26" i="160"/>
  <c r="B25" i="160"/>
  <c r="B24" i="160"/>
  <c r="B23" i="160"/>
  <c r="B22" i="160"/>
  <c r="B21" i="160"/>
  <c r="B20" i="160"/>
  <c r="B19" i="160"/>
  <c r="B18" i="160"/>
  <c r="B17" i="160"/>
  <c r="B16" i="160"/>
  <c r="B56" i="160" s="1"/>
  <c r="B15" i="160"/>
  <c r="B55" i="160" s="1"/>
  <c r="B14" i="160"/>
  <c r="B54" i="160" s="1"/>
  <c r="B13" i="160"/>
  <c r="B53" i="160" s="1"/>
  <c r="B12" i="160"/>
  <c r="B11" i="160"/>
  <c r="B10" i="160"/>
  <c r="B9" i="160"/>
  <c r="B8" i="160"/>
  <c r="B7" i="160"/>
  <c r="B6" i="160"/>
  <c r="B5" i="160"/>
  <c r="B47" i="160" s="1"/>
  <c r="B4" i="160"/>
  <c r="E4" i="160" s="1"/>
  <c r="C2" i="160"/>
  <c r="C50" i="160" s="1"/>
  <c r="C59" i="163" l="1"/>
  <c r="C57" i="163"/>
  <c r="C55" i="163"/>
  <c r="C91" i="163"/>
  <c r="C74" i="163"/>
  <c r="C97" i="163"/>
  <c r="C89" i="163"/>
  <c r="C81" i="163"/>
  <c r="C73" i="163"/>
  <c r="C67" i="163"/>
  <c r="C82" i="163"/>
  <c r="C96" i="163"/>
  <c r="C88" i="163"/>
  <c r="C80" i="163"/>
  <c r="C72" i="163"/>
  <c r="C75" i="163"/>
  <c r="C98" i="163"/>
  <c r="C95" i="163"/>
  <c r="C87" i="163"/>
  <c r="C79" i="163"/>
  <c r="C71" i="163"/>
  <c r="C83" i="163"/>
  <c r="C90" i="163"/>
  <c r="C94" i="163"/>
  <c r="C86" i="163"/>
  <c r="C78" i="163"/>
  <c r="C70" i="163"/>
  <c r="C85" i="163"/>
  <c r="C77" i="163"/>
  <c r="C93" i="163"/>
  <c r="C69" i="163"/>
  <c r="C66" i="163"/>
  <c r="C92" i="163"/>
  <c r="C84" i="163"/>
  <c r="C76" i="163"/>
  <c r="C64" i="163"/>
  <c r="C56" i="163"/>
  <c r="C61" i="163"/>
  <c r="C54" i="163"/>
  <c r="C53" i="163"/>
  <c r="C63" i="162"/>
  <c r="C59" i="162"/>
  <c r="C17" i="162"/>
  <c r="C53" i="162"/>
  <c r="C97" i="162"/>
  <c r="C89" i="162"/>
  <c r="C81" i="162"/>
  <c r="C73" i="162"/>
  <c r="C96" i="162"/>
  <c r="C88" i="162"/>
  <c r="C80" i="162"/>
  <c r="C72" i="162"/>
  <c r="C82" i="162"/>
  <c r="C79" i="162"/>
  <c r="C94" i="162"/>
  <c r="C86" i="162"/>
  <c r="C78" i="162"/>
  <c r="C70" i="162"/>
  <c r="C98" i="162"/>
  <c r="C90" i="162"/>
  <c r="C74" i="162"/>
  <c r="C95" i="162"/>
  <c r="C87" i="162"/>
  <c r="C71" i="162"/>
  <c r="C93" i="162"/>
  <c r="C85" i="162"/>
  <c r="C77" i="162"/>
  <c r="C69" i="162"/>
  <c r="C84" i="162"/>
  <c r="C68" i="162"/>
  <c r="C92" i="162"/>
  <c r="C76" i="162"/>
  <c r="C66" i="162"/>
  <c r="C91" i="162"/>
  <c r="C83" i="162"/>
  <c r="C75" i="162"/>
  <c r="C62" i="162"/>
  <c r="C58" i="162"/>
  <c r="C65" i="162"/>
  <c r="C61" i="162"/>
  <c r="C57" i="162"/>
  <c r="C64" i="162"/>
  <c r="C60" i="162"/>
  <c r="C18" i="163"/>
  <c r="C23" i="163"/>
  <c r="C50" i="163"/>
  <c r="C7" i="163"/>
  <c r="C39" i="163"/>
  <c r="C34" i="163"/>
  <c r="C14" i="163"/>
  <c r="C19" i="163"/>
  <c r="C30" i="163"/>
  <c r="C35" i="163"/>
  <c r="C46" i="163"/>
  <c r="C51" i="163"/>
  <c r="C15" i="163"/>
  <c r="C26" i="163"/>
  <c r="C31" i="163"/>
  <c r="C42" i="163"/>
  <c r="C10" i="163"/>
  <c r="C47" i="163"/>
  <c r="C6" i="163"/>
  <c r="C11" i="163"/>
  <c r="C22" i="163"/>
  <c r="C27" i="163"/>
  <c r="C38" i="163"/>
  <c r="C43" i="163"/>
  <c r="E5" i="163"/>
  <c r="C5" i="163"/>
  <c r="C9" i="163"/>
  <c r="C13" i="163"/>
  <c r="C17" i="163"/>
  <c r="C21" i="163"/>
  <c r="C25" i="163"/>
  <c r="C29" i="163"/>
  <c r="C33" i="163"/>
  <c r="C37" i="163"/>
  <c r="C41" i="163"/>
  <c r="C45" i="163"/>
  <c r="C49" i="163"/>
  <c r="C8" i="163"/>
  <c r="C12" i="163"/>
  <c r="C16" i="163"/>
  <c r="C20" i="163"/>
  <c r="C24" i="163"/>
  <c r="C28" i="163"/>
  <c r="C32" i="163"/>
  <c r="C36" i="163"/>
  <c r="C40" i="163"/>
  <c r="C44" i="163"/>
  <c r="C48" i="163"/>
  <c r="C5" i="162"/>
  <c r="C37" i="162"/>
  <c r="C25" i="162"/>
  <c r="C13" i="162"/>
  <c r="C45" i="162"/>
  <c r="C33" i="162"/>
  <c r="C21" i="162"/>
  <c r="C9" i="162"/>
  <c r="C41" i="162"/>
  <c r="C29" i="162"/>
  <c r="C49" i="162"/>
  <c r="E5" i="162"/>
  <c r="C8" i="162"/>
  <c r="C32" i="162"/>
  <c r="C54" i="162"/>
  <c r="C6" i="162"/>
  <c r="C10" i="162"/>
  <c r="C14" i="162"/>
  <c r="C18" i="162"/>
  <c r="C22" i="162"/>
  <c r="C26" i="162"/>
  <c r="C30" i="162"/>
  <c r="C34" i="162"/>
  <c r="C38" i="162"/>
  <c r="C42" i="162"/>
  <c r="C46" i="162"/>
  <c r="C50" i="162"/>
  <c r="C24" i="162"/>
  <c r="C28" i="162"/>
  <c r="C44" i="162"/>
  <c r="C48" i="162"/>
  <c r="C52" i="162"/>
  <c r="D52" i="162" s="1"/>
  <c r="C55" i="162"/>
  <c r="C12" i="162"/>
  <c r="C16" i="162"/>
  <c r="C20" i="162"/>
  <c r="C36" i="162"/>
  <c r="C40" i="162"/>
  <c r="C7" i="162"/>
  <c r="C11" i="162"/>
  <c r="C15" i="162"/>
  <c r="C19" i="162"/>
  <c r="C23" i="162"/>
  <c r="C27" i="162"/>
  <c r="C31" i="162"/>
  <c r="C35" i="162"/>
  <c r="C39" i="162"/>
  <c r="C43" i="162"/>
  <c r="C47" i="162"/>
  <c r="C58" i="161"/>
  <c r="C5" i="161"/>
  <c r="D5" i="161" s="1"/>
  <c r="G5" i="161" s="1"/>
  <c r="F6" i="161" s="1"/>
  <c r="C31" i="161"/>
  <c r="C37" i="161"/>
  <c r="C81" i="161"/>
  <c r="C77" i="161"/>
  <c r="C73" i="161"/>
  <c r="C69" i="161"/>
  <c r="C65" i="161"/>
  <c r="C61" i="161"/>
  <c r="C57" i="161"/>
  <c r="C49" i="161"/>
  <c r="C45" i="161"/>
  <c r="C51" i="161"/>
  <c r="C84" i="161"/>
  <c r="C80" i="161"/>
  <c r="C76" i="161"/>
  <c r="C72" i="161"/>
  <c r="C68" i="161"/>
  <c r="C64" i="161"/>
  <c r="C60" i="161"/>
  <c r="C56" i="161"/>
  <c r="C7" i="161"/>
  <c r="C39" i="161"/>
  <c r="C23" i="161"/>
  <c r="C19" i="161"/>
  <c r="C15" i="161"/>
  <c r="C21" i="161"/>
  <c r="C83" i="161"/>
  <c r="C79" i="161"/>
  <c r="C75" i="161"/>
  <c r="C71" i="161"/>
  <c r="C67" i="161"/>
  <c r="C63" i="161"/>
  <c r="C59" i="161"/>
  <c r="C55" i="161"/>
  <c r="C35" i="161"/>
  <c r="E5" i="161"/>
  <c r="C82" i="161"/>
  <c r="C78" i="161"/>
  <c r="C74" i="161"/>
  <c r="C70" i="161"/>
  <c r="C66" i="161"/>
  <c r="C62" i="161"/>
  <c r="C61" i="160"/>
  <c r="C68" i="160"/>
  <c r="C60" i="160"/>
  <c r="C83" i="160"/>
  <c r="C75" i="160"/>
  <c r="C67" i="160"/>
  <c r="C59" i="160"/>
  <c r="C84" i="160"/>
  <c r="C82" i="160"/>
  <c r="C74" i="160"/>
  <c r="C66" i="160"/>
  <c r="C58" i="160"/>
  <c r="C77" i="160"/>
  <c r="C76" i="160"/>
  <c r="C81" i="160"/>
  <c r="C73" i="160"/>
  <c r="C65" i="160"/>
  <c r="C57" i="160"/>
  <c r="C80" i="160"/>
  <c r="C72" i="160"/>
  <c r="C64" i="160"/>
  <c r="C56" i="160"/>
  <c r="C79" i="160"/>
  <c r="C71" i="160"/>
  <c r="C63" i="160"/>
  <c r="C55" i="160"/>
  <c r="C78" i="160"/>
  <c r="C70" i="160"/>
  <c r="C62" i="160"/>
  <c r="C54" i="160"/>
  <c r="C19" i="160"/>
  <c r="C27" i="160"/>
  <c r="C15" i="160"/>
  <c r="C45" i="160"/>
  <c r="C10" i="160"/>
  <c r="C5" i="160"/>
  <c r="C34" i="160"/>
  <c r="C29" i="160"/>
  <c r="C6" i="160"/>
  <c r="C18" i="160"/>
  <c r="C35" i="160"/>
  <c r="C47" i="160"/>
  <c r="C13" i="160"/>
  <c r="C25" i="160"/>
  <c r="C30" i="160"/>
  <c r="C42" i="160"/>
  <c r="C37" i="160"/>
  <c r="G4" i="160"/>
  <c r="F5" i="160" s="1"/>
  <c r="E5" i="160" s="1"/>
  <c r="C9" i="160"/>
  <c r="C14" i="160"/>
  <c r="C31" i="160"/>
  <c r="C41" i="160"/>
  <c r="C46" i="160"/>
  <c r="C13" i="161"/>
  <c r="C29" i="161"/>
  <c r="C11" i="160"/>
  <c r="C21" i="160"/>
  <c r="C26" i="160"/>
  <c r="C43" i="160"/>
  <c r="C11" i="161"/>
  <c r="C27" i="161"/>
  <c r="C50" i="161"/>
  <c r="C23" i="160"/>
  <c r="C33" i="160"/>
  <c r="C38" i="160"/>
  <c r="C9" i="161"/>
  <c r="C52" i="160"/>
  <c r="D52" i="160" s="1"/>
  <c r="C48" i="160"/>
  <c r="C44" i="160"/>
  <c r="C40" i="160"/>
  <c r="C36" i="160"/>
  <c r="C32" i="160"/>
  <c r="C28" i="160"/>
  <c r="C24" i="160"/>
  <c r="C20" i="160"/>
  <c r="C16" i="160"/>
  <c r="C12" i="160"/>
  <c r="C8" i="160"/>
  <c r="C7" i="160"/>
  <c r="C17" i="160"/>
  <c r="C22" i="160"/>
  <c r="C39" i="160"/>
  <c r="C49" i="160"/>
  <c r="C51" i="160"/>
  <c r="C52" i="161"/>
  <c r="D52" i="161" s="1"/>
  <c r="C48" i="161"/>
  <c r="C44" i="161"/>
  <c r="C40" i="161"/>
  <c r="C47" i="161"/>
  <c r="C41" i="161"/>
  <c r="C43" i="161"/>
  <c r="C38" i="161"/>
  <c r="C34" i="161"/>
  <c r="C30" i="161"/>
  <c r="C26" i="161"/>
  <c r="C22" i="161"/>
  <c r="C18" i="161"/>
  <c r="C14" i="161"/>
  <c r="C10" i="161"/>
  <c r="C6" i="161"/>
  <c r="C46" i="161"/>
  <c r="C42" i="161"/>
  <c r="C36" i="161"/>
  <c r="C32" i="161"/>
  <c r="C28" i="161"/>
  <c r="C24" i="161"/>
  <c r="C20" i="161"/>
  <c r="C16" i="161"/>
  <c r="C12" i="161"/>
  <c r="C8" i="161"/>
  <c r="C17" i="161"/>
  <c r="C33" i="161"/>
  <c r="B92" i="155"/>
  <c r="B91" i="155"/>
  <c r="B90" i="155"/>
  <c r="B89" i="155"/>
  <c r="B88" i="155"/>
  <c r="B87" i="155"/>
  <c r="B86" i="155"/>
  <c r="B85" i="155"/>
  <c r="B84" i="155"/>
  <c r="B83" i="155"/>
  <c r="B82" i="155"/>
  <c r="B81" i="155"/>
  <c r="B80" i="155"/>
  <c r="B79" i="155"/>
  <c r="C78" i="155"/>
  <c r="B78" i="155"/>
  <c r="B77" i="155"/>
  <c r="B76" i="155"/>
  <c r="B75" i="155"/>
  <c r="C74" i="155"/>
  <c r="B74" i="155"/>
  <c r="B73" i="155"/>
  <c r="B72" i="155"/>
  <c r="B71" i="155"/>
  <c r="C70" i="155"/>
  <c r="B70" i="155"/>
  <c r="B69" i="155"/>
  <c r="B68" i="155"/>
  <c r="B67" i="155"/>
  <c r="C66" i="155"/>
  <c r="B66" i="155"/>
  <c r="B65" i="155"/>
  <c r="B64" i="155"/>
  <c r="B63" i="155"/>
  <c r="C62" i="155"/>
  <c r="B62" i="155"/>
  <c r="B61" i="155"/>
  <c r="B60" i="155"/>
  <c r="B59" i="155"/>
  <c r="C58" i="155"/>
  <c r="B58" i="155"/>
  <c r="B57" i="155"/>
  <c r="B52" i="155"/>
  <c r="B51" i="155"/>
  <c r="B50" i="155"/>
  <c r="C49" i="155"/>
  <c r="B49" i="155"/>
  <c r="B48" i="155"/>
  <c r="B46" i="155"/>
  <c r="C45" i="155"/>
  <c r="B45" i="155"/>
  <c r="B44" i="155"/>
  <c r="B43" i="155"/>
  <c r="B42" i="155"/>
  <c r="C41" i="155"/>
  <c r="B41" i="155"/>
  <c r="B40" i="155"/>
  <c r="B39" i="155"/>
  <c r="B38" i="155"/>
  <c r="C37" i="155"/>
  <c r="B37" i="155"/>
  <c r="B36" i="155"/>
  <c r="B35" i="155"/>
  <c r="B34" i="155"/>
  <c r="C33" i="155"/>
  <c r="B33" i="155"/>
  <c r="B32" i="155"/>
  <c r="B31" i="155"/>
  <c r="B30" i="155"/>
  <c r="C29" i="155"/>
  <c r="B29" i="155"/>
  <c r="B28" i="155"/>
  <c r="B27" i="155"/>
  <c r="B26" i="155"/>
  <c r="C25" i="155"/>
  <c r="B25" i="155"/>
  <c r="B24" i="155"/>
  <c r="B23" i="155"/>
  <c r="B22" i="155"/>
  <c r="C21" i="155"/>
  <c r="B21" i="155"/>
  <c r="B20" i="155"/>
  <c r="B19" i="155"/>
  <c r="B18" i="155"/>
  <c r="C17" i="155"/>
  <c r="B17" i="155"/>
  <c r="B16" i="155"/>
  <c r="B56" i="155" s="1"/>
  <c r="B15" i="155"/>
  <c r="B55" i="155" s="1"/>
  <c r="B14" i="155"/>
  <c r="B54" i="155" s="1"/>
  <c r="C13" i="155"/>
  <c r="C53" i="155" s="1"/>
  <c r="B13" i="155"/>
  <c r="B53" i="155" s="1"/>
  <c r="B12" i="155"/>
  <c r="B11" i="155"/>
  <c r="B10" i="155"/>
  <c r="C9" i="155"/>
  <c r="B9" i="155"/>
  <c r="B8" i="155"/>
  <c r="B7" i="155"/>
  <c r="B6" i="155"/>
  <c r="C5" i="155"/>
  <c r="B5" i="155"/>
  <c r="B47" i="155" s="1"/>
  <c r="F4" i="155"/>
  <c r="G4" i="155" s="1"/>
  <c r="F5" i="155" s="1"/>
  <c r="B4" i="155"/>
  <c r="F1" i="155"/>
  <c r="C82" i="155" s="1"/>
  <c r="D1" i="155"/>
  <c r="C50" i="155" s="1"/>
  <c r="D5" i="162" l="1"/>
  <c r="G5" i="162" s="1"/>
  <c r="F6" i="162" s="1"/>
  <c r="E6" i="162" s="1"/>
  <c r="D6" i="162" s="1"/>
  <c r="G6" i="162" s="1"/>
  <c r="F7" i="162" s="1"/>
  <c r="D5" i="163"/>
  <c r="G5" i="163" s="1"/>
  <c r="F6" i="163" s="1"/>
  <c r="D5" i="160"/>
  <c r="G5" i="160" s="1"/>
  <c r="F6" i="160" s="1"/>
  <c r="E6" i="160" s="1"/>
  <c r="D6" i="160" s="1"/>
  <c r="G6" i="160" s="1"/>
  <c r="F7" i="160" s="1"/>
  <c r="E6" i="161"/>
  <c r="D6" i="161" s="1"/>
  <c r="G6" i="161" s="1"/>
  <c r="F7" i="161" s="1"/>
  <c r="C53" i="161"/>
  <c r="E5" i="155"/>
  <c r="D5" i="155" s="1"/>
  <c r="G5" i="155" s="1"/>
  <c r="F6" i="155" s="1"/>
  <c r="C8" i="155"/>
  <c r="C12" i="155"/>
  <c r="C16" i="155"/>
  <c r="C20" i="155"/>
  <c r="C24" i="155"/>
  <c r="C28" i="155"/>
  <c r="C32" i="155"/>
  <c r="C36" i="155"/>
  <c r="C40" i="155"/>
  <c r="C44" i="155"/>
  <c r="C48" i="155"/>
  <c r="C52" i="155"/>
  <c r="D52" i="155" s="1"/>
  <c r="C57" i="155"/>
  <c r="C61" i="155"/>
  <c r="C65" i="155"/>
  <c r="C69" i="155"/>
  <c r="C73" i="155"/>
  <c r="C77" i="155"/>
  <c r="C81" i="155"/>
  <c r="C85" i="155"/>
  <c r="C89" i="155"/>
  <c r="C90" i="155"/>
  <c r="E4" i="155"/>
  <c r="C7" i="155"/>
  <c r="C11" i="155"/>
  <c r="C15" i="155"/>
  <c r="C19" i="155"/>
  <c r="C23" i="155"/>
  <c r="C27" i="155"/>
  <c r="C31" i="155"/>
  <c r="C35" i="155"/>
  <c r="C39" i="155"/>
  <c r="C43" i="155"/>
  <c r="C47" i="155"/>
  <c r="C51" i="155"/>
  <c r="C60" i="155"/>
  <c r="C64" i="155"/>
  <c r="C68" i="155"/>
  <c r="C72" i="155"/>
  <c r="C76" i="155"/>
  <c r="C80" i="155"/>
  <c r="C84" i="155"/>
  <c r="C88" i="155"/>
  <c r="C92" i="155"/>
  <c r="D92" i="155" s="1"/>
  <c r="C86" i="155"/>
  <c r="C6" i="155"/>
  <c r="C10" i="155"/>
  <c r="C14" i="155"/>
  <c r="C18" i="155"/>
  <c r="C22" i="155"/>
  <c r="C26" i="155"/>
  <c r="C30" i="155"/>
  <c r="C34" i="155"/>
  <c r="C38" i="155"/>
  <c r="C42" i="155"/>
  <c r="C46" i="155"/>
  <c r="C59" i="155"/>
  <c r="C63" i="155"/>
  <c r="C67" i="155"/>
  <c r="C71" i="155"/>
  <c r="C75" i="155"/>
  <c r="C79" i="155"/>
  <c r="C83" i="155"/>
  <c r="C87" i="155"/>
  <c r="C91" i="155"/>
  <c r="E6" i="163" l="1"/>
  <c r="D6" i="163" s="1"/>
  <c r="G6" i="163" s="1"/>
  <c r="F7" i="163" s="1"/>
  <c r="E7" i="162"/>
  <c r="D7" i="162" s="1"/>
  <c r="G7" i="162" s="1"/>
  <c r="F8" i="162" s="1"/>
  <c r="E7" i="161"/>
  <c r="D7" i="161" s="1"/>
  <c r="G7" i="161" s="1"/>
  <c r="F8" i="161" s="1"/>
  <c r="E7" i="160"/>
  <c r="D7" i="160" s="1"/>
  <c r="G7" i="160" s="1"/>
  <c r="F8" i="160" s="1"/>
  <c r="E6" i="155"/>
  <c r="D6" i="155" s="1"/>
  <c r="G6" i="155" s="1"/>
  <c r="F7" i="155" s="1"/>
  <c r="C55" i="155"/>
  <c r="C54" i="155"/>
  <c r="C56" i="155"/>
  <c r="E7" i="163" l="1"/>
  <c r="D7" i="163" s="1"/>
  <c r="G7" i="163" s="1"/>
  <c r="F8" i="163" s="1"/>
  <c r="E8" i="162"/>
  <c r="D8" i="162" s="1"/>
  <c r="G8" i="162" s="1"/>
  <c r="F9" i="162" s="1"/>
  <c r="E8" i="160"/>
  <c r="D8" i="160" s="1"/>
  <c r="G8" i="160" s="1"/>
  <c r="F9" i="160" s="1"/>
  <c r="E8" i="161"/>
  <c r="D8" i="161" s="1"/>
  <c r="G8" i="161" s="1"/>
  <c r="F9" i="161" s="1"/>
  <c r="E7" i="155"/>
  <c r="D7" i="155" s="1"/>
  <c r="G7" i="155" s="1"/>
  <c r="F8" i="155" s="1"/>
  <c r="E8" i="163" l="1"/>
  <c r="D8" i="163" s="1"/>
  <c r="G8" i="163" s="1"/>
  <c r="F9" i="163" s="1"/>
  <c r="E9" i="162"/>
  <c r="D9" i="162" s="1"/>
  <c r="G9" i="162" s="1"/>
  <c r="F10" i="162" s="1"/>
  <c r="E9" i="161"/>
  <c r="D9" i="161" s="1"/>
  <c r="G9" i="161" s="1"/>
  <c r="F10" i="161" s="1"/>
  <c r="E9" i="160"/>
  <c r="D9" i="160" s="1"/>
  <c r="G9" i="160" s="1"/>
  <c r="F10" i="160" s="1"/>
  <c r="E8" i="155"/>
  <c r="D8" i="155" s="1"/>
  <c r="G8" i="155" s="1"/>
  <c r="F9" i="155" s="1"/>
  <c r="E9" i="163" l="1"/>
  <c r="D9" i="163" s="1"/>
  <c r="G9" i="163" s="1"/>
  <c r="F10" i="163" s="1"/>
  <c r="E10" i="162"/>
  <c r="D10" i="162" s="1"/>
  <c r="G10" i="162" s="1"/>
  <c r="F11" i="162" s="1"/>
  <c r="E10" i="160"/>
  <c r="D10" i="160" s="1"/>
  <c r="G10" i="160" s="1"/>
  <c r="F11" i="160" s="1"/>
  <c r="E10" i="161"/>
  <c r="D10" i="161" s="1"/>
  <c r="G10" i="161" s="1"/>
  <c r="F11" i="161" s="1"/>
  <c r="E9" i="155"/>
  <c r="D9" i="155" s="1"/>
  <c r="G9" i="155" s="1"/>
  <c r="F10" i="155" s="1"/>
  <c r="E10" i="163" l="1"/>
  <c r="D10" i="163" s="1"/>
  <c r="G10" i="163" s="1"/>
  <c r="F11" i="163" s="1"/>
  <c r="E11" i="162"/>
  <c r="D11" i="162" s="1"/>
  <c r="G11" i="162" s="1"/>
  <c r="F12" i="162" s="1"/>
  <c r="E11" i="161"/>
  <c r="D11" i="161" s="1"/>
  <c r="G11" i="161" s="1"/>
  <c r="F12" i="161" s="1"/>
  <c r="E11" i="160"/>
  <c r="D11" i="160" s="1"/>
  <c r="G11" i="160" s="1"/>
  <c r="F12" i="160" s="1"/>
  <c r="E10" i="155"/>
  <c r="D10" i="155" s="1"/>
  <c r="G10" i="155" s="1"/>
  <c r="F11" i="155" s="1"/>
  <c r="E11" i="163" l="1"/>
  <c r="D11" i="163" s="1"/>
  <c r="G11" i="163" s="1"/>
  <c r="F12" i="163" s="1"/>
  <c r="E12" i="162"/>
  <c r="D12" i="162" s="1"/>
  <c r="G12" i="162" s="1"/>
  <c r="F13" i="162" s="1"/>
  <c r="E12" i="160"/>
  <c r="D12" i="160" s="1"/>
  <c r="G12" i="160" s="1"/>
  <c r="F13" i="160" s="1"/>
  <c r="E12" i="161"/>
  <c r="D12" i="161" s="1"/>
  <c r="G12" i="161" s="1"/>
  <c r="F13" i="161" s="1"/>
  <c r="E11" i="155"/>
  <c r="D11" i="155" s="1"/>
  <c r="G11" i="155" s="1"/>
  <c r="F12" i="155" s="1"/>
  <c r="E12" i="163" l="1"/>
  <c r="D12" i="163" s="1"/>
  <c r="G12" i="163" s="1"/>
  <c r="F13" i="163" s="1"/>
  <c r="F53" i="163" s="1"/>
  <c r="E53" i="163" s="1"/>
  <c r="D53" i="163" s="1"/>
  <c r="G53" i="163" s="1"/>
  <c r="F54" i="163" s="1"/>
  <c r="E54" i="163" s="1"/>
  <c r="D54" i="163" s="1"/>
  <c r="G54" i="163" s="1"/>
  <c r="F55" i="163" s="1"/>
  <c r="E55" i="163" s="1"/>
  <c r="D55" i="163" s="1"/>
  <c r="G55" i="163" s="1"/>
  <c r="F56" i="163" s="1"/>
  <c r="E56" i="163" s="1"/>
  <c r="D56" i="163" s="1"/>
  <c r="G56" i="163" s="1"/>
  <c r="F57" i="163" s="1"/>
  <c r="E57" i="163" s="1"/>
  <c r="D57" i="163" s="1"/>
  <c r="G57" i="163" s="1"/>
  <c r="F58" i="163" s="1"/>
  <c r="E58" i="163" s="1"/>
  <c r="D58" i="163" s="1"/>
  <c r="G58" i="163" s="1"/>
  <c r="F59" i="163" s="1"/>
  <c r="E59" i="163" s="1"/>
  <c r="D59" i="163" s="1"/>
  <c r="G59" i="163" s="1"/>
  <c r="F60" i="163" s="1"/>
  <c r="E60" i="163" s="1"/>
  <c r="D60" i="163" s="1"/>
  <c r="G60" i="163" s="1"/>
  <c r="F61" i="163" s="1"/>
  <c r="E61" i="163" s="1"/>
  <c r="D61" i="163" s="1"/>
  <c r="G61" i="163" s="1"/>
  <c r="F62" i="163" s="1"/>
  <c r="E62" i="163" s="1"/>
  <c r="D62" i="163" s="1"/>
  <c r="G62" i="163" s="1"/>
  <c r="F63" i="163" s="1"/>
  <c r="E63" i="163" s="1"/>
  <c r="D63" i="163" s="1"/>
  <c r="G63" i="163" s="1"/>
  <c r="F64" i="163" s="1"/>
  <c r="E64" i="163" s="1"/>
  <c r="D64" i="163" s="1"/>
  <c r="G64" i="163" s="1"/>
  <c r="F65" i="163" s="1"/>
  <c r="F53" i="162"/>
  <c r="E13" i="162"/>
  <c r="D13" i="162" s="1"/>
  <c r="G13" i="162" s="1"/>
  <c r="F14" i="162" s="1"/>
  <c r="F53" i="160"/>
  <c r="E53" i="160" s="1"/>
  <c r="D53" i="160" s="1"/>
  <c r="G53" i="160" s="1"/>
  <c r="F54" i="160" s="1"/>
  <c r="F53" i="161"/>
  <c r="E13" i="161"/>
  <c r="E13" i="160"/>
  <c r="E12" i="155"/>
  <c r="D12" i="155" s="1"/>
  <c r="G12" i="155" s="1"/>
  <c r="F13" i="155" s="1"/>
  <c r="E65" i="163" l="1"/>
  <c r="D65" i="163" s="1"/>
  <c r="G65" i="163" s="1"/>
  <c r="F66" i="163" s="1"/>
  <c r="E66" i="163" s="1"/>
  <c r="E13" i="163"/>
  <c r="E14" i="162"/>
  <c r="D14" i="162" s="1"/>
  <c r="G14" i="162" s="1"/>
  <c r="F15" i="162" s="1"/>
  <c r="E53" i="162"/>
  <c r="D53" i="162" s="1"/>
  <c r="G53" i="162" s="1"/>
  <c r="F54" i="162" s="1"/>
  <c r="E53" i="161"/>
  <c r="D13" i="161"/>
  <c r="D13" i="160"/>
  <c r="F53" i="155"/>
  <c r="E13" i="155"/>
  <c r="D66" i="163" l="1"/>
  <c r="G66" i="163" s="1"/>
  <c r="F67" i="163" s="1"/>
  <c r="E67" i="163" s="1"/>
  <c r="D13" i="163"/>
  <c r="E15" i="162"/>
  <c r="D15" i="162" s="1"/>
  <c r="G15" i="162" s="1"/>
  <c r="F16" i="162" s="1"/>
  <c r="E54" i="162"/>
  <c r="D54" i="162" s="1"/>
  <c r="G54" i="162" s="1"/>
  <c r="F55" i="162" s="1"/>
  <c r="G13" i="160"/>
  <c r="E54" i="160" s="1"/>
  <c r="D54" i="160" s="1"/>
  <c r="G54" i="160" s="1"/>
  <c r="F55" i="160" s="1"/>
  <c r="D53" i="161"/>
  <c r="G13" i="161"/>
  <c r="E53" i="155"/>
  <c r="D13" i="155"/>
  <c r="D67" i="163" l="1"/>
  <c r="G67" i="163" s="1"/>
  <c r="F68" i="163" s="1"/>
  <c r="E68" i="163" s="1"/>
  <c r="G13" i="163"/>
  <c r="E55" i="162"/>
  <c r="D55" i="162" s="1"/>
  <c r="G55" i="162" s="1"/>
  <c r="F56" i="162" s="1"/>
  <c r="E56" i="162" s="1"/>
  <c r="D56" i="162" s="1"/>
  <c r="G56" i="162" s="1"/>
  <c r="F57" i="162" s="1"/>
  <c r="E57" i="162" s="1"/>
  <c r="D57" i="162" s="1"/>
  <c r="G57" i="162" s="1"/>
  <c r="F58" i="162" s="1"/>
  <c r="E58" i="162" s="1"/>
  <c r="D58" i="162" s="1"/>
  <c r="G58" i="162" s="1"/>
  <c r="F59" i="162" s="1"/>
  <c r="E59" i="162" s="1"/>
  <c r="D59" i="162" s="1"/>
  <c r="G59" i="162" s="1"/>
  <c r="F60" i="162" s="1"/>
  <c r="E60" i="162" s="1"/>
  <c r="D60" i="162" s="1"/>
  <c r="G60" i="162" s="1"/>
  <c r="F61" i="162" s="1"/>
  <c r="E61" i="162" s="1"/>
  <c r="D61" i="162" s="1"/>
  <c r="G61" i="162" s="1"/>
  <c r="F62" i="162" s="1"/>
  <c r="E62" i="162" s="1"/>
  <c r="D62" i="162" s="1"/>
  <c r="G62" i="162" s="1"/>
  <c r="F63" i="162" s="1"/>
  <c r="E63" i="162" s="1"/>
  <c r="D63" i="162" s="1"/>
  <c r="G63" i="162" s="1"/>
  <c r="F64" i="162" s="1"/>
  <c r="E64" i="162" s="1"/>
  <c r="D64" i="162" s="1"/>
  <c r="G64" i="162" s="1"/>
  <c r="F65" i="162" s="1"/>
  <c r="E65" i="162" s="1"/>
  <c r="D65" i="162" s="1"/>
  <c r="G65" i="162" s="1"/>
  <c r="F66" i="162" s="1"/>
  <c r="E66" i="162" s="1"/>
  <c r="E16" i="162"/>
  <c r="D16" i="162" s="1"/>
  <c r="G16" i="162" s="1"/>
  <c r="F17" i="162" s="1"/>
  <c r="E55" i="160"/>
  <c r="D55" i="160" s="1"/>
  <c r="G55" i="160" s="1"/>
  <c r="F56" i="160" s="1"/>
  <c r="E56" i="160" s="1"/>
  <c r="D56" i="160" s="1"/>
  <c r="G56" i="160" s="1"/>
  <c r="F57" i="160" s="1"/>
  <c r="E57" i="160" s="1"/>
  <c r="D57" i="160" s="1"/>
  <c r="G57" i="160" s="1"/>
  <c r="F14" i="160"/>
  <c r="G53" i="161"/>
  <c r="F54" i="161" s="1"/>
  <c r="E54" i="161" s="1"/>
  <c r="D54" i="161" s="1"/>
  <c r="G54" i="161" s="1"/>
  <c r="F55" i="161" s="1"/>
  <c r="F14" i="161"/>
  <c r="D53" i="155"/>
  <c r="G13" i="155"/>
  <c r="D68" i="163" l="1"/>
  <c r="G68" i="163" s="1"/>
  <c r="F69" i="163" s="1"/>
  <c r="E69" i="163" s="1"/>
  <c r="D66" i="162"/>
  <c r="G66" i="162" s="1"/>
  <c r="F67" i="162" s="1"/>
  <c r="E67" i="162" s="1"/>
  <c r="D67" i="162" s="1"/>
  <c r="G67" i="162" s="1"/>
  <c r="F68" i="162" s="1"/>
  <c r="E68" i="162" s="1"/>
  <c r="D68" i="162" s="1"/>
  <c r="G68" i="162" s="1"/>
  <c r="F69" i="162" s="1"/>
  <c r="E69" i="162" s="1"/>
  <c r="D69" i="162" s="1"/>
  <c r="G69" i="162" s="1"/>
  <c r="F70" i="162" s="1"/>
  <c r="E70" i="162" s="1"/>
  <c r="F14" i="163"/>
  <c r="E17" i="162"/>
  <c r="D17" i="162" s="1"/>
  <c r="G17" i="162" s="1"/>
  <c r="F18" i="162" s="1"/>
  <c r="E55" i="161"/>
  <c r="D55" i="161" s="1"/>
  <c r="G55" i="161" s="1"/>
  <c r="F56" i="161" s="1"/>
  <c r="E56" i="161" s="1"/>
  <c r="D56" i="161" s="1"/>
  <c r="G56" i="161" s="1"/>
  <c r="F57" i="161" s="1"/>
  <c r="E14" i="161"/>
  <c r="E14" i="160"/>
  <c r="G53" i="155"/>
  <c r="F14" i="155"/>
  <c r="D69" i="163" l="1"/>
  <c r="G69" i="163" s="1"/>
  <c r="F70" i="163" s="1"/>
  <c r="E70" i="163" s="1"/>
  <c r="D70" i="162"/>
  <c r="G70" i="162" s="1"/>
  <c r="F71" i="162" s="1"/>
  <c r="E71" i="162" s="1"/>
  <c r="E14" i="163"/>
  <c r="D14" i="163" s="1"/>
  <c r="G14" i="163" s="1"/>
  <c r="F15" i="163" s="1"/>
  <c r="E18" i="162"/>
  <c r="D18" i="162" s="1"/>
  <c r="G18" i="162" s="1"/>
  <c r="F19" i="162" s="1"/>
  <c r="E57" i="161"/>
  <c r="D57" i="161" s="1"/>
  <c r="G57" i="161" s="1"/>
  <c r="F58" i="161" s="1"/>
  <c r="D14" i="161"/>
  <c r="D14" i="160"/>
  <c r="F54" i="155"/>
  <c r="E14" i="155"/>
  <c r="D70" i="163" l="1"/>
  <c r="G70" i="163" s="1"/>
  <c r="F71" i="163" s="1"/>
  <c r="E71" i="163" s="1"/>
  <c r="D71" i="162"/>
  <c r="G71" i="162" s="1"/>
  <c r="F72" i="162" s="1"/>
  <c r="E72" i="162" s="1"/>
  <c r="E15" i="163"/>
  <c r="D15" i="163" s="1"/>
  <c r="G15" i="163" s="1"/>
  <c r="F16" i="163" s="1"/>
  <c r="E19" i="162"/>
  <c r="D19" i="162" s="1"/>
  <c r="G19" i="162" s="1"/>
  <c r="F20" i="162" s="1"/>
  <c r="E58" i="161"/>
  <c r="D58" i="161" s="1"/>
  <c r="G58" i="161" s="1"/>
  <c r="F59" i="161" s="1"/>
  <c r="G14" i="161"/>
  <c r="G14" i="160"/>
  <c r="E54" i="155"/>
  <c r="D14" i="155"/>
  <c r="D71" i="163" l="1"/>
  <c r="G71" i="163" s="1"/>
  <c r="F72" i="163" s="1"/>
  <c r="E72" i="163" s="1"/>
  <c r="D72" i="162"/>
  <c r="G72" i="162" s="1"/>
  <c r="F73" i="162" s="1"/>
  <c r="E73" i="162" s="1"/>
  <c r="E16" i="163"/>
  <c r="D16" i="163" s="1"/>
  <c r="G16" i="163"/>
  <c r="F17" i="163" s="1"/>
  <c r="E20" i="162"/>
  <c r="D20" i="162" s="1"/>
  <c r="G20" i="162" s="1"/>
  <c r="F21" i="162" s="1"/>
  <c r="E59" i="161"/>
  <c r="D59" i="161" s="1"/>
  <c r="G59" i="161" s="1"/>
  <c r="F60" i="161" s="1"/>
  <c r="F15" i="161"/>
  <c r="F15" i="160"/>
  <c r="D54" i="155"/>
  <c r="G14" i="155"/>
  <c r="D72" i="163" l="1"/>
  <c r="G72" i="163" s="1"/>
  <c r="F73" i="163" s="1"/>
  <c r="E73" i="163" s="1"/>
  <c r="D73" i="162"/>
  <c r="G73" i="162" s="1"/>
  <c r="F74" i="162" s="1"/>
  <c r="E74" i="162" s="1"/>
  <c r="E17" i="163"/>
  <c r="D17" i="163" s="1"/>
  <c r="G17" i="163" s="1"/>
  <c r="F18" i="163" s="1"/>
  <c r="E21" i="162"/>
  <c r="D21" i="162" s="1"/>
  <c r="G21" i="162" s="1"/>
  <c r="F22" i="162" s="1"/>
  <c r="E60" i="161"/>
  <c r="D60" i="161" s="1"/>
  <c r="G60" i="161" s="1"/>
  <c r="F61" i="161" s="1"/>
  <c r="E15" i="161"/>
  <c r="E15" i="160"/>
  <c r="F15" i="155"/>
  <c r="G54" i="155"/>
  <c r="D73" i="163" l="1"/>
  <c r="G73" i="163" s="1"/>
  <c r="F74" i="163" s="1"/>
  <c r="E74" i="163" s="1"/>
  <c r="D74" i="162"/>
  <c r="G74" i="162" s="1"/>
  <c r="F75" i="162" s="1"/>
  <c r="E75" i="162" s="1"/>
  <c r="E18" i="163"/>
  <c r="D18" i="163" s="1"/>
  <c r="G18" i="163" s="1"/>
  <c r="F19" i="163" s="1"/>
  <c r="E22" i="162"/>
  <c r="D22" i="162" s="1"/>
  <c r="G22" i="162" s="1"/>
  <c r="F23" i="162" s="1"/>
  <c r="E61" i="161"/>
  <c r="D61" i="161" s="1"/>
  <c r="G61" i="161" s="1"/>
  <c r="F62" i="161" s="1"/>
  <c r="D15" i="161"/>
  <c r="D15" i="160"/>
  <c r="E15" i="155"/>
  <c r="F55" i="155"/>
  <c r="D74" i="163" l="1"/>
  <c r="G74" i="163" s="1"/>
  <c r="F75" i="163" s="1"/>
  <c r="E75" i="163" s="1"/>
  <c r="D75" i="162"/>
  <c r="G75" i="162" s="1"/>
  <c r="F76" i="162" s="1"/>
  <c r="E76" i="162" s="1"/>
  <c r="E19" i="163"/>
  <c r="D19" i="163" s="1"/>
  <c r="G19" i="163" s="1"/>
  <c r="F20" i="163" s="1"/>
  <c r="E23" i="162"/>
  <c r="D23" i="162" s="1"/>
  <c r="G23" i="162" s="1"/>
  <c r="F24" i="162" s="1"/>
  <c r="E62" i="161"/>
  <c r="D62" i="161" s="1"/>
  <c r="G62" i="161" s="1"/>
  <c r="F63" i="161" s="1"/>
  <c r="G15" i="161"/>
  <c r="G15" i="160"/>
  <c r="E55" i="155"/>
  <c r="D15" i="155"/>
  <c r="D75" i="163" l="1"/>
  <c r="G75" i="163" s="1"/>
  <c r="F76" i="163" s="1"/>
  <c r="E76" i="163" s="1"/>
  <c r="D76" i="162"/>
  <c r="G76" i="162" s="1"/>
  <c r="F77" i="162" s="1"/>
  <c r="E77" i="162" s="1"/>
  <c r="E20" i="163"/>
  <c r="D20" i="163" s="1"/>
  <c r="G20" i="163" s="1"/>
  <c r="F21" i="163" s="1"/>
  <c r="E24" i="162"/>
  <c r="D24" i="162" s="1"/>
  <c r="G24" i="162" s="1"/>
  <c r="F25" i="162" s="1"/>
  <c r="E63" i="161"/>
  <c r="D63" i="161" s="1"/>
  <c r="G63" i="161" s="1"/>
  <c r="F64" i="161" s="1"/>
  <c r="F16" i="161"/>
  <c r="F16" i="160"/>
  <c r="D55" i="155"/>
  <c r="G15" i="155"/>
  <c r="D76" i="163" l="1"/>
  <c r="G76" i="163" s="1"/>
  <c r="F77" i="163" s="1"/>
  <c r="E77" i="163" s="1"/>
  <c r="D77" i="162"/>
  <c r="G77" i="162" s="1"/>
  <c r="F78" i="162" s="1"/>
  <c r="E78" i="162" s="1"/>
  <c r="E21" i="163"/>
  <c r="D21" i="163" s="1"/>
  <c r="G21" i="163" s="1"/>
  <c r="F22" i="163" s="1"/>
  <c r="E25" i="162"/>
  <c r="D25" i="162" s="1"/>
  <c r="G25" i="162" s="1"/>
  <c r="F26" i="162" s="1"/>
  <c r="E64" i="161"/>
  <c r="D64" i="161" s="1"/>
  <c r="G64" i="161" s="1"/>
  <c r="F65" i="161" s="1"/>
  <c r="E16" i="161"/>
  <c r="E16" i="160"/>
  <c r="F16" i="155"/>
  <c r="G55" i="155"/>
  <c r="D77" i="163" l="1"/>
  <c r="G77" i="163" s="1"/>
  <c r="F78" i="163" s="1"/>
  <c r="E78" i="163" s="1"/>
  <c r="D78" i="162"/>
  <c r="G78" i="162" s="1"/>
  <c r="F79" i="162" s="1"/>
  <c r="E79" i="162" s="1"/>
  <c r="E22" i="163"/>
  <c r="D22" i="163" s="1"/>
  <c r="G22" i="163" s="1"/>
  <c r="F23" i="163" s="1"/>
  <c r="E26" i="162"/>
  <c r="D26" i="162" s="1"/>
  <c r="G26" i="162" s="1"/>
  <c r="F27" i="162" s="1"/>
  <c r="E65" i="161"/>
  <c r="D65" i="161" s="1"/>
  <c r="G65" i="161" s="1"/>
  <c r="F66" i="161" s="1"/>
  <c r="D16" i="160"/>
  <c r="D16" i="161"/>
  <c r="F56" i="155"/>
  <c r="E16" i="155"/>
  <c r="D78" i="163" l="1"/>
  <c r="G78" i="163" s="1"/>
  <c r="F79" i="163" s="1"/>
  <c r="E79" i="163" s="1"/>
  <c r="D79" i="162"/>
  <c r="G79" i="162" s="1"/>
  <c r="F80" i="162" s="1"/>
  <c r="E80" i="162" s="1"/>
  <c r="E23" i="163"/>
  <c r="D23" i="163" s="1"/>
  <c r="G23" i="163" s="1"/>
  <c r="F24" i="163" s="1"/>
  <c r="E27" i="162"/>
  <c r="D27" i="162" s="1"/>
  <c r="G27" i="162" s="1"/>
  <c r="F28" i="162" s="1"/>
  <c r="E66" i="161"/>
  <c r="D66" i="161" s="1"/>
  <c r="G66" i="161" s="1"/>
  <c r="F67" i="161" s="1"/>
  <c r="E67" i="161" s="1"/>
  <c r="D67" i="161" s="1"/>
  <c r="G67" i="161" s="1"/>
  <c r="F68" i="161" s="1"/>
  <c r="E68" i="161" s="1"/>
  <c r="D68" i="161" s="1"/>
  <c r="G68" i="161" s="1"/>
  <c r="F69" i="161" s="1"/>
  <c r="E69" i="161" s="1"/>
  <c r="D69" i="161" s="1"/>
  <c r="G69" i="161" s="1"/>
  <c r="F70" i="161" s="1"/>
  <c r="E70" i="161" s="1"/>
  <c r="D70" i="161" s="1"/>
  <c r="G70" i="161" s="1"/>
  <c r="F71" i="161" s="1"/>
  <c r="E71" i="161" s="1"/>
  <c r="D71" i="161" s="1"/>
  <c r="G71" i="161" s="1"/>
  <c r="F72" i="161" s="1"/>
  <c r="E72" i="161" s="1"/>
  <c r="D72" i="161" s="1"/>
  <c r="G72" i="161" s="1"/>
  <c r="F73" i="161" s="1"/>
  <c r="E73" i="161" s="1"/>
  <c r="D73" i="161" s="1"/>
  <c r="G73" i="161" s="1"/>
  <c r="F74" i="161" s="1"/>
  <c r="E74" i="161" s="1"/>
  <c r="D74" i="161" s="1"/>
  <c r="G74" i="161" s="1"/>
  <c r="F75" i="161" s="1"/>
  <c r="E75" i="161" s="1"/>
  <c r="D75" i="161" s="1"/>
  <c r="G75" i="161" s="1"/>
  <c r="F76" i="161" s="1"/>
  <c r="E76" i="161" s="1"/>
  <c r="D76" i="161" s="1"/>
  <c r="G76" i="161" s="1"/>
  <c r="F77" i="161" s="1"/>
  <c r="E77" i="161" s="1"/>
  <c r="D77" i="161" s="1"/>
  <c r="G77" i="161" s="1"/>
  <c r="F78" i="161" s="1"/>
  <c r="E78" i="161" s="1"/>
  <c r="G16" i="160"/>
  <c r="G16" i="161"/>
  <c r="E56" i="155"/>
  <c r="D16" i="155"/>
  <c r="D79" i="163" l="1"/>
  <c r="G79" i="163" s="1"/>
  <c r="F80" i="163" s="1"/>
  <c r="E80" i="163" s="1"/>
  <c r="D80" i="162"/>
  <c r="G80" i="162" s="1"/>
  <c r="F81" i="162" s="1"/>
  <c r="E81" i="162" s="1"/>
  <c r="E24" i="163"/>
  <c r="D24" i="163" s="1"/>
  <c r="G24" i="163" s="1"/>
  <c r="F25" i="163" s="1"/>
  <c r="E28" i="162"/>
  <c r="D28" i="162" s="1"/>
  <c r="G28" i="162" s="1"/>
  <c r="F29" i="162" s="1"/>
  <c r="D78" i="161"/>
  <c r="G78" i="161" s="1"/>
  <c r="F79" i="161" s="1"/>
  <c r="E79" i="161" s="1"/>
  <c r="F17" i="160"/>
  <c r="F17" i="161"/>
  <c r="D56" i="155"/>
  <c r="G16" i="155"/>
  <c r="D80" i="163" l="1"/>
  <c r="G80" i="163" s="1"/>
  <c r="F81" i="163" s="1"/>
  <c r="E81" i="163" s="1"/>
  <c r="D81" i="162"/>
  <c r="G81" i="162" s="1"/>
  <c r="F82" i="162" s="1"/>
  <c r="E82" i="162" s="1"/>
  <c r="E25" i="163"/>
  <c r="D25" i="163" s="1"/>
  <c r="G25" i="163" s="1"/>
  <c r="F26" i="163" s="1"/>
  <c r="E29" i="162"/>
  <c r="D29" i="162" s="1"/>
  <c r="G29" i="162" s="1"/>
  <c r="F30" i="162" s="1"/>
  <c r="D79" i="161"/>
  <c r="G79" i="161" s="1"/>
  <c r="F80" i="161" s="1"/>
  <c r="E80" i="161" s="1"/>
  <c r="F58" i="160"/>
  <c r="E17" i="160"/>
  <c r="D17" i="160" s="1"/>
  <c r="G17" i="160" s="1"/>
  <c r="F18" i="160" s="1"/>
  <c r="E17" i="161"/>
  <c r="D17" i="161" s="1"/>
  <c r="G17" i="161" s="1"/>
  <c r="F18" i="161" s="1"/>
  <c r="F17" i="155"/>
  <c r="G56" i="155"/>
  <c r="F57" i="155"/>
  <c r="D81" i="163" l="1"/>
  <c r="G81" i="163" s="1"/>
  <c r="F82" i="163" s="1"/>
  <c r="E82" i="163" s="1"/>
  <c r="D82" i="162"/>
  <c r="G82" i="162" s="1"/>
  <c r="F83" i="162" s="1"/>
  <c r="E83" i="162" s="1"/>
  <c r="E26" i="163"/>
  <c r="D26" i="163" s="1"/>
  <c r="G26" i="163" s="1"/>
  <c r="F27" i="163" s="1"/>
  <c r="E30" i="162"/>
  <c r="D30" i="162" s="1"/>
  <c r="G30" i="162" s="1"/>
  <c r="F31" i="162" s="1"/>
  <c r="D80" i="161"/>
  <c r="G80" i="161" s="1"/>
  <c r="F81" i="161" s="1"/>
  <c r="E81" i="161" s="1"/>
  <c r="E58" i="160"/>
  <c r="E18" i="160"/>
  <c r="D18" i="160" s="1"/>
  <c r="G18" i="160" s="1"/>
  <c r="F19" i="160" s="1"/>
  <c r="E18" i="161"/>
  <c r="D18" i="161" s="1"/>
  <c r="G18" i="161" s="1"/>
  <c r="F19" i="161" s="1"/>
  <c r="E57" i="155"/>
  <c r="D57" i="155" s="1"/>
  <c r="G57" i="155" s="1"/>
  <c r="F58" i="155" s="1"/>
  <c r="E17" i="155"/>
  <c r="D17" i="155" s="1"/>
  <c r="G17" i="155" s="1"/>
  <c r="F18" i="155" s="1"/>
  <c r="D82" i="163" l="1"/>
  <c r="G82" i="163" s="1"/>
  <c r="F83" i="163" s="1"/>
  <c r="E83" i="163" s="1"/>
  <c r="D83" i="162"/>
  <c r="G83" i="162" s="1"/>
  <c r="F84" i="162" s="1"/>
  <c r="E84" i="162" s="1"/>
  <c r="E27" i="163"/>
  <c r="D27" i="163" s="1"/>
  <c r="G27" i="163" s="1"/>
  <c r="F28" i="163" s="1"/>
  <c r="E31" i="162"/>
  <c r="D31" i="162" s="1"/>
  <c r="G31" i="162" s="1"/>
  <c r="F32" i="162" s="1"/>
  <c r="D81" i="161"/>
  <c r="G81" i="161" s="1"/>
  <c r="F82" i="161" s="1"/>
  <c r="E82" i="161" s="1"/>
  <c r="D58" i="160"/>
  <c r="E19" i="161"/>
  <c r="D19" i="161" s="1"/>
  <c r="G19" i="161" s="1"/>
  <c r="F20" i="161" s="1"/>
  <c r="E19" i="160"/>
  <c r="D19" i="160" s="1"/>
  <c r="G19" i="160" s="1"/>
  <c r="F20" i="160" s="1"/>
  <c r="E18" i="155"/>
  <c r="D18" i="155" s="1"/>
  <c r="G18" i="155" s="1"/>
  <c r="F19" i="155" s="1"/>
  <c r="E58" i="155"/>
  <c r="D58" i="155" s="1"/>
  <c r="G58" i="155" s="1"/>
  <c r="F59" i="155" s="1"/>
  <c r="D83" i="163" l="1"/>
  <c r="G83" i="163" s="1"/>
  <c r="F84" i="163" s="1"/>
  <c r="E84" i="163" s="1"/>
  <c r="D84" i="162"/>
  <c r="G84" i="162" s="1"/>
  <c r="F85" i="162" s="1"/>
  <c r="E85" i="162" s="1"/>
  <c r="E28" i="163"/>
  <c r="D28" i="163" s="1"/>
  <c r="G28" i="163" s="1"/>
  <c r="F29" i="163" s="1"/>
  <c r="E32" i="162"/>
  <c r="D32" i="162" s="1"/>
  <c r="G32" i="162" s="1"/>
  <c r="F33" i="162" s="1"/>
  <c r="D82" i="161"/>
  <c r="G82" i="161" s="1"/>
  <c r="F83" i="161" s="1"/>
  <c r="E83" i="161" s="1"/>
  <c r="G58" i="160"/>
  <c r="F59" i="160" s="1"/>
  <c r="E20" i="160"/>
  <c r="D20" i="160" s="1"/>
  <c r="G20" i="160" s="1"/>
  <c r="F21" i="160" s="1"/>
  <c r="E20" i="161"/>
  <c r="D20" i="161" s="1"/>
  <c r="G20" i="161" s="1"/>
  <c r="F21" i="161" s="1"/>
  <c r="E59" i="155"/>
  <c r="D59" i="155" s="1"/>
  <c r="G59" i="155" s="1"/>
  <c r="F60" i="155" s="1"/>
  <c r="E19" i="155"/>
  <c r="D19" i="155" s="1"/>
  <c r="G19" i="155" s="1"/>
  <c r="F20" i="155" s="1"/>
  <c r="D84" i="163" l="1"/>
  <c r="G84" i="163" s="1"/>
  <c r="F85" i="163" s="1"/>
  <c r="E85" i="163" s="1"/>
  <c r="D85" i="162"/>
  <c r="G85" i="162" s="1"/>
  <c r="F86" i="162" s="1"/>
  <c r="E86" i="162" s="1"/>
  <c r="E29" i="163"/>
  <c r="D29" i="163" s="1"/>
  <c r="G29" i="163" s="1"/>
  <c r="F30" i="163" s="1"/>
  <c r="E33" i="162"/>
  <c r="D33" i="162" s="1"/>
  <c r="G33" i="162" s="1"/>
  <c r="F34" i="162" s="1"/>
  <c r="D83" i="161"/>
  <c r="G83" i="161" s="1"/>
  <c r="F84" i="161" s="1"/>
  <c r="E59" i="160"/>
  <c r="D59" i="160" s="1"/>
  <c r="E21" i="161"/>
  <c r="D21" i="161" s="1"/>
  <c r="G21" i="161" s="1"/>
  <c r="F22" i="161" s="1"/>
  <c r="E21" i="160"/>
  <c r="D21" i="160" s="1"/>
  <c r="G21" i="160" s="1"/>
  <c r="F22" i="160" s="1"/>
  <c r="E20" i="155"/>
  <c r="D20" i="155" s="1"/>
  <c r="G20" i="155" s="1"/>
  <c r="F21" i="155" s="1"/>
  <c r="E60" i="155"/>
  <c r="D60" i="155" s="1"/>
  <c r="G60" i="155" s="1"/>
  <c r="F61" i="155" s="1"/>
  <c r="D85" i="163" l="1"/>
  <c r="G85" i="163" s="1"/>
  <c r="F86" i="163" s="1"/>
  <c r="E86" i="163" s="1"/>
  <c r="D86" i="162"/>
  <c r="G86" i="162" s="1"/>
  <c r="F87" i="162" s="1"/>
  <c r="E87" i="162" s="1"/>
  <c r="E30" i="163"/>
  <c r="D30" i="163" s="1"/>
  <c r="G30" i="163" s="1"/>
  <c r="F31" i="163" s="1"/>
  <c r="E34" i="162"/>
  <c r="D34" i="162" s="1"/>
  <c r="G34" i="162" s="1"/>
  <c r="F35" i="162" s="1"/>
  <c r="D84" i="161"/>
  <c r="G84" i="161" s="1"/>
  <c r="G59" i="160"/>
  <c r="F60" i="160" s="1"/>
  <c r="E22" i="161"/>
  <c r="D22" i="161" s="1"/>
  <c r="G22" i="161" s="1"/>
  <c r="F23" i="161" s="1"/>
  <c r="E22" i="160"/>
  <c r="D22" i="160" s="1"/>
  <c r="G22" i="160" s="1"/>
  <c r="F23" i="160" s="1"/>
  <c r="E61" i="155"/>
  <c r="D61" i="155" s="1"/>
  <c r="G61" i="155" s="1"/>
  <c r="F62" i="155" s="1"/>
  <c r="E21" i="155"/>
  <c r="D21" i="155" s="1"/>
  <c r="G21" i="155" s="1"/>
  <c r="F22" i="155" s="1"/>
  <c r="D86" i="163" l="1"/>
  <c r="G86" i="163" s="1"/>
  <c r="F87" i="163" s="1"/>
  <c r="E87" i="163" s="1"/>
  <c r="D87" i="162"/>
  <c r="G87" i="162" s="1"/>
  <c r="F88" i="162" s="1"/>
  <c r="E88" i="162" s="1"/>
  <c r="E31" i="163"/>
  <c r="D31" i="163" s="1"/>
  <c r="G31" i="163" s="1"/>
  <c r="F32" i="163" s="1"/>
  <c r="E35" i="162"/>
  <c r="D35" i="162" s="1"/>
  <c r="G35" i="162" s="1"/>
  <c r="F36" i="162" s="1"/>
  <c r="E60" i="160"/>
  <c r="D60" i="160" s="1"/>
  <c r="G60" i="160" s="1"/>
  <c r="E23" i="160"/>
  <c r="D23" i="160" s="1"/>
  <c r="G23" i="160" s="1"/>
  <c r="F24" i="160" s="1"/>
  <c r="E23" i="161"/>
  <c r="D23" i="161" s="1"/>
  <c r="G23" i="161" s="1"/>
  <c r="F24" i="161" s="1"/>
  <c r="E22" i="155"/>
  <c r="D22" i="155" s="1"/>
  <c r="G22" i="155" s="1"/>
  <c r="F23" i="155" s="1"/>
  <c r="E62" i="155"/>
  <c r="D62" i="155" s="1"/>
  <c r="G62" i="155" s="1"/>
  <c r="F63" i="155" s="1"/>
  <c r="D87" i="163" l="1"/>
  <c r="G87" i="163" s="1"/>
  <c r="F88" i="163" s="1"/>
  <c r="E88" i="163" s="1"/>
  <c r="D88" i="162"/>
  <c r="G88" i="162" s="1"/>
  <c r="F89" i="162" s="1"/>
  <c r="E89" i="162" s="1"/>
  <c r="E32" i="163"/>
  <c r="D32" i="163" s="1"/>
  <c r="G32" i="163" s="1"/>
  <c r="F33" i="163" s="1"/>
  <c r="E36" i="162"/>
  <c r="D36" i="162" s="1"/>
  <c r="G36" i="162" s="1"/>
  <c r="F37" i="162" s="1"/>
  <c r="F61" i="160"/>
  <c r="E24" i="161"/>
  <c r="D24" i="161" s="1"/>
  <c r="G24" i="161" s="1"/>
  <c r="F25" i="161" s="1"/>
  <c r="E24" i="160"/>
  <c r="D24" i="160" s="1"/>
  <c r="G24" i="160" s="1"/>
  <c r="F25" i="160" s="1"/>
  <c r="E63" i="155"/>
  <c r="D63" i="155" s="1"/>
  <c r="G63" i="155" s="1"/>
  <c r="F64" i="155" s="1"/>
  <c r="E23" i="155"/>
  <c r="D23" i="155" s="1"/>
  <c r="G23" i="155" s="1"/>
  <c r="F24" i="155" s="1"/>
  <c r="D88" i="163" l="1"/>
  <c r="G88" i="163" s="1"/>
  <c r="F89" i="163" s="1"/>
  <c r="E89" i="163" s="1"/>
  <c r="D89" i="162"/>
  <c r="G89" i="162" s="1"/>
  <c r="F90" i="162" s="1"/>
  <c r="E90" i="162" s="1"/>
  <c r="E33" i="163"/>
  <c r="D33" i="163" s="1"/>
  <c r="G33" i="163" s="1"/>
  <c r="F34" i="163" s="1"/>
  <c r="E37" i="162"/>
  <c r="D37" i="162" s="1"/>
  <c r="G37" i="162" s="1"/>
  <c r="F38" i="162" s="1"/>
  <c r="E61" i="160"/>
  <c r="D61" i="160" s="1"/>
  <c r="E25" i="160"/>
  <c r="D25" i="160" s="1"/>
  <c r="G25" i="160" s="1"/>
  <c r="F26" i="160" s="1"/>
  <c r="E25" i="161"/>
  <c r="D25" i="161" s="1"/>
  <c r="G25" i="161" s="1"/>
  <c r="F26" i="161" s="1"/>
  <c r="E24" i="155"/>
  <c r="D24" i="155" s="1"/>
  <c r="G24" i="155" s="1"/>
  <c r="F25" i="155" s="1"/>
  <c r="E64" i="155"/>
  <c r="D64" i="155" s="1"/>
  <c r="G64" i="155" s="1"/>
  <c r="F65" i="155" s="1"/>
  <c r="D89" i="163" l="1"/>
  <c r="G89" i="163" s="1"/>
  <c r="F90" i="163" s="1"/>
  <c r="E90" i="163" s="1"/>
  <c r="D90" i="162"/>
  <c r="G90" i="162" s="1"/>
  <c r="F91" i="162" s="1"/>
  <c r="E91" i="162" s="1"/>
  <c r="E34" i="163"/>
  <c r="D34" i="163" s="1"/>
  <c r="G34" i="163" s="1"/>
  <c r="F35" i="163" s="1"/>
  <c r="E38" i="162"/>
  <c r="D38" i="162" s="1"/>
  <c r="G38" i="162" s="1"/>
  <c r="F39" i="162" s="1"/>
  <c r="G61" i="160"/>
  <c r="F62" i="160" s="1"/>
  <c r="E26" i="160"/>
  <c r="D26" i="160" s="1"/>
  <c r="G26" i="160" s="1"/>
  <c r="F27" i="160" s="1"/>
  <c r="E26" i="161"/>
  <c r="D26" i="161" s="1"/>
  <c r="G26" i="161" s="1"/>
  <c r="F27" i="161" s="1"/>
  <c r="E65" i="155"/>
  <c r="D65" i="155" s="1"/>
  <c r="G65" i="155" s="1"/>
  <c r="F66" i="155" s="1"/>
  <c r="E25" i="155"/>
  <c r="D25" i="155" s="1"/>
  <c r="G25" i="155" s="1"/>
  <c r="F26" i="155" s="1"/>
  <c r="D90" i="163" l="1"/>
  <c r="G90" i="163" s="1"/>
  <c r="F91" i="163" s="1"/>
  <c r="E91" i="163" s="1"/>
  <c r="D91" i="162"/>
  <c r="G91" i="162" s="1"/>
  <c r="F92" i="162" s="1"/>
  <c r="E92" i="162" s="1"/>
  <c r="E35" i="163"/>
  <c r="D35" i="163" s="1"/>
  <c r="G35" i="163" s="1"/>
  <c r="F36" i="163" s="1"/>
  <c r="E39" i="162"/>
  <c r="D39" i="162" s="1"/>
  <c r="G39" i="162" s="1"/>
  <c r="F40" i="162" s="1"/>
  <c r="E62" i="160"/>
  <c r="D62" i="160" s="1"/>
  <c r="E27" i="161"/>
  <c r="D27" i="161" s="1"/>
  <c r="G27" i="161" s="1"/>
  <c r="F28" i="161" s="1"/>
  <c r="E27" i="160"/>
  <c r="D27" i="160" s="1"/>
  <c r="G27" i="160" s="1"/>
  <c r="F28" i="160" s="1"/>
  <c r="E26" i="155"/>
  <c r="D26" i="155" s="1"/>
  <c r="G26" i="155" s="1"/>
  <c r="F27" i="155" s="1"/>
  <c r="E66" i="155"/>
  <c r="D66" i="155" s="1"/>
  <c r="G66" i="155" s="1"/>
  <c r="F67" i="155" s="1"/>
  <c r="D91" i="163" l="1"/>
  <c r="G91" i="163" s="1"/>
  <c r="F92" i="163" s="1"/>
  <c r="E92" i="163" s="1"/>
  <c r="D92" i="162"/>
  <c r="G92" i="162" s="1"/>
  <c r="F93" i="162" s="1"/>
  <c r="E93" i="162" s="1"/>
  <c r="E36" i="163"/>
  <c r="D36" i="163" s="1"/>
  <c r="G36" i="163" s="1"/>
  <c r="F37" i="163" s="1"/>
  <c r="E40" i="162"/>
  <c r="D40" i="162" s="1"/>
  <c r="G40" i="162" s="1"/>
  <c r="F41" i="162" s="1"/>
  <c r="G62" i="160"/>
  <c r="F63" i="160" s="1"/>
  <c r="E28" i="161"/>
  <c r="D28" i="161" s="1"/>
  <c r="G28" i="161" s="1"/>
  <c r="F29" i="161" s="1"/>
  <c r="E28" i="160"/>
  <c r="D28" i="160" s="1"/>
  <c r="G28" i="160" s="1"/>
  <c r="F29" i="160" s="1"/>
  <c r="E67" i="155"/>
  <c r="D67" i="155" s="1"/>
  <c r="G67" i="155" s="1"/>
  <c r="F68" i="155" s="1"/>
  <c r="E27" i="155"/>
  <c r="D27" i="155" s="1"/>
  <c r="G27" i="155" s="1"/>
  <c r="F28" i="155" s="1"/>
  <c r="D92" i="163" l="1"/>
  <c r="G92" i="163" s="1"/>
  <c r="F93" i="163" s="1"/>
  <c r="E93" i="163" s="1"/>
  <c r="D93" i="162"/>
  <c r="G93" i="162" s="1"/>
  <c r="F94" i="162" s="1"/>
  <c r="E94" i="162" s="1"/>
  <c r="E37" i="163"/>
  <c r="D37" i="163" s="1"/>
  <c r="G37" i="163" s="1"/>
  <c r="F38" i="163" s="1"/>
  <c r="E41" i="162"/>
  <c r="D41" i="162" s="1"/>
  <c r="G41" i="162" s="1"/>
  <c r="F42" i="162" s="1"/>
  <c r="E63" i="160"/>
  <c r="D63" i="160" s="1"/>
  <c r="E29" i="161"/>
  <c r="D29" i="161" s="1"/>
  <c r="G29" i="161" s="1"/>
  <c r="F30" i="161" s="1"/>
  <c r="E29" i="160"/>
  <c r="D29" i="160" s="1"/>
  <c r="G29" i="160" s="1"/>
  <c r="F30" i="160" s="1"/>
  <c r="E28" i="155"/>
  <c r="D28" i="155" s="1"/>
  <c r="G28" i="155" s="1"/>
  <c r="F29" i="155" s="1"/>
  <c r="E68" i="155"/>
  <c r="D68" i="155" s="1"/>
  <c r="G68" i="155" s="1"/>
  <c r="F69" i="155" s="1"/>
  <c r="D93" i="163" l="1"/>
  <c r="G93" i="163" s="1"/>
  <c r="F94" i="163" s="1"/>
  <c r="E94" i="163" s="1"/>
  <c r="D94" i="162"/>
  <c r="G94" i="162" s="1"/>
  <c r="F95" i="162" s="1"/>
  <c r="E95" i="162" s="1"/>
  <c r="E38" i="163"/>
  <c r="D38" i="163" s="1"/>
  <c r="G38" i="163" s="1"/>
  <c r="F39" i="163" s="1"/>
  <c r="E42" i="162"/>
  <c r="D42" i="162" s="1"/>
  <c r="G42" i="162" s="1"/>
  <c r="F43" i="162" s="1"/>
  <c r="G63" i="160"/>
  <c r="F64" i="160" s="1"/>
  <c r="E30" i="160"/>
  <c r="D30" i="160" s="1"/>
  <c r="G30" i="160" s="1"/>
  <c r="F31" i="160" s="1"/>
  <c r="E30" i="161"/>
  <c r="D30" i="161" s="1"/>
  <c r="G30" i="161" s="1"/>
  <c r="F31" i="161" s="1"/>
  <c r="E69" i="155"/>
  <c r="D69" i="155" s="1"/>
  <c r="G69" i="155" s="1"/>
  <c r="F70" i="155" s="1"/>
  <c r="E29" i="155"/>
  <c r="D29" i="155" s="1"/>
  <c r="G29" i="155" s="1"/>
  <c r="F30" i="155" s="1"/>
  <c r="D94" i="163" l="1"/>
  <c r="G94" i="163" s="1"/>
  <c r="F95" i="163" s="1"/>
  <c r="E95" i="163" s="1"/>
  <c r="D95" i="162"/>
  <c r="G95" i="162" s="1"/>
  <c r="F96" i="162" s="1"/>
  <c r="E96" i="162" s="1"/>
  <c r="E39" i="163"/>
  <c r="D39" i="163" s="1"/>
  <c r="G39" i="163" s="1"/>
  <c r="F40" i="163" s="1"/>
  <c r="E43" i="162"/>
  <c r="D43" i="162" s="1"/>
  <c r="G43" i="162" s="1"/>
  <c r="F44" i="162" s="1"/>
  <c r="E64" i="160"/>
  <c r="D64" i="160" s="1"/>
  <c r="G64" i="160" s="1"/>
  <c r="E31" i="161"/>
  <c r="D31" i="161" s="1"/>
  <c r="G31" i="161" s="1"/>
  <c r="F32" i="161" s="1"/>
  <c r="E31" i="160"/>
  <c r="D31" i="160" s="1"/>
  <c r="G31" i="160" s="1"/>
  <c r="F32" i="160" s="1"/>
  <c r="E30" i="155"/>
  <c r="D30" i="155" s="1"/>
  <c r="G30" i="155" s="1"/>
  <c r="F31" i="155" s="1"/>
  <c r="E70" i="155"/>
  <c r="D70" i="155" s="1"/>
  <c r="G70" i="155" s="1"/>
  <c r="F71" i="155" s="1"/>
  <c r="D95" i="163" l="1"/>
  <c r="G95" i="163" s="1"/>
  <c r="F96" i="163" s="1"/>
  <c r="E96" i="163" s="1"/>
  <c r="D96" i="162"/>
  <c r="G96" i="162" s="1"/>
  <c r="F97" i="162" s="1"/>
  <c r="E97" i="162" s="1"/>
  <c r="E40" i="163"/>
  <c r="D40" i="163" s="1"/>
  <c r="G40" i="163" s="1"/>
  <c r="F41" i="163" s="1"/>
  <c r="E44" i="162"/>
  <c r="D44" i="162" s="1"/>
  <c r="G44" i="162" s="1"/>
  <c r="F45" i="162" s="1"/>
  <c r="F65" i="160"/>
  <c r="E32" i="160"/>
  <c r="D32" i="160" s="1"/>
  <c r="G32" i="160" s="1"/>
  <c r="F33" i="160" s="1"/>
  <c r="E32" i="161"/>
  <c r="D32" i="161" s="1"/>
  <c r="G32" i="161" s="1"/>
  <c r="F33" i="161" s="1"/>
  <c r="E71" i="155"/>
  <c r="D71" i="155" s="1"/>
  <c r="G71" i="155" s="1"/>
  <c r="F72" i="155" s="1"/>
  <c r="E31" i="155"/>
  <c r="D31" i="155" s="1"/>
  <c r="G31" i="155" s="1"/>
  <c r="F32" i="155" s="1"/>
  <c r="D96" i="163" l="1"/>
  <c r="G96" i="163" s="1"/>
  <c r="F97" i="163" s="1"/>
  <c r="E97" i="163" s="1"/>
  <c r="D97" i="162"/>
  <c r="G97" i="162" s="1"/>
  <c r="F98" i="162" s="1"/>
  <c r="E41" i="163"/>
  <c r="D41" i="163" s="1"/>
  <c r="G41" i="163" s="1"/>
  <c r="F42" i="163" s="1"/>
  <c r="E45" i="162"/>
  <c r="D45" i="162" s="1"/>
  <c r="G45" i="162" s="1"/>
  <c r="F46" i="162" s="1"/>
  <c r="E65" i="160"/>
  <c r="D65" i="160" s="1"/>
  <c r="E33" i="161"/>
  <c r="D33" i="161" s="1"/>
  <c r="G33" i="161" s="1"/>
  <c r="F34" i="161" s="1"/>
  <c r="E33" i="160"/>
  <c r="D33" i="160" s="1"/>
  <c r="G33" i="160" s="1"/>
  <c r="F34" i="160" s="1"/>
  <c r="E32" i="155"/>
  <c r="D32" i="155" s="1"/>
  <c r="G32" i="155" s="1"/>
  <c r="F33" i="155" s="1"/>
  <c r="E72" i="155"/>
  <c r="D72" i="155" s="1"/>
  <c r="G72" i="155" s="1"/>
  <c r="F73" i="155" s="1"/>
  <c r="D97" i="163" l="1"/>
  <c r="G97" i="163" s="1"/>
  <c r="F98" i="163" s="1"/>
  <c r="D98" i="162"/>
  <c r="G98" i="162" s="1"/>
  <c r="E42" i="163"/>
  <c r="D42" i="163" s="1"/>
  <c r="G42" i="163" s="1"/>
  <c r="F43" i="163" s="1"/>
  <c r="E46" i="162"/>
  <c r="D46" i="162" s="1"/>
  <c r="G46" i="162" s="1"/>
  <c r="F47" i="162" s="1"/>
  <c r="G65" i="160"/>
  <c r="F66" i="160" s="1"/>
  <c r="E34" i="160"/>
  <c r="D34" i="160" s="1"/>
  <c r="G34" i="160" s="1"/>
  <c r="F35" i="160" s="1"/>
  <c r="E34" i="161"/>
  <c r="D34" i="161" s="1"/>
  <c r="G34" i="161" s="1"/>
  <c r="F35" i="161" s="1"/>
  <c r="E73" i="155"/>
  <c r="D73" i="155" s="1"/>
  <c r="G73" i="155" s="1"/>
  <c r="F74" i="155" s="1"/>
  <c r="E33" i="155"/>
  <c r="D33" i="155" s="1"/>
  <c r="G33" i="155" s="1"/>
  <c r="F34" i="155" s="1"/>
  <c r="D98" i="163" l="1"/>
  <c r="G98" i="163" s="1"/>
  <c r="E43" i="163"/>
  <c r="D43" i="163" s="1"/>
  <c r="G43" i="163" s="1"/>
  <c r="F44" i="163" s="1"/>
  <c r="E47" i="162"/>
  <c r="D47" i="162" s="1"/>
  <c r="G47" i="162" s="1"/>
  <c r="F48" i="162" s="1"/>
  <c r="E66" i="160"/>
  <c r="D66" i="160" s="1"/>
  <c r="G66" i="160" s="1"/>
  <c r="E35" i="161"/>
  <c r="D35" i="161" s="1"/>
  <c r="G35" i="161" s="1"/>
  <c r="F36" i="161" s="1"/>
  <c r="E35" i="160"/>
  <c r="D35" i="160" s="1"/>
  <c r="G35" i="160" s="1"/>
  <c r="F36" i="160" s="1"/>
  <c r="E34" i="155"/>
  <c r="D34" i="155" s="1"/>
  <c r="G34" i="155" s="1"/>
  <c r="F35" i="155" s="1"/>
  <c r="E74" i="155"/>
  <c r="D74" i="155" s="1"/>
  <c r="G74" i="155" s="1"/>
  <c r="F75" i="155" s="1"/>
  <c r="E44" i="163" l="1"/>
  <c r="D44" i="163" s="1"/>
  <c r="G44" i="163" s="1"/>
  <c r="F45" i="163" s="1"/>
  <c r="E48" i="162"/>
  <c r="D48" i="162" s="1"/>
  <c r="G48" i="162" s="1"/>
  <c r="F49" i="162" s="1"/>
  <c r="F67" i="160"/>
  <c r="E36" i="160"/>
  <c r="D36" i="160" s="1"/>
  <c r="G36" i="160" s="1"/>
  <c r="F37" i="160" s="1"/>
  <c r="E36" i="161"/>
  <c r="D36" i="161" s="1"/>
  <c r="G36" i="161" s="1"/>
  <c r="F37" i="161" s="1"/>
  <c r="E75" i="155"/>
  <c r="D75" i="155" s="1"/>
  <c r="G75" i="155" s="1"/>
  <c r="F76" i="155" s="1"/>
  <c r="E35" i="155"/>
  <c r="D35" i="155" s="1"/>
  <c r="G35" i="155" s="1"/>
  <c r="F36" i="155" s="1"/>
  <c r="E45" i="163" l="1"/>
  <c r="D45" i="163" s="1"/>
  <c r="G45" i="163" s="1"/>
  <c r="F46" i="163" s="1"/>
  <c r="E49" i="162"/>
  <c r="D49" i="162" s="1"/>
  <c r="G49" i="162" s="1"/>
  <c r="F50" i="162" s="1"/>
  <c r="E67" i="160"/>
  <c r="D67" i="160" s="1"/>
  <c r="E37" i="160"/>
  <c r="D37" i="160" s="1"/>
  <c r="G37" i="160" s="1"/>
  <c r="F38" i="160" s="1"/>
  <c r="E37" i="161"/>
  <c r="D37" i="161" s="1"/>
  <c r="G37" i="161" s="1"/>
  <c r="F38" i="161" s="1"/>
  <c r="E36" i="155"/>
  <c r="D36" i="155" s="1"/>
  <c r="G36" i="155" s="1"/>
  <c r="F37" i="155" s="1"/>
  <c r="E76" i="155"/>
  <c r="D76" i="155" s="1"/>
  <c r="G76" i="155" s="1"/>
  <c r="F77" i="155" s="1"/>
  <c r="E46" i="163" l="1"/>
  <c r="D46" i="163" s="1"/>
  <c r="G46" i="163" s="1"/>
  <c r="F47" i="163" s="1"/>
  <c r="E50" i="162"/>
  <c r="D50" i="162" s="1"/>
  <c r="G50" i="162" s="1"/>
  <c r="F51" i="162" s="1"/>
  <c r="G67" i="160"/>
  <c r="F68" i="160" s="1"/>
  <c r="E38" i="160"/>
  <c r="D38" i="160" s="1"/>
  <c r="G38" i="160" s="1"/>
  <c r="F39" i="160" s="1"/>
  <c r="E38" i="161"/>
  <c r="D38" i="161" s="1"/>
  <c r="G38" i="161" s="1"/>
  <c r="F39" i="161" s="1"/>
  <c r="E77" i="155"/>
  <c r="D77" i="155" s="1"/>
  <c r="G77" i="155" s="1"/>
  <c r="F78" i="155" s="1"/>
  <c r="E37" i="155"/>
  <c r="D37" i="155" s="1"/>
  <c r="G37" i="155" s="1"/>
  <c r="F38" i="155" s="1"/>
  <c r="E47" i="163" l="1"/>
  <c r="D47" i="163" s="1"/>
  <c r="G47" i="163" s="1"/>
  <c r="F48" i="163" s="1"/>
  <c r="E51" i="162"/>
  <c r="D51" i="162" s="1"/>
  <c r="G51" i="162" s="1"/>
  <c r="F52" i="162" s="1"/>
  <c r="G52" i="162" s="1"/>
  <c r="E68" i="160"/>
  <c r="D68" i="160" s="1"/>
  <c r="G68" i="160" s="1"/>
  <c r="E39" i="161"/>
  <c r="D39" i="161" s="1"/>
  <c r="G39" i="161" s="1"/>
  <c r="F40" i="161" s="1"/>
  <c r="E39" i="160"/>
  <c r="D39" i="160" s="1"/>
  <c r="G39" i="160" s="1"/>
  <c r="F40" i="160" s="1"/>
  <c r="E38" i="155"/>
  <c r="D38" i="155" s="1"/>
  <c r="G38" i="155" s="1"/>
  <c r="F39" i="155" s="1"/>
  <c r="E78" i="155"/>
  <c r="D78" i="155" s="1"/>
  <c r="G78" i="155" s="1"/>
  <c r="F79" i="155" s="1"/>
  <c r="E48" i="163" l="1"/>
  <c r="D48" i="163" s="1"/>
  <c r="G48" i="163" s="1"/>
  <c r="F49" i="163" s="1"/>
  <c r="F69" i="160"/>
  <c r="E40" i="160"/>
  <c r="D40" i="160" s="1"/>
  <c r="G40" i="160" s="1"/>
  <c r="F41" i="160" s="1"/>
  <c r="E40" i="161"/>
  <c r="D40" i="161" s="1"/>
  <c r="G40" i="161" s="1"/>
  <c r="F41" i="161" s="1"/>
  <c r="E79" i="155"/>
  <c r="D79" i="155" s="1"/>
  <c r="G79" i="155" s="1"/>
  <c r="F80" i="155" s="1"/>
  <c r="E39" i="155"/>
  <c r="D39" i="155" s="1"/>
  <c r="G39" i="155" s="1"/>
  <c r="F40" i="155" s="1"/>
  <c r="E49" i="163" l="1"/>
  <c r="D49" i="163" s="1"/>
  <c r="G49" i="163" s="1"/>
  <c r="F50" i="163" s="1"/>
  <c r="E69" i="160"/>
  <c r="D69" i="160" s="1"/>
  <c r="G69" i="160" s="1"/>
  <c r="E41" i="160"/>
  <c r="D41" i="160" s="1"/>
  <c r="G41" i="160" s="1"/>
  <c r="F42" i="160" s="1"/>
  <c r="E41" i="161"/>
  <c r="D41" i="161" s="1"/>
  <c r="G41" i="161" s="1"/>
  <c r="F42" i="161" s="1"/>
  <c r="E40" i="155"/>
  <c r="D40" i="155" s="1"/>
  <c r="G40" i="155" s="1"/>
  <c r="F41" i="155" s="1"/>
  <c r="E80" i="155"/>
  <c r="D80" i="155" s="1"/>
  <c r="G80" i="155" s="1"/>
  <c r="F81" i="155" s="1"/>
  <c r="E50" i="163" l="1"/>
  <c r="D50" i="163" s="1"/>
  <c r="G50" i="163" s="1"/>
  <c r="F51" i="163" s="1"/>
  <c r="F70" i="160"/>
  <c r="E42" i="161"/>
  <c r="D42" i="161" s="1"/>
  <c r="G42" i="161" s="1"/>
  <c r="F43" i="161" s="1"/>
  <c r="E42" i="160"/>
  <c r="D42" i="160" s="1"/>
  <c r="G42" i="160" s="1"/>
  <c r="F43" i="160" s="1"/>
  <c r="E81" i="155"/>
  <c r="D81" i="155" s="1"/>
  <c r="G81" i="155" s="1"/>
  <c r="F82" i="155" s="1"/>
  <c r="E41" i="155"/>
  <c r="D41" i="155" s="1"/>
  <c r="G41" i="155" s="1"/>
  <c r="F42" i="155" s="1"/>
  <c r="E51" i="163" l="1"/>
  <c r="D51" i="163" s="1"/>
  <c r="G51" i="163" s="1"/>
  <c r="F52" i="163" s="1"/>
  <c r="G52" i="163" s="1"/>
  <c r="E70" i="160"/>
  <c r="D70" i="160" s="1"/>
  <c r="G70" i="160" s="1"/>
  <c r="E43" i="160"/>
  <c r="D43" i="160" s="1"/>
  <c r="G43" i="160" s="1"/>
  <c r="F44" i="160" s="1"/>
  <c r="E43" i="161"/>
  <c r="D43" i="161" s="1"/>
  <c r="G43" i="161" s="1"/>
  <c r="F44" i="161" s="1"/>
  <c r="E42" i="155"/>
  <c r="D42" i="155" s="1"/>
  <c r="G42" i="155" s="1"/>
  <c r="F43" i="155" s="1"/>
  <c r="E82" i="155"/>
  <c r="D82" i="155" s="1"/>
  <c r="G82" i="155" s="1"/>
  <c r="F83" i="155" s="1"/>
  <c r="F71" i="160" l="1"/>
  <c r="E44" i="161"/>
  <c r="D44" i="161" s="1"/>
  <c r="G44" i="161" s="1"/>
  <c r="F45" i="161" s="1"/>
  <c r="E44" i="160"/>
  <c r="D44" i="160" s="1"/>
  <c r="G44" i="160" s="1"/>
  <c r="F45" i="160" s="1"/>
  <c r="E83" i="155"/>
  <c r="D83" i="155" s="1"/>
  <c r="G83" i="155"/>
  <c r="F84" i="155" s="1"/>
  <c r="E43" i="155"/>
  <c r="D43" i="155" s="1"/>
  <c r="G43" i="155" s="1"/>
  <c r="F44" i="155" s="1"/>
  <c r="E71" i="160" l="1"/>
  <c r="D71" i="160" s="1"/>
  <c r="G71" i="160" s="1"/>
  <c r="E45" i="160"/>
  <c r="D45" i="160" s="1"/>
  <c r="G45" i="160" s="1"/>
  <c r="F46" i="160" s="1"/>
  <c r="E45" i="161"/>
  <c r="D45" i="161" s="1"/>
  <c r="G45" i="161" s="1"/>
  <c r="F46" i="161" s="1"/>
  <c r="E44" i="155"/>
  <c r="D44" i="155" s="1"/>
  <c r="G44" i="155" s="1"/>
  <c r="F45" i="155" s="1"/>
  <c r="E84" i="155"/>
  <c r="D84" i="155" s="1"/>
  <c r="G84" i="155" s="1"/>
  <c r="F85" i="155" s="1"/>
  <c r="F72" i="160" l="1"/>
  <c r="E46" i="161"/>
  <c r="D46" i="161" s="1"/>
  <c r="G46" i="161" s="1"/>
  <c r="F47" i="161" s="1"/>
  <c r="E46" i="160"/>
  <c r="D46" i="160" s="1"/>
  <c r="G46" i="160" s="1"/>
  <c r="F47" i="160" s="1"/>
  <c r="E85" i="155"/>
  <c r="D85" i="155" s="1"/>
  <c r="G85" i="155" s="1"/>
  <c r="F86" i="155" s="1"/>
  <c r="E45" i="155"/>
  <c r="D45" i="155" s="1"/>
  <c r="G45" i="155" s="1"/>
  <c r="F46" i="155" s="1"/>
  <c r="E72" i="160" l="1"/>
  <c r="D72" i="160" s="1"/>
  <c r="G72" i="160" s="1"/>
  <c r="E47" i="161"/>
  <c r="D47" i="161" s="1"/>
  <c r="G47" i="161" s="1"/>
  <c r="F48" i="161" s="1"/>
  <c r="E47" i="160"/>
  <c r="D47" i="160" s="1"/>
  <c r="G47" i="160" s="1"/>
  <c r="F48" i="160" s="1"/>
  <c r="E46" i="155"/>
  <c r="D46" i="155" s="1"/>
  <c r="G46" i="155"/>
  <c r="F47" i="155" s="1"/>
  <c r="E86" i="155"/>
  <c r="D86" i="155" s="1"/>
  <c r="G86" i="155" s="1"/>
  <c r="F87" i="155" s="1"/>
  <c r="F73" i="160" l="1"/>
  <c r="E48" i="160"/>
  <c r="D48" i="160" s="1"/>
  <c r="G48" i="160" s="1"/>
  <c r="F49" i="160" s="1"/>
  <c r="E48" i="161"/>
  <c r="D48" i="161" s="1"/>
  <c r="G48" i="161" s="1"/>
  <c r="F49" i="161" s="1"/>
  <c r="E87" i="155"/>
  <c r="D87" i="155" s="1"/>
  <c r="G87" i="155" s="1"/>
  <c r="F88" i="155" s="1"/>
  <c r="E47" i="155"/>
  <c r="D47" i="155" s="1"/>
  <c r="G47" i="155" s="1"/>
  <c r="F48" i="155" s="1"/>
  <c r="E73" i="160" l="1"/>
  <c r="D73" i="160" s="1"/>
  <c r="G73" i="160" s="1"/>
  <c r="E49" i="161"/>
  <c r="D49" i="161" s="1"/>
  <c r="G49" i="161" s="1"/>
  <c r="F50" i="161" s="1"/>
  <c r="E49" i="160"/>
  <c r="D49" i="160" s="1"/>
  <c r="G49" i="160" s="1"/>
  <c r="F50" i="160" s="1"/>
  <c r="E48" i="155"/>
  <c r="D48" i="155" s="1"/>
  <c r="G48" i="155" s="1"/>
  <c r="F49" i="155" s="1"/>
  <c r="E88" i="155"/>
  <c r="D88" i="155" s="1"/>
  <c r="G88" i="155" s="1"/>
  <c r="F89" i="155" s="1"/>
  <c r="F74" i="160" l="1"/>
  <c r="E50" i="160"/>
  <c r="D50" i="160" s="1"/>
  <c r="G50" i="160" s="1"/>
  <c r="F51" i="160" s="1"/>
  <c r="E50" i="161"/>
  <c r="D50" i="161" s="1"/>
  <c r="G50" i="161" s="1"/>
  <c r="F51" i="161" s="1"/>
  <c r="E89" i="155"/>
  <c r="D89" i="155" s="1"/>
  <c r="G89" i="155" s="1"/>
  <c r="F90" i="155" s="1"/>
  <c r="E49" i="155"/>
  <c r="D49" i="155" s="1"/>
  <c r="G49" i="155" s="1"/>
  <c r="F50" i="155" s="1"/>
  <c r="E74" i="160" l="1"/>
  <c r="D74" i="160" s="1"/>
  <c r="G74" i="160" s="1"/>
  <c r="E51" i="161"/>
  <c r="D51" i="161" s="1"/>
  <c r="G51" i="161" s="1"/>
  <c r="F52" i="161" s="1"/>
  <c r="G52" i="161" s="1"/>
  <c r="E51" i="160"/>
  <c r="D51" i="160" s="1"/>
  <c r="G51" i="160" s="1"/>
  <c r="F52" i="160" s="1"/>
  <c r="G52" i="160" s="1"/>
  <c r="G90" i="155"/>
  <c r="F91" i="155" s="1"/>
  <c r="E90" i="155"/>
  <c r="D90" i="155" s="1"/>
  <c r="E50" i="155"/>
  <c r="D50" i="155" s="1"/>
  <c r="G50" i="155" s="1"/>
  <c r="F51" i="155" s="1"/>
  <c r="F75" i="160" l="1"/>
  <c r="G51" i="155"/>
  <c r="F52" i="155" s="1"/>
  <c r="G52" i="155" s="1"/>
  <c r="E51" i="155"/>
  <c r="D51" i="155" s="1"/>
  <c r="E91" i="155"/>
  <c r="D91" i="155" s="1"/>
  <c r="G91" i="155" s="1"/>
  <c r="F92" i="155" s="1"/>
  <c r="G92" i="155" s="1"/>
  <c r="E75" i="160" l="1"/>
  <c r="D75" i="160" s="1"/>
  <c r="G75" i="160" s="1"/>
  <c r="F1" i="158"/>
  <c r="C66" i="158" s="1"/>
  <c r="F1" i="157"/>
  <c r="C64" i="157" s="1"/>
  <c r="F1" i="156"/>
  <c r="B71" i="158"/>
  <c r="B70" i="158"/>
  <c r="B69" i="158"/>
  <c r="B68" i="158"/>
  <c r="B67" i="158"/>
  <c r="B66" i="158"/>
  <c r="B65" i="158"/>
  <c r="B64" i="158"/>
  <c r="B63" i="158"/>
  <c r="B62" i="158"/>
  <c r="B61" i="158"/>
  <c r="B60" i="158"/>
  <c r="B59" i="158"/>
  <c r="B58" i="158"/>
  <c r="B57" i="158"/>
  <c r="B56" i="158"/>
  <c r="B55" i="158"/>
  <c r="C54" i="158"/>
  <c r="B54" i="158"/>
  <c r="B53" i="158"/>
  <c r="B52" i="158"/>
  <c r="B51" i="158"/>
  <c r="B50" i="158"/>
  <c r="B49" i="158"/>
  <c r="B48" i="158"/>
  <c r="B47" i="158"/>
  <c r="B46" i="158"/>
  <c r="B45" i="158"/>
  <c r="B44" i="158"/>
  <c r="B43" i="158"/>
  <c r="B42" i="158"/>
  <c r="B41" i="158"/>
  <c r="B40" i="158"/>
  <c r="B39" i="158"/>
  <c r="B38" i="158"/>
  <c r="B37" i="158"/>
  <c r="B36" i="158"/>
  <c r="B35" i="158"/>
  <c r="B34" i="158"/>
  <c r="B33" i="158"/>
  <c r="B32" i="158"/>
  <c r="B31" i="158"/>
  <c r="B30" i="158"/>
  <c r="B29" i="158"/>
  <c r="B28" i="158"/>
  <c r="B27" i="158"/>
  <c r="B26" i="158"/>
  <c r="B25" i="158"/>
  <c r="B24" i="158"/>
  <c r="B23" i="158"/>
  <c r="B22" i="158"/>
  <c r="B21" i="158"/>
  <c r="B20" i="158"/>
  <c r="B19" i="158"/>
  <c r="B18" i="158"/>
  <c r="B17" i="158"/>
  <c r="B16" i="158"/>
  <c r="B15" i="158"/>
  <c r="B14" i="158"/>
  <c r="B13" i="158"/>
  <c r="B12" i="158"/>
  <c r="B11" i="158"/>
  <c r="B10" i="158"/>
  <c r="B9" i="158"/>
  <c r="B8" i="158"/>
  <c r="B7" i="158"/>
  <c r="B6" i="158"/>
  <c r="B5" i="158"/>
  <c r="F4" i="158"/>
  <c r="B4" i="158"/>
  <c r="J2" i="158"/>
  <c r="J1" i="158"/>
  <c r="C71" i="158"/>
  <c r="D1" i="158"/>
  <c r="C50" i="158" s="1"/>
  <c r="B71" i="157"/>
  <c r="B70" i="157"/>
  <c r="B69" i="157"/>
  <c r="B68" i="157"/>
  <c r="B67" i="157"/>
  <c r="B66" i="157"/>
  <c r="B65" i="157"/>
  <c r="B64" i="157"/>
  <c r="B63" i="157"/>
  <c r="C62" i="157"/>
  <c r="B62" i="157"/>
  <c r="B61" i="157"/>
  <c r="B60" i="157"/>
  <c r="B59" i="157"/>
  <c r="B58" i="157"/>
  <c r="B57" i="157"/>
  <c r="B56" i="157"/>
  <c r="B55" i="157"/>
  <c r="C54" i="157"/>
  <c r="B54" i="157"/>
  <c r="B53" i="157"/>
  <c r="B52" i="157"/>
  <c r="B51" i="157"/>
  <c r="B50" i="157"/>
  <c r="B49" i="157"/>
  <c r="B48" i="157"/>
  <c r="B46" i="157"/>
  <c r="B45" i="157"/>
  <c r="B44" i="157"/>
  <c r="B43" i="157"/>
  <c r="B42" i="157"/>
  <c r="B41" i="157"/>
  <c r="B40" i="157"/>
  <c r="B39" i="157"/>
  <c r="B38" i="157"/>
  <c r="B37" i="157"/>
  <c r="B36" i="157"/>
  <c r="B35" i="157"/>
  <c r="B34" i="157"/>
  <c r="B33" i="157"/>
  <c r="B32" i="157"/>
  <c r="B31" i="157"/>
  <c r="B30" i="157"/>
  <c r="B29" i="157"/>
  <c r="B28" i="157"/>
  <c r="B27" i="157"/>
  <c r="B26" i="157"/>
  <c r="B25" i="157"/>
  <c r="B24" i="157"/>
  <c r="B23" i="157"/>
  <c r="B22" i="157"/>
  <c r="B21" i="157"/>
  <c r="B20" i="157"/>
  <c r="B19" i="157"/>
  <c r="B18" i="157"/>
  <c r="B17" i="157"/>
  <c r="B16" i="157"/>
  <c r="B15" i="157"/>
  <c r="B14" i="157"/>
  <c r="B13" i="157"/>
  <c r="B12" i="157"/>
  <c r="B11" i="157"/>
  <c r="B10" i="157"/>
  <c r="B9" i="157"/>
  <c r="C8" i="157"/>
  <c r="B8" i="157"/>
  <c r="B7" i="157"/>
  <c r="B6" i="157"/>
  <c r="B5" i="157"/>
  <c r="B47" i="157" s="1"/>
  <c r="G4" i="157"/>
  <c r="F5" i="157" s="1"/>
  <c r="F4" i="157"/>
  <c r="B4" i="157"/>
  <c r="J2" i="157"/>
  <c r="J1" i="157"/>
  <c r="D1" i="157"/>
  <c r="C11" i="157" s="1"/>
  <c r="B92" i="156"/>
  <c r="B91" i="156"/>
  <c r="B90" i="156"/>
  <c r="B89" i="156"/>
  <c r="B88" i="156"/>
  <c r="B87" i="156"/>
  <c r="B86" i="156"/>
  <c r="B85" i="156"/>
  <c r="B84" i="156"/>
  <c r="B83" i="156"/>
  <c r="B82" i="156"/>
  <c r="B81" i="156"/>
  <c r="B80" i="156"/>
  <c r="B79" i="156"/>
  <c r="B78" i="156"/>
  <c r="B77" i="156"/>
  <c r="B76" i="156"/>
  <c r="B75" i="156"/>
  <c r="B74" i="156"/>
  <c r="B73" i="156"/>
  <c r="B72" i="156"/>
  <c r="B71" i="156"/>
  <c r="B70" i="156"/>
  <c r="B69" i="156"/>
  <c r="B68" i="156"/>
  <c r="B67" i="156"/>
  <c r="B66" i="156"/>
  <c r="B65" i="156"/>
  <c r="B64" i="156"/>
  <c r="B63" i="156"/>
  <c r="B62" i="156"/>
  <c r="B61" i="156"/>
  <c r="B60" i="156"/>
  <c r="B59" i="156"/>
  <c r="B58" i="156"/>
  <c r="B57" i="156"/>
  <c r="B56" i="156"/>
  <c r="B52" i="156"/>
  <c r="B51" i="156"/>
  <c r="B50" i="156"/>
  <c r="B49" i="156"/>
  <c r="B48" i="156"/>
  <c r="B47" i="156"/>
  <c r="B46" i="156"/>
  <c r="B45" i="156"/>
  <c r="B44" i="156"/>
  <c r="B43" i="156"/>
  <c r="B42" i="156"/>
  <c r="B41" i="156"/>
  <c r="B40" i="156"/>
  <c r="B39" i="156"/>
  <c r="B38" i="156"/>
  <c r="B37" i="156"/>
  <c r="B36" i="156"/>
  <c r="B35" i="156"/>
  <c r="B34" i="156"/>
  <c r="B33" i="156"/>
  <c r="B32" i="156"/>
  <c r="B31" i="156"/>
  <c r="B30" i="156"/>
  <c r="B29" i="156"/>
  <c r="B28" i="156"/>
  <c r="B27" i="156"/>
  <c r="B26" i="156"/>
  <c r="B25" i="156"/>
  <c r="B24" i="156"/>
  <c r="B23" i="156"/>
  <c r="B22" i="156"/>
  <c r="B21" i="156"/>
  <c r="B20" i="156"/>
  <c r="B19" i="156"/>
  <c r="B18" i="156"/>
  <c r="B17" i="156"/>
  <c r="B16" i="156"/>
  <c r="B15" i="156"/>
  <c r="B55" i="156" s="1"/>
  <c r="C14" i="156"/>
  <c r="C54" i="156" s="1"/>
  <c r="B14" i="156"/>
  <c r="B54" i="156" s="1"/>
  <c r="B13" i="156"/>
  <c r="B53" i="156" s="1"/>
  <c r="B12" i="156"/>
  <c r="B11" i="156"/>
  <c r="B10" i="156"/>
  <c r="B9" i="156"/>
  <c r="B8" i="156"/>
  <c r="B7" i="156"/>
  <c r="B6" i="156"/>
  <c r="B5" i="156"/>
  <c r="G4" i="156"/>
  <c r="F5" i="156" s="1"/>
  <c r="E5" i="156" s="1"/>
  <c r="F4" i="156"/>
  <c r="E4" i="156" s="1"/>
  <c r="B4" i="156"/>
  <c r="D1" i="156"/>
  <c r="C21" i="156" s="1"/>
  <c r="F1" i="153"/>
  <c r="C64" i="153" s="1"/>
  <c r="F1" i="152"/>
  <c r="C59" i="152" s="1"/>
  <c r="F1" i="151"/>
  <c r="F1" i="150"/>
  <c r="C73" i="150" s="1"/>
  <c r="J2" i="153"/>
  <c r="J1" i="153"/>
  <c r="B53" i="153"/>
  <c r="J1" i="152"/>
  <c r="J2" i="152"/>
  <c r="B53" i="152"/>
  <c r="B71" i="153"/>
  <c r="B70" i="153"/>
  <c r="B69" i="153"/>
  <c r="B68" i="153"/>
  <c r="B67" i="153"/>
  <c r="B66" i="153"/>
  <c r="B65" i="153"/>
  <c r="B64" i="153"/>
  <c r="B63" i="153"/>
  <c r="B62" i="153"/>
  <c r="B61" i="153"/>
  <c r="B60" i="153"/>
  <c r="B59" i="153"/>
  <c r="B58" i="153"/>
  <c r="B57" i="153"/>
  <c r="B56" i="153"/>
  <c r="B55" i="153"/>
  <c r="B54" i="153"/>
  <c r="B52" i="153"/>
  <c r="B51" i="153"/>
  <c r="B50" i="153"/>
  <c r="B49" i="153"/>
  <c r="B48" i="153"/>
  <c r="B47" i="153"/>
  <c r="B46" i="153"/>
  <c r="B45" i="153"/>
  <c r="B44" i="153"/>
  <c r="B43" i="153"/>
  <c r="B42" i="153"/>
  <c r="B41" i="153"/>
  <c r="B40" i="153"/>
  <c r="B39" i="153"/>
  <c r="B38" i="153"/>
  <c r="B37" i="153"/>
  <c r="B36" i="153"/>
  <c r="B35" i="153"/>
  <c r="B34" i="153"/>
  <c r="B33" i="153"/>
  <c r="B32" i="153"/>
  <c r="B31" i="153"/>
  <c r="B30" i="153"/>
  <c r="B29" i="153"/>
  <c r="B28" i="153"/>
  <c r="B27" i="153"/>
  <c r="B26" i="153"/>
  <c r="B25" i="153"/>
  <c r="B24" i="153"/>
  <c r="B23" i="153"/>
  <c r="B22" i="153"/>
  <c r="B21" i="153"/>
  <c r="B20" i="153"/>
  <c r="B19" i="153"/>
  <c r="B18" i="153"/>
  <c r="B17" i="153"/>
  <c r="B16" i="153"/>
  <c r="B15" i="153"/>
  <c r="B14" i="153"/>
  <c r="B13" i="153"/>
  <c r="B12" i="153"/>
  <c r="B11" i="153"/>
  <c r="B10" i="153"/>
  <c r="B9" i="153"/>
  <c r="B8" i="153"/>
  <c r="B7" i="153"/>
  <c r="B6" i="153"/>
  <c r="B5" i="153"/>
  <c r="F4" i="153"/>
  <c r="B4" i="153"/>
  <c r="D1" i="153"/>
  <c r="C38" i="153" s="1"/>
  <c r="B71" i="152"/>
  <c r="B70" i="152"/>
  <c r="B69" i="152"/>
  <c r="B68" i="152"/>
  <c r="B67" i="152"/>
  <c r="B66" i="152"/>
  <c r="B65" i="152"/>
  <c r="B64" i="152"/>
  <c r="B63" i="152"/>
  <c r="B62" i="152"/>
  <c r="B61" i="152"/>
  <c r="B60" i="152"/>
  <c r="B59" i="152"/>
  <c r="B58" i="152"/>
  <c r="B57" i="152"/>
  <c r="B56" i="152"/>
  <c r="B55" i="152"/>
  <c r="B54" i="152"/>
  <c r="B52" i="152"/>
  <c r="B51" i="152"/>
  <c r="B50" i="152"/>
  <c r="B49" i="152"/>
  <c r="B48" i="152"/>
  <c r="B46" i="152"/>
  <c r="B45" i="152"/>
  <c r="B44" i="152"/>
  <c r="B43" i="152"/>
  <c r="B42" i="152"/>
  <c r="B41" i="152"/>
  <c r="B40" i="152"/>
  <c r="B39" i="152"/>
  <c r="B38" i="152"/>
  <c r="B37" i="152"/>
  <c r="B36" i="152"/>
  <c r="B35" i="152"/>
  <c r="B34" i="152"/>
  <c r="B33" i="152"/>
  <c r="B32" i="152"/>
  <c r="B31" i="152"/>
  <c r="B30" i="152"/>
  <c r="B29" i="152"/>
  <c r="B28" i="152"/>
  <c r="B27" i="152"/>
  <c r="B26" i="152"/>
  <c r="B25" i="152"/>
  <c r="B24" i="152"/>
  <c r="B23" i="152"/>
  <c r="B22" i="152"/>
  <c r="B21" i="152"/>
  <c r="B20" i="152"/>
  <c r="B19" i="152"/>
  <c r="B18" i="152"/>
  <c r="B17" i="152"/>
  <c r="B16" i="152"/>
  <c r="B15" i="152"/>
  <c r="B14" i="152"/>
  <c r="B13" i="152"/>
  <c r="B12" i="152"/>
  <c r="B11" i="152"/>
  <c r="B10" i="152"/>
  <c r="B9" i="152"/>
  <c r="B8" i="152"/>
  <c r="B7" i="152"/>
  <c r="B6" i="152"/>
  <c r="B5" i="152"/>
  <c r="B47" i="152" s="1"/>
  <c r="F4" i="152"/>
  <c r="B4" i="152"/>
  <c r="D1" i="152"/>
  <c r="C28" i="152" s="1"/>
  <c r="B92" i="151"/>
  <c r="B91" i="151"/>
  <c r="B90" i="151"/>
  <c r="B89" i="151"/>
  <c r="B88" i="151"/>
  <c r="B87" i="151"/>
  <c r="B86" i="151"/>
  <c r="B85" i="151"/>
  <c r="B84" i="151"/>
  <c r="B83" i="151"/>
  <c r="B82" i="151"/>
  <c r="B81" i="151"/>
  <c r="B80" i="151"/>
  <c r="B79" i="151"/>
  <c r="B78" i="151"/>
  <c r="B77" i="151"/>
  <c r="B76" i="151"/>
  <c r="B75" i="151"/>
  <c r="B74" i="151"/>
  <c r="B73" i="151"/>
  <c r="B72" i="151"/>
  <c r="B71" i="151"/>
  <c r="B70" i="151"/>
  <c r="B69" i="151"/>
  <c r="B68" i="151"/>
  <c r="B67" i="151"/>
  <c r="B66" i="151"/>
  <c r="B65" i="151"/>
  <c r="B64" i="151"/>
  <c r="B63" i="151"/>
  <c r="B62" i="151"/>
  <c r="B61" i="151"/>
  <c r="B60" i="151"/>
  <c r="B59" i="151"/>
  <c r="B58" i="151"/>
  <c r="B57" i="151"/>
  <c r="B52" i="151"/>
  <c r="B51" i="151"/>
  <c r="B50" i="151"/>
  <c r="B49" i="151"/>
  <c r="B48" i="151"/>
  <c r="B47" i="151"/>
  <c r="B46" i="151"/>
  <c r="B45" i="151"/>
  <c r="B44" i="151"/>
  <c r="B43" i="151"/>
  <c r="B42" i="151"/>
  <c r="B41" i="151"/>
  <c r="B40" i="151"/>
  <c r="B39" i="151"/>
  <c r="B38" i="151"/>
  <c r="B37" i="151"/>
  <c r="B36" i="151"/>
  <c r="B35" i="151"/>
  <c r="B34" i="151"/>
  <c r="B33" i="151"/>
  <c r="B32" i="151"/>
  <c r="B31" i="151"/>
  <c r="B30" i="151"/>
  <c r="B29" i="151"/>
  <c r="B28" i="151"/>
  <c r="B27" i="151"/>
  <c r="B26" i="151"/>
  <c r="B25" i="151"/>
  <c r="B24" i="151"/>
  <c r="B23" i="151"/>
  <c r="B22" i="151"/>
  <c r="B21" i="151"/>
  <c r="B20" i="151"/>
  <c r="B19" i="151"/>
  <c r="B18" i="151"/>
  <c r="B17" i="151"/>
  <c r="B16" i="151"/>
  <c r="B56" i="151" s="1"/>
  <c r="B15" i="151"/>
  <c r="B55" i="151" s="1"/>
  <c r="B14" i="151"/>
  <c r="B54" i="151" s="1"/>
  <c r="B13" i="151"/>
  <c r="B53" i="151" s="1"/>
  <c r="B12" i="151"/>
  <c r="B11" i="151"/>
  <c r="B10" i="151"/>
  <c r="B9" i="151"/>
  <c r="B8" i="151"/>
  <c r="B7" i="151"/>
  <c r="B6" i="151"/>
  <c r="F5" i="151"/>
  <c r="B5" i="151"/>
  <c r="F4" i="151"/>
  <c r="G4" i="151" s="1"/>
  <c r="B4" i="151"/>
  <c r="E4" i="151" s="1"/>
  <c r="C91" i="151"/>
  <c r="D1" i="151"/>
  <c r="C35" i="151" s="1"/>
  <c r="B92" i="150"/>
  <c r="B91" i="150"/>
  <c r="B90" i="150"/>
  <c r="B89" i="150"/>
  <c r="B88" i="150"/>
  <c r="B87" i="150"/>
  <c r="B86" i="150"/>
  <c r="B85" i="150"/>
  <c r="B84" i="150"/>
  <c r="B83" i="150"/>
  <c r="B82" i="150"/>
  <c r="B81" i="150"/>
  <c r="B80" i="150"/>
  <c r="B79" i="150"/>
  <c r="B78" i="150"/>
  <c r="B77" i="150"/>
  <c r="B76" i="150"/>
  <c r="B75" i="150"/>
  <c r="B74" i="150"/>
  <c r="B73" i="150"/>
  <c r="B72" i="150"/>
  <c r="B71" i="150"/>
  <c r="B70" i="150"/>
  <c r="B69" i="150"/>
  <c r="B68" i="150"/>
  <c r="B67" i="150"/>
  <c r="B66" i="150"/>
  <c r="B65" i="150"/>
  <c r="B64" i="150"/>
  <c r="B63" i="150"/>
  <c r="B62" i="150"/>
  <c r="B61" i="150"/>
  <c r="B60" i="150"/>
  <c r="B59" i="150"/>
  <c r="B58" i="150"/>
  <c r="B57" i="150"/>
  <c r="B54" i="150"/>
  <c r="B52" i="150"/>
  <c r="B51" i="150"/>
  <c r="B50" i="150"/>
  <c r="B49" i="150"/>
  <c r="B48" i="150"/>
  <c r="B46" i="150"/>
  <c r="B45" i="150"/>
  <c r="B44" i="150"/>
  <c r="B43" i="150"/>
  <c r="B42" i="150"/>
  <c r="B41" i="150"/>
  <c r="B40" i="150"/>
  <c r="B39" i="150"/>
  <c r="B38" i="150"/>
  <c r="B37" i="150"/>
  <c r="B36" i="150"/>
  <c r="B35" i="150"/>
  <c r="B34" i="150"/>
  <c r="B33" i="150"/>
  <c r="B32" i="150"/>
  <c r="B31" i="150"/>
  <c r="B30" i="150"/>
  <c r="B29" i="150"/>
  <c r="B28" i="150"/>
  <c r="B27" i="150"/>
  <c r="B26" i="150"/>
  <c r="B25" i="150"/>
  <c r="B24" i="150"/>
  <c r="B23" i="150"/>
  <c r="B22" i="150"/>
  <c r="B21" i="150"/>
  <c r="B20" i="150"/>
  <c r="B19" i="150"/>
  <c r="B18" i="150"/>
  <c r="B17" i="150"/>
  <c r="B16" i="150"/>
  <c r="B56" i="150" s="1"/>
  <c r="B15" i="150"/>
  <c r="B55" i="150" s="1"/>
  <c r="B14" i="150"/>
  <c r="B13" i="150"/>
  <c r="B53" i="150" s="1"/>
  <c r="B12" i="150"/>
  <c r="B11" i="150"/>
  <c r="B10" i="150"/>
  <c r="B9" i="150"/>
  <c r="B8" i="150"/>
  <c r="B7" i="150"/>
  <c r="B6" i="150"/>
  <c r="B5" i="150"/>
  <c r="B47" i="150" s="1"/>
  <c r="G4" i="150"/>
  <c r="F5" i="150" s="1"/>
  <c r="F4" i="150"/>
  <c r="B4" i="150"/>
  <c r="E4" i="150" s="1"/>
  <c r="D1" i="150"/>
  <c r="C34" i="150" s="1"/>
  <c r="B92" i="149"/>
  <c r="C91" i="149"/>
  <c r="B91" i="149"/>
  <c r="B90" i="149"/>
  <c r="B89" i="149"/>
  <c r="B88" i="149"/>
  <c r="C87" i="149"/>
  <c r="B87" i="149"/>
  <c r="B86" i="149"/>
  <c r="B85" i="149"/>
  <c r="B84" i="149"/>
  <c r="B83" i="149"/>
  <c r="C82" i="149"/>
  <c r="B82" i="149"/>
  <c r="B81" i="149"/>
  <c r="B80" i="149"/>
  <c r="B79" i="149"/>
  <c r="C78" i="149"/>
  <c r="B78" i="149"/>
  <c r="B77" i="149"/>
  <c r="B76" i="149"/>
  <c r="C75" i="149"/>
  <c r="B75" i="149"/>
  <c r="B74" i="149"/>
  <c r="B73" i="149"/>
  <c r="B72" i="149"/>
  <c r="C71" i="149"/>
  <c r="B71" i="149"/>
  <c r="B70" i="149"/>
  <c r="B69" i="149"/>
  <c r="B68" i="149"/>
  <c r="B67" i="149"/>
  <c r="C66" i="149"/>
  <c r="B66" i="149"/>
  <c r="B65" i="149"/>
  <c r="B64" i="149"/>
  <c r="B63" i="149"/>
  <c r="C62" i="149"/>
  <c r="B62" i="149"/>
  <c r="C61" i="149"/>
  <c r="B61" i="149"/>
  <c r="B60" i="149"/>
  <c r="B59" i="149"/>
  <c r="C58" i="149"/>
  <c r="B58" i="149"/>
  <c r="C57" i="149"/>
  <c r="B57" i="149"/>
  <c r="B56" i="149"/>
  <c r="B55" i="149"/>
  <c r="C54" i="149"/>
  <c r="B54" i="149"/>
  <c r="C53" i="149"/>
  <c r="B52" i="149"/>
  <c r="B51" i="149"/>
  <c r="C50" i="149"/>
  <c r="B50" i="149"/>
  <c r="B49" i="149"/>
  <c r="C48" i="149"/>
  <c r="B48" i="149"/>
  <c r="B47" i="149"/>
  <c r="B46" i="149"/>
  <c r="B45" i="149"/>
  <c r="B44" i="149"/>
  <c r="B43" i="149"/>
  <c r="C42" i="149"/>
  <c r="B42" i="149"/>
  <c r="B41" i="149"/>
  <c r="C40" i="149"/>
  <c r="B40" i="149"/>
  <c r="B39" i="149"/>
  <c r="C38" i="149"/>
  <c r="B38" i="149"/>
  <c r="B37" i="149"/>
  <c r="C36" i="149"/>
  <c r="B36" i="149"/>
  <c r="C35" i="149"/>
  <c r="B35" i="149"/>
  <c r="B34" i="149"/>
  <c r="B33" i="149"/>
  <c r="B32" i="149"/>
  <c r="C31" i="149"/>
  <c r="B31" i="149"/>
  <c r="B30" i="149"/>
  <c r="B29" i="149"/>
  <c r="C28" i="149"/>
  <c r="B28" i="149"/>
  <c r="B27" i="149"/>
  <c r="C26" i="149"/>
  <c r="B26" i="149"/>
  <c r="B25" i="149"/>
  <c r="C24" i="149"/>
  <c r="B24" i="149"/>
  <c r="C23" i="149"/>
  <c r="B23" i="149"/>
  <c r="B22" i="149"/>
  <c r="B21" i="149"/>
  <c r="B20" i="149"/>
  <c r="C19" i="149"/>
  <c r="B19" i="149"/>
  <c r="C18" i="149"/>
  <c r="B18" i="149"/>
  <c r="B17" i="149"/>
  <c r="B16" i="149"/>
  <c r="B15" i="149"/>
  <c r="C14" i="149"/>
  <c r="B14" i="149"/>
  <c r="B13" i="149"/>
  <c r="B53" i="149" s="1"/>
  <c r="B12" i="149"/>
  <c r="B11" i="149"/>
  <c r="B10" i="149"/>
  <c r="B9" i="149"/>
  <c r="B8" i="149"/>
  <c r="B7" i="149"/>
  <c r="C6" i="149"/>
  <c r="B6" i="149"/>
  <c r="B5" i="149"/>
  <c r="G4" i="149"/>
  <c r="F5" i="149" s="1"/>
  <c r="F4" i="149"/>
  <c r="E4" i="149" s="1"/>
  <c r="B4" i="149"/>
  <c r="J2" i="149"/>
  <c r="J1" i="149"/>
  <c r="F1" i="149"/>
  <c r="D1" i="149"/>
  <c r="C51" i="149" s="1"/>
  <c r="B92" i="148"/>
  <c r="B91" i="148"/>
  <c r="B90" i="148"/>
  <c r="B89" i="148"/>
  <c r="B88" i="148"/>
  <c r="C87" i="148"/>
  <c r="B87" i="148"/>
  <c r="B86" i="148"/>
  <c r="B85" i="148"/>
  <c r="B84" i="148"/>
  <c r="C83" i="148"/>
  <c r="B83" i="148"/>
  <c r="B82" i="148"/>
  <c r="B81" i="148"/>
  <c r="B80" i="148"/>
  <c r="B79" i="148"/>
  <c r="B78" i="148"/>
  <c r="B77" i="148"/>
  <c r="B76" i="148"/>
  <c r="C75" i="148"/>
  <c r="B75" i="148"/>
  <c r="B74" i="148"/>
  <c r="B73" i="148"/>
  <c r="B72" i="148"/>
  <c r="C71" i="148"/>
  <c r="B71" i="148"/>
  <c r="B70" i="148"/>
  <c r="B69" i="148"/>
  <c r="B68" i="148"/>
  <c r="B67" i="148"/>
  <c r="B66" i="148"/>
  <c r="B65" i="148"/>
  <c r="B64" i="148"/>
  <c r="C63" i="148"/>
  <c r="B63" i="148"/>
  <c r="B62" i="148"/>
  <c r="B61" i="148"/>
  <c r="B60" i="148"/>
  <c r="B59" i="148"/>
  <c r="B58" i="148"/>
  <c r="B57" i="148"/>
  <c r="B56" i="148"/>
  <c r="C55" i="148"/>
  <c r="B55" i="148"/>
  <c r="B54" i="148"/>
  <c r="B53" i="148"/>
  <c r="C52" i="148"/>
  <c r="D52" i="148" s="1"/>
  <c r="B52" i="148"/>
  <c r="B51" i="148"/>
  <c r="C50" i="148"/>
  <c r="B50" i="148"/>
  <c r="C49" i="148"/>
  <c r="B49" i="148"/>
  <c r="C48" i="148"/>
  <c r="B48" i="148"/>
  <c r="B47" i="148"/>
  <c r="C46" i="148"/>
  <c r="B46" i="148"/>
  <c r="C45" i="148"/>
  <c r="B45" i="148"/>
  <c r="B44" i="148"/>
  <c r="C43" i="148"/>
  <c r="B43" i="148"/>
  <c r="C42" i="148"/>
  <c r="B42" i="148"/>
  <c r="B41" i="148"/>
  <c r="B40" i="148"/>
  <c r="C39" i="148"/>
  <c r="B39" i="148"/>
  <c r="C38" i="148"/>
  <c r="B38" i="148"/>
  <c r="B37" i="148"/>
  <c r="B36" i="148"/>
  <c r="C35" i="148"/>
  <c r="B35" i="148"/>
  <c r="C34" i="148"/>
  <c r="B34" i="148"/>
  <c r="B33" i="148"/>
  <c r="B32" i="148"/>
  <c r="C31" i="148"/>
  <c r="B31" i="148"/>
  <c r="C30" i="148"/>
  <c r="B30" i="148"/>
  <c r="B29" i="148"/>
  <c r="B28" i="148"/>
  <c r="C27" i="148"/>
  <c r="B27" i="148"/>
  <c r="C26" i="148"/>
  <c r="B26" i="148"/>
  <c r="B25" i="148"/>
  <c r="B24" i="148"/>
  <c r="C23" i="148"/>
  <c r="B23" i="148"/>
  <c r="C22" i="148"/>
  <c r="B22" i="148"/>
  <c r="B21" i="148"/>
  <c r="B20" i="148"/>
  <c r="C19" i="148"/>
  <c r="B19" i="148"/>
  <c r="C18" i="148"/>
  <c r="B18" i="148"/>
  <c r="B17" i="148"/>
  <c r="B16" i="148"/>
  <c r="C15" i="148"/>
  <c r="B15" i="148"/>
  <c r="C14" i="148"/>
  <c r="B14" i="148"/>
  <c r="B13" i="148"/>
  <c r="B12" i="148"/>
  <c r="C11" i="148"/>
  <c r="B11" i="148"/>
  <c r="C10" i="148"/>
  <c r="B10" i="148"/>
  <c r="B9" i="148"/>
  <c r="B8" i="148"/>
  <c r="C7" i="148"/>
  <c r="B7" i="148"/>
  <c r="C6" i="148"/>
  <c r="B6" i="148"/>
  <c r="B5" i="148"/>
  <c r="F4" i="148"/>
  <c r="B4" i="148"/>
  <c r="F1" i="148"/>
  <c r="C79" i="148" s="1"/>
  <c r="D1" i="148"/>
  <c r="C47" i="148" s="1"/>
  <c r="B92" i="147"/>
  <c r="B91" i="147"/>
  <c r="B90" i="147"/>
  <c r="B89" i="147"/>
  <c r="B88" i="147"/>
  <c r="B87" i="147"/>
  <c r="B86" i="147"/>
  <c r="B85" i="147"/>
  <c r="B84" i="147"/>
  <c r="B83" i="147"/>
  <c r="B82" i="147"/>
  <c r="B81" i="147"/>
  <c r="B80" i="147"/>
  <c r="B79" i="147"/>
  <c r="B78" i="147"/>
  <c r="B77" i="147"/>
  <c r="B76" i="147"/>
  <c r="B75" i="147"/>
  <c r="B74" i="147"/>
  <c r="B73" i="147"/>
  <c r="B72" i="147"/>
  <c r="B71" i="147"/>
  <c r="B70" i="147"/>
  <c r="B69" i="147"/>
  <c r="B68" i="147"/>
  <c r="C67" i="147"/>
  <c r="B67" i="147"/>
  <c r="B66" i="147"/>
  <c r="B65" i="147"/>
  <c r="B64" i="147"/>
  <c r="B63" i="147"/>
  <c r="B62" i="147"/>
  <c r="B61" i="147"/>
  <c r="B60" i="147"/>
  <c r="B59" i="147"/>
  <c r="B58" i="147"/>
  <c r="B57" i="147"/>
  <c r="B56" i="147"/>
  <c r="B55" i="147"/>
  <c r="B54" i="147"/>
  <c r="B52" i="147"/>
  <c r="B51" i="147"/>
  <c r="B50" i="147"/>
  <c r="B49" i="147"/>
  <c r="B48" i="147"/>
  <c r="B46" i="147"/>
  <c r="B45" i="147"/>
  <c r="B44" i="147"/>
  <c r="B43" i="147"/>
  <c r="B42" i="147"/>
  <c r="B41" i="147"/>
  <c r="B40" i="147"/>
  <c r="B39" i="147"/>
  <c r="B38" i="147"/>
  <c r="B37" i="147"/>
  <c r="B36" i="147"/>
  <c r="B35" i="147"/>
  <c r="B34" i="147"/>
  <c r="B33" i="147"/>
  <c r="B32" i="147"/>
  <c r="B31" i="147"/>
  <c r="B30" i="147"/>
  <c r="B29" i="147"/>
  <c r="B28" i="147"/>
  <c r="B27" i="147"/>
  <c r="B26" i="147"/>
  <c r="B25" i="147"/>
  <c r="B24" i="147"/>
  <c r="B23" i="147"/>
  <c r="B22" i="147"/>
  <c r="B21" i="147"/>
  <c r="B20" i="147"/>
  <c r="B19" i="147"/>
  <c r="B18" i="147"/>
  <c r="B17" i="147"/>
  <c r="B16" i="147"/>
  <c r="B15" i="147"/>
  <c r="B14" i="147"/>
  <c r="B13" i="147"/>
  <c r="B53" i="147" s="1"/>
  <c r="B12" i="147"/>
  <c r="B11" i="147"/>
  <c r="B10" i="147"/>
  <c r="B9" i="147"/>
  <c r="B8" i="147"/>
  <c r="B7" i="147"/>
  <c r="B6" i="147"/>
  <c r="B5" i="147"/>
  <c r="B47" i="147" s="1"/>
  <c r="F4" i="147"/>
  <c r="B4" i="147"/>
  <c r="J2" i="147"/>
  <c r="J1" i="147"/>
  <c r="F1" i="147"/>
  <c r="C85" i="147" s="1"/>
  <c r="D1" i="147"/>
  <c r="C16" i="147" s="1"/>
  <c r="B92" i="146"/>
  <c r="B91" i="146"/>
  <c r="B90" i="146"/>
  <c r="B89" i="146"/>
  <c r="B88" i="146"/>
  <c r="B87" i="146"/>
  <c r="B86" i="146"/>
  <c r="B85" i="146"/>
  <c r="B84" i="146"/>
  <c r="B83" i="146"/>
  <c r="B82" i="146"/>
  <c r="B81" i="146"/>
  <c r="B80" i="146"/>
  <c r="B79" i="146"/>
  <c r="B78" i="146"/>
  <c r="B77" i="146"/>
  <c r="B76" i="146"/>
  <c r="B75" i="146"/>
  <c r="B74" i="146"/>
  <c r="B73" i="146"/>
  <c r="B72" i="146"/>
  <c r="B71" i="146"/>
  <c r="B70" i="146"/>
  <c r="B69" i="146"/>
  <c r="B68" i="146"/>
  <c r="B67" i="146"/>
  <c r="B66" i="146"/>
  <c r="B65" i="146"/>
  <c r="B64" i="146"/>
  <c r="B63" i="146"/>
  <c r="B62" i="146"/>
  <c r="B61" i="146"/>
  <c r="B60" i="146"/>
  <c r="B59" i="146"/>
  <c r="B58" i="146"/>
  <c r="B57" i="146"/>
  <c r="B56" i="146"/>
  <c r="B55" i="146"/>
  <c r="B54" i="146"/>
  <c r="B53" i="146"/>
  <c r="B52" i="146"/>
  <c r="B51" i="146"/>
  <c r="B50" i="146"/>
  <c r="B49" i="146"/>
  <c r="B48" i="146"/>
  <c r="B47" i="146"/>
  <c r="B46" i="146"/>
  <c r="B45" i="146"/>
  <c r="B44" i="146"/>
  <c r="B43" i="146"/>
  <c r="B42" i="146"/>
  <c r="B41" i="146"/>
  <c r="B40" i="146"/>
  <c r="B39" i="146"/>
  <c r="B38" i="146"/>
  <c r="B37" i="146"/>
  <c r="B36" i="146"/>
  <c r="B35" i="146"/>
  <c r="B34" i="146"/>
  <c r="B33" i="146"/>
  <c r="B32" i="146"/>
  <c r="B31" i="146"/>
  <c r="B30" i="146"/>
  <c r="B29" i="146"/>
  <c r="B28" i="146"/>
  <c r="B27" i="146"/>
  <c r="B26" i="146"/>
  <c r="B25" i="146"/>
  <c r="B24" i="146"/>
  <c r="B23" i="146"/>
  <c r="B22" i="146"/>
  <c r="B21" i="146"/>
  <c r="B20" i="146"/>
  <c r="B19" i="146"/>
  <c r="B18" i="146"/>
  <c r="B17" i="146"/>
  <c r="B16" i="146"/>
  <c r="B15" i="146"/>
  <c r="B14" i="146"/>
  <c r="B13" i="146"/>
  <c r="B12" i="146"/>
  <c r="B11" i="146"/>
  <c r="B10" i="146"/>
  <c r="B9" i="146"/>
  <c r="B8" i="146"/>
  <c r="B7" i="146"/>
  <c r="B6" i="146"/>
  <c r="F5" i="146"/>
  <c r="E5" i="146"/>
  <c r="B5" i="146"/>
  <c r="G4" i="146"/>
  <c r="F4" i="146"/>
  <c r="B4" i="146"/>
  <c r="E4" i="146" s="1"/>
  <c r="F1" i="146"/>
  <c r="C74" i="146" s="1"/>
  <c r="D1" i="146"/>
  <c r="C44" i="146" s="1"/>
  <c r="F76" i="160" l="1"/>
  <c r="C58" i="158"/>
  <c r="C64" i="158"/>
  <c r="C70" i="158"/>
  <c r="C56" i="158"/>
  <c r="C62" i="158"/>
  <c r="C68" i="158"/>
  <c r="C60" i="158"/>
  <c r="E4" i="157"/>
  <c r="C10" i="157"/>
  <c r="C6" i="157"/>
  <c r="C12" i="157"/>
  <c r="C70" i="157"/>
  <c r="C20" i="156"/>
  <c r="C10" i="156"/>
  <c r="C16" i="156"/>
  <c r="C56" i="156" s="1"/>
  <c r="C28" i="156"/>
  <c r="C6" i="156"/>
  <c r="C22" i="156"/>
  <c r="C12" i="156"/>
  <c r="C18" i="156"/>
  <c r="C8" i="156"/>
  <c r="C92" i="156"/>
  <c r="C88" i="156"/>
  <c r="C84" i="156"/>
  <c r="C80" i="156"/>
  <c r="C76" i="156"/>
  <c r="C72" i="156"/>
  <c r="C68" i="156"/>
  <c r="C64" i="156"/>
  <c r="C60" i="156"/>
  <c r="C89" i="156"/>
  <c r="C85" i="156"/>
  <c r="C81" i="156"/>
  <c r="C77" i="156"/>
  <c r="C73" i="156"/>
  <c r="C69" i="156"/>
  <c r="C65" i="156"/>
  <c r="C61" i="156"/>
  <c r="C57" i="156"/>
  <c r="C90" i="156"/>
  <c r="C86" i="156"/>
  <c r="C82" i="156"/>
  <c r="C78" i="156"/>
  <c r="C74" i="156"/>
  <c r="C70" i="156"/>
  <c r="C66" i="156"/>
  <c r="C62" i="156"/>
  <c r="C58" i="156"/>
  <c r="C91" i="156"/>
  <c r="C87" i="156"/>
  <c r="C83" i="156"/>
  <c r="C79" i="156"/>
  <c r="C75" i="156"/>
  <c r="C71" i="156"/>
  <c r="C67" i="156"/>
  <c r="C63" i="156"/>
  <c r="C59" i="156"/>
  <c r="E5" i="157"/>
  <c r="C5" i="156"/>
  <c r="D5" i="156" s="1"/>
  <c r="G5" i="156" s="1"/>
  <c r="F6" i="156" s="1"/>
  <c r="C9" i="156"/>
  <c r="C13" i="156"/>
  <c r="C17" i="156"/>
  <c r="C51" i="156"/>
  <c r="C47" i="156"/>
  <c r="C43" i="156"/>
  <c r="C39" i="156"/>
  <c r="C35" i="156"/>
  <c r="C31" i="156"/>
  <c r="C27" i="156"/>
  <c r="C23" i="156"/>
  <c r="C52" i="156"/>
  <c r="D52" i="156" s="1"/>
  <c r="C48" i="156"/>
  <c r="C44" i="156"/>
  <c r="C40" i="156"/>
  <c r="C49" i="156"/>
  <c r="C45" i="156"/>
  <c r="C41" i="156"/>
  <c r="C37" i="156"/>
  <c r="C33" i="156"/>
  <c r="C29" i="156"/>
  <c r="C25" i="156"/>
  <c r="C50" i="156"/>
  <c r="C46" i="156"/>
  <c r="C42" i="156"/>
  <c r="C38" i="156"/>
  <c r="C34" i="156"/>
  <c r="C30" i="156"/>
  <c r="C26" i="156"/>
  <c r="C7" i="156"/>
  <c r="C11" i="156"/>
  <c r="C15" i="156"/>
  <c r="C19" i="156"/>
  <c r="C36" i="156"/>
  <c r="C32" i="156"/>
  <c r="C24" i="156"/>
  <c r="C7" i="157"/>
  <c r="C66" i="157"/>
  <c r="C60" i="157"/>
  <c r="C50" i="157"/>
  <c r="C46" i="157"/>
  <c r="C42" i="157"/>
  <c r="C38" i="157"/>
  <c r="C34" i="157"/>
  <c r="C30" i="157"/>
  <c r="C26" i="157"/>
  <c r="C22" i="157"/>
  <c r="C18" i="157"/>
  <c r="C14" i="157"/>
  <c r="C51" i="157"/>
  <c r="C47" i="157"/>
  <c r="C43" i="157"/>
  <c r="C39" i="157"/>
  <c r="C35" i="157"/>
  <c r="C31" i="157"/>
  <c r="C27" i="157"/>
  <c r="C23" i="157"/>
  <c r="C19" i="157"/>
  <c r="C15" i="157"/>
  <c r="C52" i="157"/>
  <c r="D52" i="157" s="1"/>
  <c r="C48" i="157"/>
  <c r="C44" i="157"/>
  <c r="C40" i="157"/>
  <c r="C36" i="157"/>
  <c r="C32" i="157"/>
  <c r="C28" i="157"/>
  <c r="C24" i="157"/>
  <c r="C20" i="157"/>
  <c r="C16" i="157"/>
  <c r="C49" i="157"/>
  <c r="C45" i="157"/>
  <c r="C41" i="157"/>
  <c r="C37" i="157"/>
  <c r="C33" i="157"/>
  <c r="C29" i="157"/>
  <c r="C25" i="157"/>
  <c r="C21" i="157"/>
  <c r="C17" i="157"/>
  <c r="C53" i="157"/>
  <c r="G4" i="158"/>
  <c r="F5" i="158" s="1"/>
  <c r="E4" i="158"/>
  <c r="C71" i="157"/>
  <c r="C67" i="157"/>
  <c r="C63" i="157"/>
  <c r="C59" i="157"/>
  <c r="C55" i="157"/>
  <c r="C69" i="157"/>
  <c r="C65" i="157"/>
  <c r="C61" i="157"/>
  <c r="C57" i="157"/>
  <c r="C5" i="157"/>
  <c r="D5" i="157" s="1"/>
  <c r="G5" i="157" s="1"/>
  <c r="F6" i="157" s="1"/>
  <c r="C9" i="157"/>
  <c r="C13" i="157"/>
  <c r="C58" i="157"/>
  <c r="C68" i="157"/>
  <c r="C56" i="157"/>
  <c r="C53" i="158"/>
  <c r="C57" i="158"/>
  <c r="C61" i="158"/>
  <c r="C65" i="158"/>
  <c r="C69" i="158"/>
  <c r="C5" i="158"/>
  <c r="C9" i="158"/>
  <c r="C13" i="158"/>
  <c r="C17" i="158"/>
  <c r="C21" i="158"/>
  <c r="C25" i="158"/>
  <c r="C29" i="158"/>
  <c r="C33" i="158"/>
  <c r="C37" i="158"/>
  <c r="C41" i="158"/>
  <c r="C45" i="158"/>
  <c r="C49" i="158"/>
  <c r="C8" i="158"/>
  <c r="C12" i="158"/>
  <c r="C16" i="158"/>
  <c r="C20" i="158"/>
  <c r="C24" i="158"/>
  <c r="C28" i="158"/>
  <c r="C32" i="158"/>
  <c r="C36" i="158"/>
  <c r="C40" i="158"/>
  <c r="C44" i="158"/>
  <c r="C48" i="158"/>
  <c r="C52" i="158"/>
  <c r="D52" i="158" s="1"/>
  <c r="C55" i="158"/>
  <c r="C59" i="158"/>
  <c r="C63" i="158"/>
  <c r="C67" i="158"/>
  <c r="C7" i="158"/>
  <c r="C11" i="158"/>
  <c r="C15" i="158"/>
  <c r="C19" i="158"/>
  <c r="C23" i="158"/>
  <c r="C27" i="158"/>
  <c r="C31" i="158"/>
  <c r="C35" i="158"/>
  <c r="C39" i="158"/>
  <c r="C43" i="158"/>
  <c r="C47" i="158"/>
  <c r="C51" i="158"/>
  <c r="C6" i="158"/>
  <c r="C10" i="158"/>
  <c r="C14" i="158"/>
  <c r="C18" i="158"/>
  <c r="C22" i="158"/>
  <c r="C26" i="158"/>
  <c r="C30" i="158"/>
  <c r="C34" i="158"/>
  <c r="C38" i="158"/>
  <c r="C42" i="158"/>
  <c r="C46" i="158"/>
  <c r="C18" i="153"/>
  <c r="C6" i="153"/>
  <c r="C7" i="151"/>
  <c r="C43" i="151"/>
  <c r="C23" i="151"/>
  <c r="C51" i="151"/>
  <c r="C31" i="151"/>
  <c r="C39" i="151"/>
  <c r="C60" i="150"/>
  <c r="C57" i="150"/>
  <c r="C19" i="150"/>
  <c r="C89" i="150"/>
  <c r="C76" i="150"/>
  <c r="C64" i="152"/>
  <c r="C53" i="153"/>
  <c r="C62" i="153"/>
  <c r="C50" i="153"/>
  <c r="C68" i="153"/>
  <c r="E4" i="152"/>
  <c r="C53" i="152"/>
  <c r="C10" i="152"/>
  <c r="C31" i="152"/>
  <c r="C23" i="152"/>
  <c r="C56" i="152"/>
  <c r="C49" i="152"/>
  <c r="C45" i="152"/>
  <c r="C41" i="152"/>
  <c r="C37" i="152"/>
  <c r="C33" i="152"/>
  <c r="C29" i="152"/>
  <c r="C25" i="152"/>
  <c r="C21" i="152"/>
  <c r="C50" i="152"/>
  <c r="C46" i="152"/>
  <c r="C42" i="152"/>
  <c r="C38" i="152"/>
  <c r="C34" i="152"/>
  <c r="C30" i="152"/>
  <c r="C26" i="152"/>
  <c r="C22" i="152"/>
  <c r="C43" i="152"/>
  <c r="C19" i="152"/>
  <c r="C15" i="152"/>
  <c r="C11" i="152"/>
  <c r="C7" i="152"/>
  <c r="C36" i="152"/>
  <c r="C47" i="152"/>
  <c r="C52" i="152"/>
  <c r="D52" i="152" s="1"/>
  <c r="C20" i="152"/>
  <c r="C51" i="152"/>
  <c r="C35" i="152"/>
  <c r="C17" i="152"/>
  <c r="C13" i="152"/>
  <c r="C9" i="152"/>
  <c r="C5" i="152"/>
  <c r="C44" i="152"/>
  <c r="C39" i="152"/>
  <c r="C8" i="152"/>
  <c r="C65" i="152"/>
  <c r="C57" i="152"/>
  <c r="C68" i="152"/>
  <c r="C60" i="152"/>
  <c r="C71" i="152"/>
  <c r="C63" i="152"/>
  <c r="C55" i="152"/>
  <c r="C66" i="152"/>
  <c r="C58" i="152"/>
  <c r="C70" i="152"/>
  <c r="C62" i="152"/>
  <c r="C54" i="152"/>
  <c r="C69" i="152"/>
  <c r="C61" i="152"/>
  <c r="C6" i="152"/>
  <c r="C24" i="152"/>
  <c r="C40" i="152"/>
  <c r="C18" i="152"/>
  <c r="G4" i="152"/>
  <c r="F5" i="152" s="1"/>
  <c r="C16" i="152"/>
  <c r="C14" i="152"/>
  <c r="C27" i="152"/>
  <c r="C32" i="152"/>
  <c r="C48" i="152"/>
  <c r="C67" i="152"/>
  <c r="C12" i="152"/>
  <c r="C24" i="153"/>
  <c r="E4" i="153"/>
  <c r="G4" i="153"/>
  <c r="F5" i="153" s="1"/>
  <c r="C8" i="153"/>
  <c r="C22" i="153"/>
  <c r="C34" i="153"/>
  <c r="C51" i="153"/>
  <c r="C47" i="153"/>
  <c r="C43" i="153"/>
  <c r="C39" i="153"/>
  <c r="C35" i="153"/>
  <c r="C31" i="153"/>
  <c r="C27" i="153"/>
  <c r="C23" i="153"/>
  <c r="C19" i="153"/>
  <c r="C15" i="153"/>
  <c r="C11" i="153"/>
  <c r="C7" i="153"/>
  <c r="C49" i="153"/>
  <c r="C45" i="153"/>
  <c r="C41" i="153"/>
  <c r="C37" i="153"/>
  <c r="C33" i="153"/>
  <c r="C29" i="153"/>
  <c r="C25" i="153"/>
  <c r="C21" i="153"/>
  <c r="C17" i="153"/>
  <c r="C13" i="153"/>
  <c r="C9" i="153"/>
  <c r="C5" i="153"/>
  <c r="C52" i="153"/>
  <c r="D52" i="153" s="1"/>
  <c r="C36" i="153"/>
  <c r="C20" i="153"/>
  <c r="C48" i="153"/>
  <c r="C32" i="153"/>
  <c r="C16" i="153"/>
  <c r="C46" i="153"/>
  <c r="C30" i="153"/>
  <c r="C14" i="153"/>
  <c r="C44" i="153"/>
  <c r="C28" i="153"/>
  <c r="C12" i="153"/>
  <c r="C42" i="153"/>
  <c r="C26" i="153"/>
  <c r="C10" i="153"/>
  <c r="C40" i="153"/>
  <c r="C54" i="153"/>
  <c r="C70" i="153"/>
  <c r="C56" i="153"/>
  <c r="C58" i="153"/>
  <c r="C60" i="153"/>
  <c r="C71" i="153"/>
  <c r="C67" i="153"/>
  <c r="C63" i="153"/>
  <c r="C59" i="153"/>
  <c r="C55" i="153"/>
  <c r="C69" i="153"/>
  <c r="C65" i="153"/>
  <c r="C61" i="153"/>
  <c r="C57" i="153"/>
  <c r="C66" i="153"/>
  <c r="C32" i="146"/>
  <c r="C48" i="146"/>
  <c r="C11" i="146"/>
  <c r="C15" i="146"/>
  <c r="C47" i="146"/>
  <c r="C51" i="146"/>
  <c r="C70" i="146"/>
  <c r="C87" i="146"/>
  <c r="C75" i="147"/>
  <c r="C54" i="146"/>
  <c r="C67" i="146"/>
  <c r="C77" i="146"/>
  <c r="C82" i="146"/>
  <c r="C91" i="146"/>
  <c r="C13" i="147"/>
  <c r="C20" i="147"/>
  <c r="C25" i="147"/>
  <c r="C32" i="147"/>
  <c r="C57" i="147"/>
  <c r="C73" i="147"/>
  <c r="C81" i="147"/>
  <c r="C83" i="147"/>
  <c r="C7" i="146"/>
  <c r="C19" i="146"/>
  <c r="C23" i="146"/>
  <c r="C27" i="146"/>
  <c r="C31" i="146"/>
  <c r="C43" i="146"/>
  <c r="C14" i="146"/>
  <c r="C26" i="146"/>
  <c r="C30" i="146"/>
  <c r="C34" i="146"/>
  <c r="C42" i="146"/>
  <c r="C46" i="146"/>
  <c r="C50" i="146"/>
  <c r="C57" i="146"/>
  <c r="C62" i="146"/>
  <c r="C79" i="146"/>
  <c r="C9" i="147"/>
  <c r="C45" i="147"/>
  <c r="C68" i="147"/>
  <c r="C89" i="147"/>
  <c r="C12" i="146"/>
  <c r="C24" i="146"/>
  <c r="C35" i="146"/>
  <c r="C39" i="146"/>
  <c r="C65" i="146"/>
  <c r="C89" i="146"/>
  <c r="C17" i="147"/>
  <c r="C41" i="147"/>
  <c r="G4" i="148"/>
  <c r="F5" i="148" s="1"/>
  <c r="E4" i="148"/>
  <c r="C6" i="146"/>
  <c r="C10" i="146"/>
  <c r="C18" i="146"/>
  <c r="C22" i="146"/>
  <c r="C38" i="146"/>
  <c r="C59" i="146"/>
  <c r="C69" i="146"/>
  <c r="G4" i="147"/>
  <c r="F5" i="147" s="1"/>
  <c r="E4" i="147"/>
  <c r="C76" i="147"/>
  <c r="C88" i="146"/>
  <c r="C84" i="146"/>
  <c r="C80" i="146"/>
  <c r="C76" i="146"/>
  <c r="C72" i="146"/>
  <c r="C68" i="146"/>
  <c r="C64" i="146"/>
  <c r="C60" i="146"/>
  <c r="C56" i="146"/>
  <c r="C16" i="146"/>
  <c r="C20" i="146"/>
  <c r="C5" i="146"/>
  <c r="D5" i="146" s="1"/>
  <c r="G5" i="146" s="1"/>
  <c r="F6" i="146" s="1"/>
  <c r="C9" i="146"/>
  <c r="C13" i="146"/>
  <c r="C17" i="146"/>
  <c r="C21" i="146"/>
  <c r="C25" i="146"/>
  <c r="C29" i="146"/>
  <c r="C33" i="146"/>
  <c r="C37" i="146"/>
  <c r="C41" i="146"/>
  <c r="C45" i="146"/>
  <c r="C49" i="146"/>
  <c r="C71" i="146"/>
  <c r="C81" i="146"/>
  <c r="C86" i="146"/>
  <c r="C90" i="146"/>
  <c r="C33" i="147"/>
  <c r="C49" i="147"/>
  <c r="C55" i="147"/>
  <c r="C79" i="147"/>
  <c r="C61" i="146"/>
  <c r="C66" i="146"/>
  <c r="C83" i="146"/>
  <c r="C92" i="146"/>
  <c r="D92" i="146" s="1"/>
  <c r="C53" i="147"/>
  <c r="C61" i="147"/>
  <c r="C87" i="147"/>
  <c r="C8" i="146"/>
  <c r="C36" i="146"/>
  <c r="C40" i="146"/>
  <c r="C52" i="146"/>
  <c r="D52" i="146" s="1"/>
  <c r="C63" i="146"/>
  <c r="C73" i="146"/>
  <c r="C78" i="146"/>
  <c r="C50" i="147"/>
  <c r="C46" i="147"/>
  <c r="C42" i="147"/>
  <c r="C38" i="147"/>
  <c r="C34" i="147"/>
  <c r="C30" i="147"/>
  <c r="C26" i="147"/>
  <c r="C22" i="147"/>
  <c r="C18" i="147"/>
  <c r="C14" i="147"/>
  <c r="C10" i="147"/>
  <c r="C6" i="147"/>
  <c r="C51" i="147"/>
  <c r="C47" i="147"/>
  <c r="C43" i="147"/>
  <c r="C39" i="147"/>
  <c r="C35" i="147"/>
  <c r="C31" i="147"/>
  <c r="C27" i="147"/>
  <c r="C23" i="147"/>
  <c r="C19" i="147"/>
  <c r="C15" i="147"/>
  <c r="C11" i="147"/>
  <c r="C7" i="147"/>
  <c r="C52" i="147"/>
  <c r="D52" i="147" s="1"/>
  <c r="C48" i="147"/>
  <c r="C44" i="147"/>
  <c r="C40" i="147"/>
  <c r="C36" i="147"/>
  <c r="C28" i="147"/>
  <c r="C21" i="147"/>
  <c r="C12" i="147"/>
  <c r="C5" i="147"/>
  <c r="C24" i="147"/>
  <c r="C29" i="147"/>
  <c r="C37" i="147"/>
  <c r="C56" i="147"/>
  <c r="C64" i="147"/>
  <c r="C72" i="147"/>
  <c r="C28" i="146"/>
  <c r="C55" i="146"/>
  <c r="C58" i="146"/>
  <c r="C75" i="146"/>
  <c r="C85" i="146"/>
  <c r="C90" i="147"/>
  <c r="C86" i="147"/>
  <c r="C82" i="147"/>
  <c r="C78" i="147"/>
  <c r="C74" i="147"/>
  <c r="C70" i="147"/>
  <c r="C66" i="147"/>
  <c r="C62" i="147"/>
  <c r="C58" i="147"/>
  <c r="C54" i="147"/>
  <c r="C92" i="147"/>
  <c r="D92" i="147" s="1"/>
  <c r="C77" i="147"/>
  <c r="C71" i="147"/>
  <c r="C60" i="147"/>
  <c r="C84" i="147"/>
  <c r="C69" i="147"/>
  <c r="C63" i="147"/>
  <c r="C91" i="147"/>
  <c r="C80" i="147"/>
  <c r="C65" i="147"/>
  <c r="C59" i="147"/>
  <c r="C8" i="147"/>
  <c r="C88" i="147"/>
  <c r="E5" i="149"/>
  <c r="C5" i="148"/>
  <c r="C9" i="148"/>
  <c r="C13" i="148"/>
  <c r="C17" i="148"/>
  <c r="C21" i="148"/>
  <c r="C25" i="148"/>
  <c r="C29" i="148"/>
  <c r="C33" i="148"/>
  <c r="C37" i="148"/>
  <c r="C41" i="148"/>
  <c r="C51" i="148"/>
  <c r="C67" i="148"/>
  <c r="C44" i="148"/>
  <c r="C90" i="148"/>
  <c r="C86" i="148"/>
  <c r="C82" i="148"/>
  <c r="C78" i="148"/>
  <c r="C74" i="148"/>
  <c r="C70" i="148"/>
  <c r="C66" i="148"/>
  <c r="C62" i="148"/>
  <c r="C58" i="148"/>
  <c r="C54" i="148"/>
  <c r="C92" i="148"/>
  <c r="D92" i="148" s="1"/>
  <c r="C88" i="148"/>
  <c r="C84" i="148"/>
  <c r="C80" i="148"/>
  <c r="C76" i="148"/>
  <c r="C72" i="148"/>
  <c r="C68" i="148"/>
  <c r="C64" i="148"/>
  <c r="C60" i="148"/>
  <c r="C56" i="148"/>
  <c r="C89" i="148"/>
  <c r="C85" i="148"/>
  <c r="C81" i="148"/>
  <c r="C77" i="148"/>
  <c r="C73" i="148"/>
  <c r="C69" i="148"/>
  <c r="C65" i="148"/>
  <c r="C61" i="148"/>
  <c r="C57" i="148"/>
  <c r="C8" i="148"/>
  <c r="C12" i="148"/>
  <c r="C16" i="148"/>
  <c r="C20" i="148"/>
  <c r="C24" i="148"/>
  <c r="C28" i="148"/>
  <c r="C32" i="148"/>
  <c r="C36" i="148"/>
  <c r="C40" i="148"/>
  <c r="C59" i="148"/>
  <c r="C91" i="148"/>
  <c r="C51" i="150"/>
  <c r="C47" i="150"/>
  <c r="C43" i="150"/>
  <c r="C39" i="150"/>
  <c r="C35" i="150"/>
  <c r="C31" i="150"/>
  <c r="C27" i="150"/>
  <c r="C23" i="150"/>
  <c r="C26" i="150"/>
  <c r="C22" i="150"/>
  <c r="C14" i="150"/>
  <c r="C6" i="150"/>
  <c r="C45" i="150"/>
  <c r="C40" i="150"/>
  <c r="C15" i="150"/>
  <c r="C7" i="150"/>
  <c r="C50" i="150"/>
  <c r="C30" i="150"/>
  <c r="C25" i="150"/>
  <c r="C46" i="150"/>
  <c r="C21" i="150"/>
  <c r="C5" i="150"/>
  <c r="C52" i="150"/>
  <c r="D52" i="150" s="1"/>
  <c r="C49" i="150"/>
  <c r="C42" i="150"/>
  <c r="C36" i="150"/>
  <c r="C33" i="150"/>
  <c r="C16" i="150"/>
  <c r="C18" i="150"/>
  <c r="C9" i="150"/>
  <c r="C48" i="150"/>
  <c r="C32" i="150"/>
  <c r="C29" i="150"/>
  <c r="C20" i="150"/>
  <c r="C11" i="150"/>
  <c r="C41" i="150"/>
  <c r="C38" i="150"/>
  <c r="C13" i="150"/>
  <c r="C44" i="150"/>
  <c r="C28" i="150"/>
  <c r="C8" i="150"/>
  <c r="C37" i="150"/>
  <c r="C24" i="150"/>
  <c r="C17" i="150"/>
  <c r="C10" i="150"/>
  <c r="C12" i="150"/>
  <c r="C30" i="149"/>
  <c r="C39" i="149"/>
  <c r="C52" i="149"/>
  <c r="D52" i="149" s="1"/>
  <c r="C7" i="149"/>
  <c r="C10" i="149"/>
  <c r="C15" i="149"/>
  <c r="C20" i="149"/>
  <c r="C43" i="149"/>
  <c r="C22" i="149"/>
  <c r="C27" i="149"/>
  <c r="C32" i="149"/>
  <c r="C47" i="149"/>
  <c r="C12" i="149"/>
  <c r="C34" i="149"/>
  <c r="E5" i="150"/>
  <c r="C49" i="149"/>
  <c r="C45" i="149"/>
  <c r="C41" i="149"/>
  <c r="C37" i="149"/>
  <c r="C33" i="149"/>
  <c r="C29" i="149"/>
  <c r="C25" i="149"/>
  <c r="C21" i="149"/>
  <c r="C17" i="149"/>
  <c r="C13" i="149"/>
  <c r="C9" i="149"/>
  <c r="C5" i="149"/>
  <c r="C8" i="149"/>
  <c r="C11" i="149"/>
  <c r="C16" i="149"/>
  <c r="C44" i="149"/>
  <c r="C46" i="149"/>
  <c r="C92" i="149"/>
  <c r="D92" i="149" s="1"/>
  <c r="C88" i="149"/>
  <c r="C84" i="149"/>
  <c r="C80" i="149"/>
  <c r="C76" i="149"/>
  <c r="C72" i="149"/>
  <c r="C68" i="149"/>
  <c r="C64" i="149"/>
  <c r="C89" i="149"/>
  <c r="C85" i="149"/>
  <c r="C81" i="149"/>
  <c r="C77" i="149"/>
  <c r="C73" i="149"/>
  <c r="C69" i="149"/>
  <c r="C65" i="149"/>
  <c r="C86" i="150"/>
  <c r="C78" i="150"/>
  <c r="C70" i="150"/>
  <c r="C62" i="150"/>
  <c r="C92" i="150"/>
  <c r="C87" i="150"/>
  <c r="C79" i="150"/>
  <c r="C71" i="150"/>
  <c r="C63" i="150"/>
  <c r="C90" i="150"/>
  <c r="C82" i="150"/>
  <c r="C74" i="150"/>
  <c r="C66" i="150"/>
  <c r="C58" i="150"/>
  <c r="C88" i="150"/>
  <c r="C85" i="150"/>
  <c r="C80" i="150"/>
  <c r="C77" i="150"/>
  <c r="C72" i="150"/>
  <c r="C69" i="150"/>
  <c r="C64" i="150"/>
  <c r="C61" i="150"/>
  <c r="C91" i="150"/>
  <c r="C83" i="150"/>
  <c r="C75" i="150"/>
  <c r="C67" i="150"/>
  <c r="C59" i="150"/>
  <c r="C56" i="149"/>
  <c r="C60" i="149"/>
  <c r="C63" i="149"/>
  <c r="C70" i="149"/>
  <c r="C79" i="149"/>
  <c r="C86" i="149"/>
  <c r="C65" i="150"/>
  <c r="C68" i="150"/>
  <c r="C81" i="150"/>
  <c r="C84" i="150"/>
  <c r="C55" i="149"/>
  <c r="C59" i="149"/>
  <c r="C67" i="149"/>
  <c r="C74" i="149"/>
  <c r="C83" i="149"/>
  <c r="C90" i="149"/>
  <c r="E5" i="151"/>
  <c r="C19" i="151"/>
  <c r="C15" i="151"/>
  <c r="C11" i="151"/>
  <c r="C50" i="151"/>
  <c r="C46" i="151"/>
  <c r="C42" i="151"/>
  <c r="C38" i="151"/>
  <c r="C34" i="151"/>
  <c r="C30" i="151"/>
  <c r="C26" i="151"/>
  <c r="C22" i="151"/>
  <c r="C18" i="151"/>
  <c r="C14" i="151"/>
  <c r="C10" i="151"/>
  <c r="C6" i="151"/>
  <c r="C52" i="151"/>
  <c r="D52" i="151" s="1"/>
  <c r="C48" i="151"/>
  <c r="C44" i="151"/>
  <c r="C40" i="151"/>
  <c r="C36" i="151"/>
  <c r="C32" i="151"/>
  <c r="C28" i="151"/>
  <c r="C24" i="151"/>
  <c r="C20" i="151"/>
  <c r="C16" i="151"/>
  <c r="C12" i="151"/>
  <c r="C8" i="151"/>
  <c r="C49" i="151"/>
  <c r="C45" i="151"/>
  <c r="C41" i="151"/>
  <c r="C37" i="151"/>
  <c r="C33" i="151"/>
  <c r="C29" i="151"/>
  <c r="C25" i="151"/>
  <c r="C21" i="151"/>
  <c r="C17" i="151"/>
  <c r="C13" i="151"/>
  <c r="C9" i="151"/>
  <c r="C5" i="151"/>
  <c r="D5" i="151" s="1"/>
  <c r="G5" i="151" s="1"/>
  <c r="F6" i="151" s="1"/>
  <c r="C27" i="151"/>
  <c r="C47" i="151"/>
  <c r="C58" i="151"/>
  <c r="C62" i="151"/>
  <c r="C66" i="151"/>
  <c r="C70" i="151"/>
  <c r="C74" i="151"/>
  <c r="C78" i="151"/>
  <c r="C82" i="151"/>
  <c r="C86" i="151"/>
  <c r="C90" i="151"/>
  <c r="C57" i="151"/>
  <c r="C61" i="151"/>
  <c r="C65" i="151"/>
  <c r="C69" i="151"/>
  <c r="C73" i="151"/>
  <c r="C77" i="151"/>
  <c r="C81" i="151"/>
  <c r="C85" i="151"/>
  <c r="C89" i="151"/>
  <c r="C60" i="151"/>
  <c r="C64" i="151"/>
  <c r="C68" i="151"/>
  <c r="C72" i="151"/>
  <c r="C76" i="151"/>
  <c r="C80" i="151"/>
  <c r="C84" i="151"/>
  <c r="C88" i="151"/>
  <c r="C92" i="151"/>
  <c r="C59" i="151"/>
  <c r="C63" i="151"/>
  <c r="C67" i="151"/>
  <c r="C71" i="151"/>
  <c r="C75" i="151"/>
  <c r="C79" i="151"/>
  <c r="C83" i="151"/>
  <c r="C87" i="151"/>
  <c r="E2" i="144"/>
  <c r="C47" i="144" s="1"/>
  <c r="B44" i="144"/>
  <c r="B45" i="144"/>
  <c r="B46" i="144"/>
  <c r="B47" i="144"/>
  <c r="B48" i="144"/>
  <c r="B49" i="144"/>
  <c r="B50" i="144"/>
  <c r="B51" i="144"/>
  <c r="B52" i="144"/>
  <c r="B53" i="144"/>
  <c r="B54" i="144"/>
  <c r="B55" i="144"/>
  <c r="B56" i="144"/>
  <c r="B57" i="144"/>
  <c r="B58" i="144"/>
  <c r="B59" i="144"/>
  <c r="E2" i="143"/>
  <c r="C45" i="143" s="1"/>
  <c r="B44" i="143"/>
  <c r="B45" i="143"/>
  <c r="B46" i="143"/>
  <c r="B47" i="143"/>
  <c r="B48" i="143"/>
  <c r="B49" i="143"/>
  <c r="B50" i="143"/>
  <c r="B51" i="143"/>
  <c r="B52" i="143"/>
  <c r="B53" i="143"/>
  <c r="B54" i="143"/>
  <c r="B55" i="143"/>
  <c r="B56" i="143"/>
  <c r="B57" i="143"/>
  <c r="B58" i="143"/>
  <c r="B59" i="143"/>
  <c r="B43" i="144"/>
  <c r="B42" i="144"/>
  <c r="B41" i="144"/>
  <c r="B40" i="144"/>
  <c r="B39" i="144"/>
  <c r="B38" i="144"/>
  <c r="B37" i="144"/>
  <c r="B36" i="144"/>
  <c r="B35" i="144"/>
  <c r="B34" i="144"/>
  <c r="B33" i="144"/>
  <c r="B32" i="144"/>
  <c r="B31" i="144"/>
  <c r="B30" i="144"/>
  <c r="B29" i="144"/>
  <c r="B28" i="144"/>
  <c r="B27" i="144"/>
  <c r="B26" i="144"/>
  <c r="B25" i="144"/>
  <c r="B24" i="144"/>
  <c r="B23" i="144"/>
  <c r="C22" i="144"/>
  <c r="B22" i="144"/>
  <c r="B21" i="144"/>
  <c r="B20" i="144"/>
  <c r="B19" i="144"/>
  <c r="B18" i="144"/>
  <c r="C17" i="144"/>
  <c r="B17" i="144"/>
  <c r="B16" i="144"/>
  <c r="B15" i="144"/>
  <c r="B14" i="144"/>
  <c r="B13" i="144"/>
  <c r="B12" i="144"/>
  <c r="B11" i="144"/>
  <c r="B10" i="144"/>
  <c r="B9" i="144"/>
  <c r="B8" i="144"/>
  <c r="B7" i="144"/>
  <c r="B6" i="144"/>
  <c r="B5" i="144"/>
  <c r="G4" i="144"/>
  <c r="F5" i="144" s="1"/>
  <c r="E5" i="144" s="1"/>
  <c r="B4" i="144"/>
  <c r="E4" i="144" s="1"/>
  <c r="H2" i="144"/>
  <c r="G2" i="144"/>
  <c r="C2" i="144"/>
  <c r="C38" i="144" s="1"/>
  <c r="B43" i="143"/>
  <c r="B42" i="143"/>
  <c r="B41" i="143"/>
  <c r="B40" i="143"/>
  <c r="B39" i="143"/>
  <c r="B38" i="143"/>
  <c r="B37" i="143"/>
  <c r="B36" i="143"/>
  <c r="B35" i="143"/>
  <c r="B34" i="143"/>
  <c r="B33" i="143"/>
  <c r="B32" i="143"/>
  <c r="B31" i="143"/>
  <c r="B30" i="143"/>
  <c r="B29" i="143"/>
  <c r="B28" i="143"/>
  <c r="B27" i="143"/>
  <c r="B26" i="143"/>
  <c r="B25" i="143"/>
  <c r="B24" i="143"/>
  <c r="B23" i="143"/>
  <c r="B22" i="143"/>
  <c r="B21" i="143"/>
  <c r="B20" i="143"/>
  <c r="B19" i="143"/>
  <c r="B18" i="143"/>
  <c r="B17" i="143"/>
  <c r="B16" i="143"/>
  <c r="B15" i="143"/>
  <c r="B14" i="143"/>
  <c r="B13" i="143"/>
  <c r="B12" i="143"/>
  <c r="B11" i="143"/>
  <c r="B10" i="143"/>
  <c r="B9" i="143"/>
  <c r="B8" i="143"/>
  <c r="B7" i="143"/>
  <c r="B6" i="143"/>
  <c r="B5" i="143"/>
  <c r="G4" i="143"/>
  <c r="F5" i="143" s="1"/>
  <c r="E5" i="143" s="1"/>
  <c r="B4" i="143"/>
  <c r="H4" i="143" s="1"/>
  <c r="H2" i="143"/>
  <c r="G2" i="143"/>
  <c r="C2" i="143"/>
  <c r="C40" i="143" s="1"/>
  <c r="D40" i="143" s="1"/>
  <c r="E1" i="141"/>
  <c r="C45" i="141" s="1"/>
  <c r="B44" i="141"/>
  <c r="B45" i="141"/>
  <c r="B46" i="141"/>
  <c r="B47" i="141"/>
  <c r="B48" i="141"/>
  <c r="C48" i="141"/>
  <c r="B49" i="141"/>
  <c r="B50" i="141"/>
  <c r="B51" i="141"/>
  <c r="B52" i="141"/>
  <c r="B53" i="141"/>
  <c r="B54" i="141"/>
  <c r="B55" i="141"/>
  <c r="B56" i="141"/>
  <c r="B57" i="141"/>
  <c r="B58" i="141"/>
  <c r="B59" i="141"/>
  <c r="B60" i="141"/>
  <c r="B61" i="141"/>
  <c r="B62" i="141"/>
  <c r="B63" i="141"/>
  <c r="B64" i="141"/>
  <c r="B65" i="141"/>
  <c r="B66" i="141"/>
  <c r="B67" i="141"/>
  <c r="E1" i="140"/>
  <c r="C44" i="140" s="1"/>
  <c r="B44" i="140"/>
  <c r="B45" i="140"/>
  <c r="B46" i="140"/>
  <c r="B47" i="140"/>
  <c r="B48" i="140"/>
  <c r="B49" i="140"/>
  <c r="B50" i="140"/>
  <c r="B51" i="140"/>
  <c r="B52" i="140"/>
  <c r="B53" i="140"/>
  <c r="B54" i="140"/>
  <c r="B55" i="140"/>
  <c r="B56" i="140"/>
  <c r="B57" i="140"/>
  <c r="B58" i="140"/>
  <c r="B59" i="140"/>
  <c r="B60" i="140"/>
  <c r="B61" i="140"/>
  <c r="B62" i="140"/>
  <c r="B63" i="140"/>
  <c r="B64" i="140"/>
  <c r="B65" i="140"/>
  <c r="B66" i="140"/>
  <c r="B67" i="140"/>
  <c r="C43" i="141"/>
  <c r="B43" i="141"/>
  <c r="B42" i="141"/>
  <c r="B40" i="141"/>
  <c r="B39" i="141"/>
  <c r="B38" i="141"/>
  <c r="B37" i="141"/>
  <c r="B36" i="141"/>
  <c r="B35" i="141"/>
  <c r="B34" i="141"/>
  <c r="B33" i="141"/>
  <c r="B32" i="141"/>
  <c r="B31" i="141"/>
  <c r="B30" i="141"/>
  <c r="B29" i="141"/>
  <c r="B28" i="141"/>
  <c r="B27" i="141"/>
  <c r="B26" i="141"/>
  <c r="B25" i="141"/>
  <c r="B24" i="141"/>
  <c r="B23" i="141"/>
  <c r="B22" i="141"/>
  <c r="B21" i="141"/>
  <c r="B20" i="141"/>
  <c r="B19" i="141"/>
  <c r="B18" i="141"/>
  <c r="B17" i="141"/>
  <c r="B16" i="141"/>
  <c r="B15" i="141"/>
  <c r="B14" i="141"/>
  <c r="B13" i="141"/>
  <c r="B12" i="141"/>
  <c r="B11" i="141"/>
  <c r="B10" i="141"/>
  <c r="B9" i="141"/>
  <c r="B8" i="141"/>
  <c r="B7" i="141"/>
  <c r="B6" i="141"/>
  <c r="B5" i="141"/>
  <c r="H4" i="141"/>
  <c r="G4" i="141"/>
  <c r="F5" i="141" s="1"/>
  <c r="B4" i="141"/>
  <c r="E4" i="141" s="1"/>
  <c r="C2" i="141"/>
  <c r="C40" i="141" s="1"/>
  <c r="D40" i="141" s="1"/>
  <c r="B43" i="140"/>
  <c r="B42" i="140"/>
  <c r="B40" i="140"/>
  <c r="B39" i="140"/>
  <c r="B38" i="140"/>
  <c r="B37" i="140"/>
  <c r="B36" i="140"/>
  <c r="B35" i="140"/>
  <c r="B34" i="140"/>
  <c r="B33" i="140"/>
  <c r="B32" i="140"/>
  <c r="B31" i="140"/>
  <c r="B30" i="140"/>
  <c r="B29" i="140"/>
  <c r="B28" i="140"/>
  <c r="B27" i="140"/>
  <c r="B26" i="140"/>
  <c r="B25" i="140"/>
  <c r="B24" i="140"/>
  <c r="B23" i="140"/>
  <c r="B22" i="140"/>
  <c r="B21" i="140"/>
  <c r="B20" i="140"/>
  <c r="B19" i="140"/>
  <c r="B18" i="140"/>
  <c r="B17" i="140"/>
  <c r="B16" i="140"/>
  <c r="B15" i="140"/>
  <c r="B14" i="140"/>
  <c r="B13" i="140"/>
  <c r="B12" i="140"/>
  <c r="B11" i="140"/>
  <c r="B10" i="140"/>
  <c r="B9" i="140"/>
  <c r="B8" i="140"/>
  <c r="B7" i="140"/>
  <c r="B6" i="140"/>
  <c r="B5" i="140"/>
  <c r="G4" i="140"/>
  <c r="F5" i="140" s="1"/>
  <c r="B4" i="140"/>
  <c r="E4" i="140" s="1"/>
  <c r="C2" i="140"/>
  <c r="C14" i="140" s="1"/>
  <c r="E76" i="160" l="1"/>
  <c r="D76" i="160" s="1"/>
  <c r="G76" i="160" s="1"/>
  <c r="E6" i="157"/>
  <c r="D6" i="157" s="1"/>
  <c r="G6" i="157" s="1"/>
  <c r="F7" i="157" s="1"/>
  <c r="E6" i="156"/>
  <c r="D6" i="156" s="1"/>
  <c r="G6" i="156"/>
  <c r="F7" i="156" s="1"/>
  <c r="C55" i="156"/>
  <c r="E5" i="158"/>
  <c r="D5" i="158" s="1"/>
  <c r="G5" i="158" s="1"/>
  <c r="F6" i="158" s="1"/>
  <c r="C53" i="156"/>
  <c r="E5" i="152"/>
  <c r="D5" i="152" s="1"/>
  <c r="G5" i="152" s="1"/>
  <c r="F6" i="152" s="1"/>
  <c r="E5" i="153"/>
  <c r="D5" i="153" s="1"/>
  <c r="G5" i="153" s="1"/>
  <c r="F6" i="153" s="1"/>
  <c r="E6" i="146"/>
  <c r="C53" i="148"/>
  <c r="C53" i="151"/>
  <c r="C54" i="151"/>
  <c r="C55" i="150"/>
  <c r="D5" i="148"/>
  <c r="G5" i="148" s="1"/>
  <c r="F6" i="148" s="1"/>
  <c r="C53" i="146"/>
  <c r="D6" i="146"/>
  <c r="G6" i="146" s="1"/>
  <c r="F7" i="146" s="1"/>
  <c r="D5" i="149"/>
  <c r="G5" i="149" s="1"/>
  <c r="F6" i="149" s="1"/>
  <c r="C53" i="150"/>
  <c r="D5" i="150"/>
  <c r="G5" i="150" s="1"/>
  <c r="F6" i="150" s="1"/>
  <c r="E5" i="147"/>
  <c r="D5" i="147" s="1"/>
  <c r="G5" i="147" s="1"/>
  <c r="F6" i="147" s="1"/>
  <c r="C55" i="151"/>
  <c r="E5" i="148"/>
  <c r="C54" i="150"/>
  <c r="C56" i="151"/>
  <c r="C56" i="150"/>
  <c r="E6" i="151"/>
  <c r="D6" i="151" s="1"/>
  <c r="G6" i="151" s="1"/>
  <c r="F7" i="151" s="1"/>
  <c r="C12" i="144"/>
  <c r="C6" i="144"/>
  <c r="C28" i="144"/>
  <c r="C33" i="144"/>
  <c r="C8" i="144"/>
  <c r="C13" i="144"/>
  <c r="C24" i="144"/>
  <c r="C29" i="144"/>
  <c r="C41" i="144"/>
  <c r="C14" i="144"/>
  <c r="C20" i="144"/>
  <c r="C5" i="144"/>
  <c r="D5" i="144" s="1"/>
  <c r="C10" i="144"/>
  <c r="C30" i="144"/>
  <c r="C36" i="144"/>
  <c r="C21" i="144"/>
  <c r="C26" i="144"/>
  <c r="C16" i="144"/>
  <c r="C25" i="144"/>
  <c r="C40" i="144"/>
  <c r="D40" i="144" s="1"/>
  <c r="C58" i="144"/>
  <c r="C54" i="144"/>
  <c r="C50" i="144"/>
  <c r="C46" i="144"/>
  <c r="C57" i="144"/>
  <c r="C53" i="144"/>
  <c r="C49" i="144"/>
  <c r="C45" i="144"/>
  <c r="C9" i="144"/>
  <c r="C18" i="144"/>
  <c r="C32" i="144"/>
  <c r="C37" i="144"/>
  <c r="C56" i="144"/>
  <c r="C52" i="144"/>
  <c r="C48" i="144"/>
  <c r="C44" i="144"/>
  <c r="C59" i="144"/>
  <c r="C55" i="144"/>
  <c r="C51" i="144"/>
  <c r="C58" i="143"/>
  <c r="C54" i="143"/>
  <c r="C50" i="143"/>
  <c r="C46" i="143"/>
  <c r="C59" i="143"/>
  <c r="C55" i="143"/>
  <c r="C51" i="143"/>
  <c r="C47" i="143"/>
  <c r="C57" i="143"/>
  <c r="C53" i="143"/>
  <c r="C49" i="143"/>
  <c r="C56" i="143"/>
  <c r="C52" i="143"/>
  <c r="C48" i="143"/>
  <c r="C44" i="143"/>
  <c r="E4" i="143"/>
  <c r="I4" i="143" s="1"/>
  <c r="H5" i="143"/>
  <c r="I5" i="143" s="1"/>
  <c r="C39" i="143"/>
  <c r="C42" i="143"/>
  <c r="C35" i="143"/>
  <c r="G5" i="144"/>
  <c r="F6" i="144" s="1"/>
  <c r="C37" i="143"/>
  <c r="C41" i="143"/>
  <c r="C38" i="143"/>
  <c r="C34" i="143"/>
  <c r="C33" i="143"/>
  <c r="C32" i="143"/>
  <c r="C31" i="143"/>
  <c r="C30" i="143"/>
  <c r="C29" i="143"/>
  <c r="C28" i="143"/>
  <c r="C27" i="143"/>
  <c r="C26" i="143"/>
  <c r="C25" i="143"/>
  <c r="C24" i="143"/>
  <c r="C23" i="143"/>
  <c r="C22" i="143"/>
  <c r="C21" i="143"/>
  <c r="C20" i="143"/>
  <c r="C19" i="143"/>
  <c r="C18" i="143"/>
  <c r="C17" i="143"/>
  <c r="C16" i="143"/>
  <c r="C15" i="143"/>
  <c r="C14" i="143"/>
  <c r="C13" i="143"/>
  <c r="C12" i="143"/>
  <c r="C11" i="143"/>
  <c r="C10" i="143"/>
  <c r="C9" i="143"/>
  <c r="C8" i="143"/>
  <c r="C7" i="143"/>
  <c r="C6" i="143"/>
  <c r="C5" i="143"/>
  <c r="D5" i="143" s="1"/>
  <c r="G5" i="143" s="1"/>
  <c r="F6" i="143" s="1"/>
  <c r="C36" i="143"/>
  <c r="C43" i="143"/>
  <c r="C43" i="144"/>
  <c r="C7" i="144"/>
  <c r="C11" i="144"/>
  <c r="C15" i="144"/>
  <c r="C19" i="144"/>
  <c r="C23" i="144"/>
  <c r="C27" i="144"/>
  <c r="C31" i="144"/>
  <c r="C35" i="144"/>
  <c r="C39" i="144"/>
  <c r="C42" i="144"/>
  <c r="C34" i="144"/>
  <c r="C64" i="141"/>
  <c r="C56" i="141"/>
  <c r="C47" i="141"/>
  <c r="C67" i="141"/>
  <c r="C63" i="141"/>
  <c r="C59" i="141"/>
  <c r="C55" i="141"/>
  <c r="C51" i="141"/>
  <c r="C46" i="141"/>
  <c r="C52" i="141"/>
  <c r="C58" i="141"/>
  <c r="C60" i="141"/>
  <c r="C66" i="141"/>
  <c r="C62" i="141"/>
  <c r="C54" i="141"/>
  <c r="C50" i="141"/>
  <c r="C65" i="141"/>
  <c r="C61" i="141"/>
  <c r="C57" i="141"/>
  <c r="C53" i="141"/>
  <c r="C44" i="141"/>
  <c r="C49" i="141"/>
  <c r="C10" i="140"/>
  <c r="C6" i="140"/>
  <c r="C7" i="140"/>
  <c r="C11" i="140"/>
  <c r="C15" i="140"/>
  <c r="C19" i="140"/>
  <c r="C40" i="140"/>
  <c r="D40" i="140" s="1"/>
  <c r="C67" i="140"/>
  <c r="C63" i="140"/>
  <c r="C59" i="140"/>
  <c r="C55" i="140"/>
  <c r="C51" i="140"/>
  <c r="C47" i="140"/>
  <c r="C62" i="140"/>
  <c r="C54" i="140"/>
  <c r="C46" i="140"/>
  <c r="C16" i="140"/>
  <c r="C58" i="140"/>
  <c r="C65" i="140"/>
  <c r="C61" i="140"/>
  <c r="C57" i="140"/>
  <c r="C53" i="140"/>
  <c r="C49" i="140"/>
  <c r="C45" i="140"/>
  <c r="C18" i="140"/>
  <c r="C8" i="140"/>
  <c r="C12" i="140"/>
  <c r="C20" i="140"/>
  <c r="C66" i="140"/>
  <c r="C50" i="140"/>
  <c r="C36" i="140"/>
  <c r="C5" i="140"/>
  <c r="C9" i="140"/>
  <c r="C13" i="140"/>
  <c r="C17" i="140"/>
  <c r="C64" i="140"/>
  <c r="C60" i="140"/>
  <c r="C56" i="140"/>
  <c r="C52" i="140"/>
  <c r="C48" i="140"/>
  <c r="H4" i="140"/>
  <c r="I4" i="140" s="1"/>
  <c r="H5" i="140"/>
  <c r="E5" i="140"/>
  <c r="D5" i="140" s="1"/>
  <c r="G5" i="140" s="1"/>
  <c r="F6" i="140" s="1"/>
  <c r="H5" i="141"/>
  <c r="E5" i="141"/>
  <c r="C39" i="140"/>
  <c r="C35" i="140"/>
  <c r="C37" i="140"/>
  <c r="C21" i="140"/>
  <c r="C25" i="140"/>
  <c r="C29" i="140"/>
  <c r="C33" i="140"/>
  <c r="C38" i="140"/>
  <c r="I4" i="141"/>
  <c r="C24" i="140"/>
  <c r="C28" i="140"/>
  <c r="C32" i="140"/>
  <c r="C39" i="141"/>
  <c r="C35" i="141"/>
  <c r="C37" i="141"/>
  <c r="C41" i="141"/>
  <c r="C38" i="141"/>
  <c r="C34" i="141"/>
  <c r="C33" i="141"/>
  <c r="C32" i="141"/>
  <c r="C31" i="141"/>
  <c r="C30" i="141"/>
  <c r="C29" i="141"/>
  <c r="C28" i="141"/>
  <c r="C27" i="141"/>
  <c r="C26" i="141"/>
  <c r="C25" i="141"/>
  <c r="C24" i="141"/>
  <c r="C23" i="141"/>
  <c r="C22" i="141"/>
  <c r="C21" i="141"/>
  <c r="C20" i="141"/>
  <c r="C19" i="141"/>
  <c r="C18" i="141"/>
  <c r="C17" i="141"/>
  <c r="C16" i="141"/>
  <c r="C15" i="141"/>
  <c r="C14" i="141"/>
  <c r="C13" i="141"/>
  <c r="C12" i="141"/>
  <c r="C11" i="141"/>
  <c r="C10" i="141"/>
  <c r="C9" i="141"/>
  <c r="C8" i="141"/>
  <c r="C7" i="141"/>
  <c r="C6" i="141"/>
  <c r="C5" i="141"/>
  <c r="C36" i="141"/>
  <c r="C42" i="140"/>
  <c r="C23" i="140"/>
  <c r="C27" i="140"/>
  <c r="C31" i="140"/>
  <c r="C41" i="140"/>
  <c r="C43" i="140"/>
  <c r="C22" i="140"/>
  <c r="C26" i="140"/>
  <c r="C30" i="140"/>
  <c r="C34" i="140"/>
  <c r="C42" i="141"/>
  <c r="F77" i="160" l="1"/>
  <c r="E7" i="156"/>
  <c r="D7" i="156" s="1"/>
  <c r="G7" i="156" s="1"/>
  <c r="F8" i="156" s="1"/>
  <c r="E6" i="158"/>
  <c r="D6" i="158" s="1"/>
  <c r="G6" i="158" s="1"/>
  <c r="F7" i="158" s="1"/>
  <c r="E7" i="157"/>
  <c r="D7" i="157" s="1"/>
  <c r="G7" i="157" s="1"/>
  <c r="F8" i="157" s="1"/>
  <c r="E6" i="152"/>
  <c r="D6" i="152" s="1"/>
  <c r="G6" i="152" s="1"/>
  <c r="F7" i="152" s="1"/>
  <c r="E6" i="153"/>
  <c r="D6" i="153" s="1"/>
  <c r="G6" i="153" s="1"/>
  <c r="F7" i="153" s="1"/>
  <c r="E6" i="147"/>
  <c r="D6" i="147" s="1"/>
  <c r="G6" i="147" s="1"/>
  <c r="F7" i="147" s="1"/>
  <c r="E7" i="146"/>
  <c r="D7" i="146" s="1"/>
  <c r="G7" i="146" s="1"/>
  <c r="F8" i="146" s="1"/>
  <c r="E7" i="151"/>
  <c r="D7" i="151" s="1"/>
  <c r="G7" i="151" s="1"/>
  <c r="F8" i="151" s="1"/>
  <c r="E6" i="148"/>
  <c r="D6" i="148" s="1"/>
  <c r="G6" i="148" s="1"/>
  <c r="F7" i="148" s="1"/>
  <c r="E6" i="149"/>
  <c r="D6" i="149" s="1"/>
  <c r="G6" i="149" s="1"/>
  <c r="F7" i="149" s="1"/>
  <c r="E6" i="150"/>
  <c r="D6" i="150" s="1"/>
  <c r="G6" i="150" s="1"/>
  <c r="F7" i="150" s="1"/>
  <c r="E6" i="143"/>
  <c r="D6" i="143" s="1"/>
  <c r="G6" i="143" s="1"/>
  <c r="F7" i="143" s="1"/>
  <c r="H6" i="143"/>
  <c r="E6" i="144"/>
  <c r="D6" i="144" s="1"/>
  <c r="G6" i="144" s="1"/>
  <c r="F7" i="144" s="1"/>
  <c r="I5" i="141"/>
  <c r="D5" i="141"/>
  <c r="G5" i="141" s="1"/>
  <c r="F6" i="141" s="1"/>
  <c r="H6" i="141" s="1"/>
  <c r="I5" i="140"/>
  <c r="H6" i="140"/>
  <c r="E6" i="140"/>
  <c r="D6" i="140" s="1"/>
  <c r="G6" i="140" s="1"/>
  <c r="F7" i="140" s="1"/>
  <c r="E77" i="160" l="1"/>
  <c r="D77" i="160" s="1"/>
  <c r="G77" i="160" s="1"/>
  <c r="E7" i="158"/>
  <c r="D7" i="158" s="1"/>
  <c r="G7" i="158"/>
  <c r="F8" i="158" s="1"/>
  <c r="E8" i="157"/>
  <c r="D8" i="157" s="1"/>
  <c r="G8" i="157" s="1"/>
  <c r="F9" i="157" s="1"/>
  <c r="E8" i="156"/>
  <c r="D8" i="156" s="1"/>
  <c r="G8" i="156" s="1"/>
  <c r="F9" i="156" s="1"/>
  <c r="E7" i="153"/>
  <c r="D7" i="153" s="1"/>
  <c r="G7" i="153" s="1"/>
  <c r="F8" i="153" s="1"/>
  <c r="E7" i="152"/>
  <c r="D7" i="152" s="1"/>
  <c r="G7" i="152" s="1"/>
  <c r="F8" i="152" s="1"/>
  <c r="E7" i="148"/>
  <c r="D7" i="148" s="1"/>
  <c r="G7" i="148" s="1"/>
  <c r="F8" i="148" s="1"/>
  <c r="E8" i="146"/>
  <c r="D8" i="146" s="1"/>
  <c r="G8" i="146" s="1"/>
  <c r="F9" i="146" s="1"/>
  <c r="E7" i="147"/>
  <c r="D7" i="147" s="1"/>
  <c r="G7" i="147" s="1"/>
  <c r="F8" i="147" s="1"/>
  <c r="E7" i="150"/>
  <c r="D7" i="150" s="1"/>
  <c r="G7" i="150" s="1"/>
  <c r="F8" i="150" s="1"/>
  <c r="E8" i="151"/>
  <c r="D8" i="151" s="1"/>
  <c r="G8" i="151" s="1"/>
  <c r="F9" i="151" s="1"/>
  <c r="E7" i="149"/>
  <c r="D7" i="149" s="1"/>
  <c r="G7" i="149" s="1"/>
  <c r="F8" i="149" s="1"/>
  <c r="E7" i="143"/>
  <c r="D7" i="143" s="1"/>
  <c r="G7" i="143" s="1"/>
  <c r="F8" i="143" s="1"/>
  <c r="H7" i="143"/>
  <c r="E7" i="144"/>
  <c r="D7" i="144" s="1"/>
  <c r="G7" i="144" s="1"/>
  <c r="F8" i="144" s="1"/>
  <c r="I6" i="143"/>
  <c r="E6" i="141"/>
  <c r="D6" i="141" s="1"/>
  <c r="G6" i="141" s="1"/>
  <c r="F7" i="141" s="1"/>
  <c r="H7" i="141" s="1"/>
  <c r="I6" i="140"/>
  <c r="H7" i="140"/>
  <c r="E7" i="140"/>
  <c r="D7" i="140" s="1"/>
  <c r="G7" i="140" s="1"/>
  <c r="F8" i="140" s="1"/>
  <c r="F78" i="160" l="1"/>
  <c r="E9" i="156"/>
  <c r="D9" i="156" s="1"/>
  <c r="G9" i="156" s="1"/>
  <c r="F10" i="156" s="1"/>
  <c r="E9" i="157"/>
  <c r="D9" i="157" s="1"/>
  <c r="G9" i="157" s="1"/>
  <c r="F10" i="157" s="1"/>
  <c r="E8" i="158"/>
  <c r="D8" i="158" s="1"/>
  <c r="G8" i="158" s="1"/>
  <c r="F9" i="158" s="1"/>
  <c r="E8" i="153"/>
  <c r="D8" i="153" s="1"/>
  <c r="G8" i="153" s="1"/>
  <c r="F9" i="153" s="1"/>
  <c r="E8" i="152"/>
  <c r="D8" i="152" s="1"/>
  <c r="G8" i="152" s="1"/>
  <c r="F9" i="152" s="1"/>
  <c r="E9" i="151"/>
  <c r="D9" i="151" s="1"/>
  <c r="G9" i="151" s="1"/>
  <c r="F10" i="151" s="1"/>
  <c r="E8" i="147"/>
  <c r="D8" i="147" s="1"/>
  <c r="G8" i="147" s="1"/>
  <c r="F9" i="147" s="1"/>
  <c r="E9" i="146"/>
  <c r="D9" i="146" s="1"/>
  <c r="G9" i="146" s="1"/>
  <c r="F10" i="146" s="1"/>
  <c r="E8" i="149"/>
  <c r="D8" i="149" s="1"/>
  <c r="G8" i="149" s="1"/>
  <c r="F9" i="149" s="1"/>
  <c r="E8" i="150"/>
  <c r="D8" i="150" s="1"/>
  <c r="G8" i="150" s="1"/>
  <c r="F9" i="150" s="1"/>
  <c r="E8" i="148"/>
  <c r="D8" i="148" s="1"/>
  <c r="G8" i="148" s="1"/>
  <c r="F9" i="148" s="1"/>
  <c r="I7" i="143"/>
  <c r="E8" i="144"/>
  <c r="D8" i="144" s="1"/>
  <c r="G8" i="144" s="1"/>
  <c r="F9" i="144" s="1"/>
  <c r="E8" i="143"/>
  <c r="D8" i="143" s="1"/>
  <c r="G8" i="143" s="1"/>
  <c r="F9" i="143" s="1"/>
  <c r="H8" i="143"/>
  <c r="I6" i="141"/>
  <c r="E7" i="141"/>
  <c r="D7" i="141" s="1"/>
  <c r="G7" i="141" s="1"/>
  <c r="F8" i="141" s="1"/>
  <c r="H8" i="141" s="1"/>
  <c r="H8" i="140"/>
  <c r="E8" i="140"/>
  <c r="D8" i="140" s="1"/>
  <c r="G8" i="140" s="1"/>
  <c r="F9" i="140" s="1"/>
  <c r="I7" i="140"/>
  <c r="E78" i="160" l="1"/>
  <c r="D78" i="160" s="1"/>
  <c r="G78" i="160" s="1"/>
  <c r="E10" i="157"/>
  <c r="D10" i="157" s="1"/>
  <c r="G10" i="157" s="1"/>
  <c r="F11" i="157" s="1"/>
  <c r="E10" i="156"/>
  <c r="D10" i="156" s="1"/>
  <c r="G10" i="156"/>
  <c r="F11" i="156" s="1"/>
  <c r="E9" i="158"/>
  <c r="D9" i="158" s="1"/>
  <c r="G9" i="158" s="1"/>
  <c r="F10" i="158" s="1"/>
  <c r="E9" i="152"/>
  <c r="D9" i="152" s="1"/>
  <c r="G9" i="152" s="1"/>
  <c r="F10" i="152" s="1"/>
  <c r="E9" i="153"/>
  <c r="D9" i="153" s="1"/>
  <c r="G9" i="153" s="1"/>
  <c r="F10" i="153" s="1"/>
  <c r="E10" i="151"/>
  <c r="D10" i="151" s="1"/>
  <c r="G10" i="151" s="1"/>
  <c r="F11" i="151" s="1"/>
  <c r="E9" i="148"/>
  <c r="D9" i="148" s="1"/>
  <c r="G9" i="148" s="1"/>
  <c r="F10" i="148" s="1"/>
  <c r="E9" i="149"/>
  <c r="D9" i="149" s="1"/>
  <c r="G9" i="149" s="1"/>
  <c r="F10" i="149" s="1"/>
  <c r="E10" i="146"/>
  <c r="D10" i="146" s="1"/>
  <c r="G10" i="146" s="1"/>
  <c r="F11" i="146" s="1"/>
  <c r="E9" i="147"/>
  <c r="D9" i="147" s="1"/>
  <c r="G9" i="147" s="1"/>
  <c r="F10" i="147" s="1"/>
  <c r="E9" i="150"/>
  <c r="D9" i="150" s="1"/>
  <c r="G9" i="150" s="1"/>
  <c r="F10" i="150" s="1"/>
  <c r="E9" i="143"/>
  <c r="D9" i="143" s="1"/>
  <c r="G9" i="143" s="1"/>
  <c r="F10" i="143" s="1"/>
  <c r="H9" i="143"/>
  <c r="E9" i="144"/>
  <c r="D9" i="144" s="1"/>
  <c r="G9" i="144" s="1"/>
  <c r="F10" i="144" s="1"/>
  <c r="I8" i="143"/>
  <c r="E8" i="141"/>
  <c r="D8" i="141" s="1"/>
  <c r="G8" i="141" s="1"/>
  <c r="F9" i="141" s="1"/>
  <c r="H9" i="141" s="1"/>
  <c r="I7" i="141"/>
  <c r="H9" i="140"/>
  <c r="E9" i="140"/>
  <c r="D9" i="140" s="1"/>
  <c r="G9" i="140" s="1"/>
  <c r="F10" i="140" s="1"/>
  <c r="I8" i="140"/>
  <c r="F79" i="160" l="1"/>
  <c r="E10" i="158"/>
  <c r="D10" i="158" s="1"/>
  <c r="G10" i="158" s="1"/>
  <c r="F11" i="158" s="1"/>
  <c r="E11" i="157"/>
  <c r="D11" i="157" s="1"/>
  <c r="G11" i="157" s="1"/>
  <c r="F12" i="157" s="1"/>
  <c r="E11" i="156"/>
  <c r="D11" i="156" s="1"/>
  <c r="G11" i="156" s="1"/>
  <c r="F12" i="156" s="1"/>
  <c r="E10" i="153"/>
  <c r="D10" i="153" s="1"/>
  <c r="G10" i="153" s="1"/>
  <c r="F11" i="153" s="1"/>
  <c r="E10" i="152"/>
  <c r="D10" i="152" s="1"/>
  <c r="G10" i="152" s="1"/>
  <c r="F11" i="152" s="1"/>
  <c r="E10" i="147"/>
  <c r="D10" i="147" s="1"/>
  <c r="G10" i="147" s="1"/>
  <c r="F11" i="147" s="1"/>
  <c r="E10" i="149"/>
  <c r="D10" i="149" s="1"/>
  <c r="G10" i="149" s="1"/>
  <c r="F11" i="149" s="1"/>
  <c r="E10" i="150"/>
  <c r="D10" i="150" s="1"/>
  <c r="G10" i="150" s="1"/>
  <c r="F11" i="150" s="1"/>
  <c r="E11" i="146"/>
  <c r="D11" i="146" s="1"/>
  <c r="G11" i="146" s="1"/>
  <c r="F12" i="146" s="1"/>
  <c r="E10" i="148"/>
  <c r="D10" i="148" s="1"/>
  <c r="G10" i="148" s="1"/>
  <c r="F11" i="148" s="1"/>
  <c r="E11" i="151"/>
  <c r="D11" i="151" s="1"/>
  <c r="G11" i="151" s="1"/>
  <c r="F12" i="151" s="1"/>
  <c r="I9" i="143"/>
  <c r="E10" i="144"/>
  <c r="D10" i="144" s="1"/>
  <c r="G10" i="144" s="1"/>
  <c r="F11" i="144" s="1"/>
  <c r="E10" i="143"/>
  <c r="D10" i="143" s="1"/>
  <c r="G10" i="143" s="1"/>
  <c r="F11" i="143" s="1"/>
  <c r="H10" i="143"/>
  <c r="I8" i="141"/>
  <c r="E9" i="141"/>
  <c r="D9" i="141" s="1"/>
  <c r="G9" i="141" s="1"/>
  <c r="F10" i="141" s="1"/>
  <c r="H10" i="141" s="1"/>
  <c r="H10" i="140"/>
  <c r="E10" i="140"/>
  <c r="D10" i="140" s="1"/>
  <c r="G10" i="140" s="1"/>
  <c r="F11" i="140" s="1"/>
  <c r="I9" i="140"/>
  <c r="E79" i="160" l="1"/>
  <c r="D79" i="160" s="1"/>
  <c r="G79" i="160" s="1"/>
  <c r="E12" i="156"/>
  <c r="D12" i="156" s="1"/>
  <c r="G12" i="156" s="1"/>
  <c r="F13" i="156" s="1"/>
  <c r="E11" i="158"/>
  <c r="D11" i="158" s="1"/>
  <c r="G11" i="158"/>
  <c r="F12" i="158" s="1"/>
  <c r="E12" i="157"/>
  <c r="D12" i="157" s="1"/>
  <c r="G12" i="157" s="1"/>
  <c r="F13" i="157" s="1"/>
  <c r="E11" i="153"/>
  <c r="D11" i="153" s="1"/>
  <c r="G11" i="153" s="1"/>
  <c r="F12" i="153" s="1"/>
  <c r="E11" i="152"/>
  <c r="D11" i="152" s="1"/>
  <c r="G11" i="152" s="1"/>
  <c r="F12" i="152" s="1"/>
  <c r="E11" i="148"/>
  <c r="D11" i="148" s="1"/>
  <c r="G11" i="148" s="1"/>
  <c r="F12" i="148" s="1"/>
  <c r="E12" i="146"/>
  <c r="D12" i="146" s="1"/>
  <c r="G12" i="146" s="1"/>
  <c r="F13" i="146" s="1"/>
  <c r="E11" i="149"/>
  <c r="D11" i="149" s="1"/>
  <c r="G11" i="149" s="1"/>
  <c r="F12" i="149" s="1"/>
  <c r="E12" i="151"/>
  <c r="D12" i="151" s="1"/>
  <c r="G12" i="151" s="1"/>
  <c r="F13" i="151" s="1"/>
  <c r="E11" i="150"/>
  <c r="D11" i="150" s="1"/>
  <c r="G11" i="150" s="1"/>
  <c r="F12" i="150" s="1"/>
  <c r="E11" i="147"/>
  <c r="D11" i="147" s="1"/>
  <c r="G11" i="147"/>
  <c r="F12" i="147" s="1"/>
  <c r="I10" i="143"/>
  <c r="E11" i="144"/>
  <c r="D11" i="144" s="1"/>
  <c r="G11" i="144" s="1"/>
  <c r="F12" i="144" s="1"/>
  <c r="E11" i="143"/>
  <c r="D11" i="143" s="1"/>
  <c r="G11" i="143" s="1"/>
  <c r="F12" i="143" s="1"/>
  <c r="H11" i="143"/>
  <c r="I11" i="143" s="1"/>
  <c r="I9" i="141"/>
  <c r="E10" i="141"/>
  <c r="D10" i="141" s="1"/>
  <c r="G10" i="141" s="1"/>
  <c r="F11" i="141" s="1"/>
  <c r="H11" i="141" s="1"/>
  <c r="I10" i="140"/>
  <c r="H11" i="140"/>
  <c r="E11" i="140"/>
  <c r="D11" i="140" s="1"/>
  <c r="G11" i="140" s="1"/>
  <c r="F12" i="140" s="1"/>
  <c r="F80" i="160" l="1"/>
  <c r="E13" i="157"/>
  <c r="D13" i="157" s="1"/>
  <c r="G13" i="157" s="1"/>
  <c r="F14" i="157" s="1"/>
  <c r="F53" i="156"/>
  <c r="E13" i="156"/>
  <c r="E12" i="158"/>
  <c r="D12" i="158" s="1"/>
  <c r="G12" i="158" s="1"/>
  <c r="F13" i="158" s="1"/>
  <c r="E12" i="153"/>
  <c r="D12" i="153" s="1"/>
  <c r="G12" i="153" s="1"/>
  <c r="F13" i="153" s="1"/>
  <c r="E12" i="152"/>
  <c r="D12" i="152" s="1"/>
  <c r="G12" i="152" s="1"/>
  <c r="F13" i="152" s="1"/>
  <c r="E12" i="150"/>
  <c r="D12" i="150" s="1"/>
  <c r="G12" i="150" s="1"/>
  <c r="F13" i="150" s="1"/>
  <c r="F53" i="151"/>
  <c r="E13" i="151"/>
  <c r="F53" i="146"/>
  <c r="E13" i="146"/>
  <c r="E12" i="149"/>
  <c r="D12" i="149" s="1"/>
  <c r="G12" i="149" s="1"/>
  <c r="E12" i="148"/>
  <c r="D12" i="148" s="1"/>
  <c r="G12" i="148" s="1"/>
  <c r="F13" i="148" s="1"/>
  <c r="E12" i="147"/>
  <c r="D12" i="147" s="1"/>
  <c r="G12" i="147" s="1"/>
  <c r="E12" i="143"/>
  <c r="D12" i="143" s="1"/>
  <c r="G12" i="143" s="1"/>
  <c r="F13" i="143" s="1"/>
  <c r="H12" i="143"/>
  <c r="E12" i="144"/>
  <c r="D12" i="144" s="1"/>
  <c r="G12" i="144" s="1"/>
  <c r="F13" i="144" s="1"/>
  <c r="E11" i="141"/>
  <c r="D11" i="141" s="1"/>
  <c r="G11" i="141" s="1"/>
  <c r="F12" i="141" s="1"/>
  <c r="E12" i="141" s="1"/>
  <c r="D12" i="141" s="1"/>
  <c r="G12" i="141" s="1"/>
  <c r="F13" i="141" s="1"/>
  <c r="I10" i="141"/>
  <c r="I11" i="140"/>
  <c r="H12" i="140"/>
  <c r="E12" i="140"/>
  <c r="D12" i="140" s="1"/>
  <c r="G12" i="140" s="1"/>
  <c r="F13" i="140" s="1"/>
  <c r="E80" i="160" l="1"/>
  <c r="D80" i="160" s="1"/>
  <c r="G80" i="160" s="1"/>
  <c r="E13" i="158"/>
  <c r="D13" i="158" s="1"/>
  <c r="G13" i="158" s="1"/>
  <c r="F14" i="158" s="1"/>
  <c r="E14" i="157"/>
  <c r="D14" i="157" s="1"/>
  <c r="G14" i="157" s="1"/>
  <c r="F15" i="157" s="1"/>
  <c r="E53" i="156"/>
  <c r="D13" i="156"/>
  <c r="E13" i="152"/>
  <c r="E13" i="153"/>
  <c r="F53" i="147"/>
  <c r="F13" i="147"/>
  <c r="F13" i="149"/>
  <c r="F53" i="149"/>
  <c r="E13" i="148"/>
  <c r="F53" i="148"/>
  <c r="F53" i="150"/>
  <c r="E13" i="150"/>
  <c r="E53" i="151"/>
  <c r="D13" i="151"/>
  <c r="E53" i="146"/>
  <c r="D13" i="146"/>
  <c r="E13" i="144"/>
  <c r="D13" i="144" s="1"/>
  <c r="G13" i="144" s="1"/>
  <c r="F14" i="144" s="1"/>
  <c r="E13" i="143"/>
  <c r="D13" i="143" s="1"/>
  <c r="G13" i="143" s="1"/>
  <c r="F14" i="143" s="1"/>
  <c r="H13" i="143"/>
  <c r="I12" i="143"/>
  <c r="H12" i="141"/>
  <c r="I11" i="141"/>
  <c r="H13" i="141"/>
  <c r="E13" i="141"/>
  <c r="D13" i="141" s="1"/>
  <c r="G13" i="141" s="1"/>
  <c r="I12" i="141"/>
  <c r="H13" i="140"/>
  <c r="E13" i="140"/>
  <c r="D13" i="140" s="1"/>
  <c r="G13" i="140" s="1"/>
  <c r="I12" i="140"/>
  <c r="F81" i="160" l="1"/>
  <c r="E15" i="157"/>
  <c r="D15" i="157" s="1"/>
  <c r="G15" i="157" s="1"/>
  <c r="F16" i="157" s="1"/>
  <c r="E14" i="158"/>
  <c r="D14" i="158" s="1"/>
  <c r="G14" i="158" s="1"/>
  <c r="F15" i="158" s="1"/>
  <c r="D53" i="156"/>
  <c r="G13" i="156"/>
  <c r="D13" i="153"/>
  <c r="D13" i="152"/>
  <c r="D53" i="146"/>
  <c r="G13" i="146"/>
  <c r="E53" i="148"/>
  <c r="D13" i="148"/>
  <c r="E53" i="150"/>
  <c r="D13" i="150"/>
  <c r="E13" i="149"/>
  <c r="D13" i="149" s="1"/>
  <c r="G13" i="149" s="1"/>
  <c r="F14" i="149" s="1"/>
  <c r="E13" i="147"/>
  <c r="D13" i="147" s="1"/>
  <c r="G13" i="147" s="1"/>
  <c r="F14" i="147" s="1"/>
  <c r="D53" i="151"/>
  <c r="G13" i="151"/>
  <c r="E53" i="149"/>
  <c r="D53" i="149" s="1"/>
  <c r="G53" i="149" s="1"/>
  <c r="F54" i="149" s="1"/>
  <c r="E53" i="147"/>
  <c r="D53" i="147" s="1"/>
  <c r="G53" i="147" s="1"/>
  <c r="F54" i="147" s="1"/>
  <c r="E14" i="143"/>
  <c r="D14" i="143" s="1"/>
  <c r="G14" i="143" s="1"/>
  <c r="F15" i="143" s="1"/>
  <c r="H14" i="143"/>
  <c r="E14" i="144"/>
  <c r="D14" i="144" s="1"/>
  <c r="G14" i="144" s="1"/>
  <c r="F15" i="144" s="1"/>
  <c r="I13" i="143"/>
  <c r="I13" i="140"/>
  <c r="F41" i="141"/>
  <c r="F14" i="141"/>
  <c r="F41" i="140"/>
  <c r="F14" i="140"/>
  <c r="I13" i="141"/>
  <c r="E81" i="160" l="1"/>
  <c r="D81" i="160" s="1"/>
  <c r="G81" i="160" s="1"/>
  <c r="E15" i="158"/>
  <c r="D15" i="158" s="1"/>
  <c r="G15" i="158" s="1"/>
  <c r="F16" i="158" s="1"/>
  <c r="E16" i="157"/>
  <c r="D16" i="157" s="1"/>
  <c r="G16" i="157" s="1"/>
  <c r="F17" i="157" s="1"/>
  <c r="G53" i="156"/>
  <c r="F14" i="156"/>
  <c r="G13" i="152"/>
  <c r="G13" i="153"/>
  <c r="E14" i="147"/>
  <c r="D14" i="147" s="1"/>
  <c r="G14" i="147" s="1"/>
  <c r="F15" i="147" s="1"/>
  <c r="E54" i="149"/>
  <c r="D54" i="149" s="1"/>
  <c r="G54" i="149" s="1"/>
  <c r="F55" i="149" s="1"/>
  <c r="E14" i="149"/>
  <c r="D14" i="149" s="1"/>
  <c r="G14" i="149" s="1"/>
  <c r="F15" i="149" s="1"/>
  <c r="E54" i="147"/>
  <c r="D54" i="147" s="1"/>
  <c r="G54" i="147"/>
  <c r="F55" i="147" s="1"/>
  <c r="D53" i="150"/>
  <c r="G13" i="150"/>
  <c r="D53" i="148"/>
  <c r="G13" i="148"/>
  <c r="G53" i="146"/>
  <c r="F54" i="146" s="1"/>
  <c r="F14" i="146"/>
  <c r="G53" i="151"/>
  <c r="F14" i="151"/>
  <c r="E15" i="144"/>
  <c r="D15" i="144" s="1"/>
  <c r="G15" i="144" s="1"/>
  <c r="F16" i="144" s="1"/>
  <c r="E15" i="143"/>
  <c r="D15" i="143" s="1"/>
  <c r="G15" i="143" s="1"/>
  <c r="F16" i="143" s="1"/>
  <c r="H15" i="143"/>
  <c r="I15" i="143" s="1"/>
  <c r="I14" i="143"/>
  <c r="H14" i="141"/>
  <c r="E41" i="141"/>
  <c r="D41" i="141" s="1"/>
  <c r="E14" i="141"/>
  <c r="D14" i="141" s="1"/>
  <c r="G14" i="141" s="1"/>
  <c r="F42" i="141" s="1"/>
  <c r="E41" i="140"/>
  <c r="D41" i="140" s="1"/>
  <c r="H14" i="140"/>
  <c r="E14" i="140"/>
  <c r="D14" i="140" s="1"/>
  <c r="G41" i="140" s="1"/>
  <c r="F82" i="160" l="1"/>
  <c r="E17" i="157"/>
  <c r="D17" i="157" s="1"/>
  <c r="G17" i="157" s="1"/>
  <c r="F18" i="157" s="1"/>
  <c r="E16" i="158"/>
  <c r="D16" i="158" s="1"/>
  <c r="G16" i="158" s="1"/>
  <c r="F17" i="158" s="1"/>
  <c r="F54" i="156"/>
  <c r="E14" i="156"/>
  <c r="F14" i="153"/>
  <c r="F14" i="152"/>
  <c r="E15" i="147"/>
  <c r="D15" i="147" s="1"/>
  <c r="G15" i="147" s="1"/>
  <c r="F16" i="147" s="1"/>
  <c r="E15" i="149"/>
  <c r="D15" i="149" s="1"/>
  <c r="G15" i="149" s="1"/>
  <c r="F16" i="149" s="1"/>
  <c r="E55" i="149"/>
  <c r="D55" i="149" s="1"/>
  <c r="G55" i="149" s="1"/>
  <c r="F56" i="149" s="1"/>
  <c r="F54" i="151"/>
  <c r="E14" i="151"/>
  <c r="E55" i="147"/>
  <c r="D55" i="147" s="1"/>
  <c r="G55" i="147" s="1"/>
  <c r="F56" i="147" s="1"/>
  <c r="G53" i="148"/>
  <c r="F54" i="148" s="1"/>
  <c r="F14" i="148"/>
  <c r="E14" i="146"/>
  <c r="D14" i="146" s="1"/>
  <c r="G14" i="146" s="1"/>
  <c r="F15" i="146" s="1"/>
  <c r="E54" i="146"/>
  <c r="D54" i="146" s="1"/>
  <c r="G54" i="146" s="1"/>
  <c r="F55" i="146" s="1"/>
  <c r="G53" i="150"/>
  <c r="F14" i="150"/>
  <c r="E16" i="144"/>
  <c r="D16" i="144" s="1"/>
  <c r="G16" i="144" s="1"/>
  <c r="F17" i="144" s="1"/>
  <c r="E16" i="143"/>
  <c r="D16" i="143" s="1"/>
  <c r="G16" i="143" s="1"/>
  <c r="F17" i="143" s="1"/>
  <c r="H16" i="143"/>
  <c r="G41" i="141"/>
  <c r="I14" i="141"/>
  <c r="F15" i="141"/>
  <c r="G14" i="140"/>
  <c r="F42" i="140" s="1"/>
  <c r="I14" i="140"/>
  <c r="E82" i="160" l="1"/>
  <c r="D82" i="160" s="1"/>
  <c r="G82" i="160" s="1"/>
  <c r="E17" i="158"/>
  <c r="D17" i="158" s="1"/>
  <c r="G17" i="158" s="1"/>
  <c r="F18" i="158" s="1"/>
  <c r="E18" i="157"/>
  <c r="D18" i="157" s="1"/>
  <c r="G18" i="157" s="1"/>
  <c r="F19" i="157" s="1"/>
  <c r="E54" i="156"/>
  <c r="D14" i="156"/>
  <c r="E14" i="152"/>
  <c r="E14" i="153"/>
  <c r="E56" i="149"/>
  <c r="D56" i="149" s="1"/>
  <c r="G56" i="149" s="1"/>
  <c r="F57" i="149" s="1"/>
  <c r="E16" i="149"/>
  <c r="D16" i="149" s="1"/>
  <c r="G16" i="149" s="1"/>
  <c r="F17" i="149" s="1"/>
  <c r="E56" i="147"/>
  <c r="D56" i="147" s="1"/>
  <c r="G56" i="147" s="1"/>
  <c r="F57" i="147" s="1"/>
  <c r="E55" i="146"/>
  <c r="D55" i="146" s="1"/>
  <c r="G55" i="146" s="1"/>
  <c r="F56" i="146" s="1"/>
  <c r="E15" i="146"/>
  <c r="D15" i="146" s="1"/>
  <c r="G15" i="146" s="1"/>
  <c r="F16" i="146" s="1"/>
  <c r="E16" i="147"/>
  <c r="D16" i="147" s="1"/>
  <c r="G16" i="147" s="1"/>
  <c r="F17" i="147" s="1"/>
  <c r="E14" i="148"/>
  <c r="D14" i="148" s="1"/>
  <c r="G14" i="148" s="1"/>
  <c r="F15" i="148" s="1"/>
  <c r="E54" i="148"/>
  <c r="D54" i="148" s="1"/>
  <c r="G54" i="148" s="1"/>
  <c r="F55" i="148" s="1"/>
  <c r="E14" i="150"/>
  <c r="F54" i="150"/>
  <c r="E54" i="151"/>
  <c r="D14" i="151"/>
  <c r="E17" i="143"/>
  <c r="D17" i="143" s="1"/>
  <c r="G17" i="143" s="1"/>
  <c r="F18" i="143" s="1"/>
  <c r="H17" i="143"/>
  <c r="E17" i="144"/>
  <c r="D17" i="144" s="1"/>
  <c r="G17" i="144" s="1"/>
  <c r="F18" i="144" s="1"/>
  <c r="I16" i="143"/>
  <c r="E42" i="141"/>
  <c r="D42" i="141" s="1"/>
  <c r="G42" i="141" s="1"/>
  <c r="F43" i="141" s="1"/>
  <c r="H15" i="141"/>
  <c r="E15" i="141"/>
  <c r="D15" i="141" s="1"/>
  <c r="G15" i="141" s="1"/>
  <c r="F16" i="141" s="1"/>
  <c r="F15" i="140"/>
  <c r="F83" i="160" l="1"/>
  <c r="E19" i="157"/>
  <c r="D19" i="157" s="1"/>
  <c r="G19" i="157" s="1"/>
  <c r="F20" i="157" s="1"/>
  <c r="E18" i="158"/>
  <c r="D18" i="158" s="1"/>
  <c r="G18" i="158" s="1"/>
  <c r="F19" i="158" s="1"/>
  <c r="D54" i="156"/>
  <c r="G14" i="156"/>
  <c r="D14" i="153"/>
  <c r="D14" i="152"/>
  <c r="G16" i="146"/>
  <c r="F17" i="146" s="1"/>
  <c r="E16" i="146"/>
  <c r="D16" i="146" s="1"/>
  <c r="E55" i="148"/>
  <c r="D55" i="148" s="1"/>
  <c r="G55" i="148"/>
  <c r="F56" i="148" s="1"/>
  <c r="E56" i="146"/>
  <c r="D56" i="146" s="1"/>
  <c r="G56" i="146" s="1"/>
  <c r="F57" i="146" s="1"/>
  <c r="E57" i="147"/>
  <c r="D57" i="147" s="1"/>
  <c r="G57" i="147"/>
  <c r="F58" i="147" s="1"/>
  <c r="G17" i="147"/>
  <c r="F18" i="147" s="1"/>
  <c r="E17" i="147"/>
  <c r="D17" i="147" s="1"/>
  <c r="E17" i="149"/>
  <c r="D17" i="149" s="1"/>
  <c r="G17" i="149" s="1"/>
  <c r="F18" i="149" s="1"/>
  <c r="E15" i="148"/>
  <c r="D15" i="148" s="1"/>
  <c r="G15" i="148" s="1"/>
  <c r="F16" i="148" s="1"/>
  <c r="E57" i="149"/>
  <c r="D57" i="149" s="1"/>
  <c r="G57" i="149" s="1"/>
  <c r="F58" i="149" s="1"/>
  <c r="D54" i="151"/>
  <c r="G14" i="151"/>
  <c r="E54" i="150"/>
  <c r="D14" i="150"/>
  <c r="E18" i="144"/>
  <c r="D18" i="144" s="1"/>
  <c r="G18" i="144" s="1"/>
  <c r="F19" i="144" s="1"/>
  <c r="E18" i="143"/>
  <c r="D18" i="143" s="1"/>
  <c r="H18" i="143"/>
  <c r="G18" i="143"/>
  <c r="F19" i="143" s="1"/>
  <c r="I17" i="143"/>
  <c r="H16" i="141"/>
  <c r="E16" i="141"/>
  <c r="D16" i="141" s="1"/>
  <c r="G16" i="141" s="1"/>
  <c r="F17" i="141" s="1"/>
  <c r="E42" i="140"/>
  <c r="D42" i="140" s="1"/>
  <c r="G42" i="140" s="1"/>
  <c r="F43" i="140" s="1"/>
  <c r="H15" i="140"/>
  <c r="E15" i="140"/>
  <c r="D15" i="140" s="1"/>
  <c r="G15" i="140" s="1"/>
  <c r="F16" i="140" s="1"/>
  <c r="E43" i="141"/>
  <c r="D43" i="141" s="1"/>
  <c r="G43" i="141" s="1"/>
  <c r="F44" i="141" s="1"/>
  <c r="E44" i="141" s="1"/>
  <c r="D44" i="141" s="1"/>
  <c r="G44" i="141" s="1"/>
  <c r="F45" i="141" s="1"/>
  <c r="E45" i="141" s="1"/>
  <c r="D45" i="141" s="1"/>
  <c r="G45" i="141" s="1"/>
  <c r="F46" i="141" s="1"/>
  <c r="E46" i="141" s="1"/>
  <c r="D46" i="141" s="1"/>
  <c r="G46" i="141" s="1"/>
  <c r="F47" i="141" s="1"/>
  <c r="I15" i="141"/>
  <c r="E83" i="160" l="1"/>
  <c r="D83" i="160" s="1"/>
  <c r="G83" i="160" s="1"/>
  <c r="E19" i="158"/>
  <c r="D19" i="158" s="1"/>
  <c r="G19" i="158" s="1"/>
  <c r="F20" i="158" s="1"/>
  <c r="E20" i="157"/>
  <c r="D20" i="157" s="1"/>
  <c r="G20" i="157" s="1"/>
  <c r="F21" i="157" s="1"/>
  <c r="F15" i="156"/>
  <c r="G54" i="156"/>
  <c r="G14" i="152"/>
  <c r="G14" i="153"/>
  <c r="G58" i="149"/>
  <c r="F59" i="149" s="1"/>
  <c r="E58" i="149"/>
  <c r="D58" i="149" s="1"/>
  <c r="E16" i="148"/>
  <c r="D16" i="148" s="1"/>
  <c r="G16" i="148" s="1"/>
  <c r="F17" i="148" s="1"/>
  <c r="E57" i="146"/>
  <c r="D57" i="146" s="1"/>
  <c r="G57" i="146"/>
  <c r="F58" i="146" s="1"/>
  <c r="E18" i="149"/>
  <c r="D18" i="149" s="1"/>
  <c r="G18" i="149" s="1"/>
  <c r="F19" i="149" s="1"/>
  <c r="G58" i="147"/>
  <c r="F59" i="147" s="1"/>
  <c r="E58" i="147"/>
  <c r="D58" i="147" s="1"/>
  <c r="E18" i="147"/>
  <c r="D18" i="147" s="1"/>
  <c r="G18" i="147" s="1"/>
  <c r="F19" i="147" s="1"/>
  <c r="D54" i="150"/>
  <c r="G14" i="150"/>
  <c r="E56" i="148"/>
  <c r="D56" i="148" s="1"/>
  <c r="G56" i="148" s="1"/>
  <c r="F57" i="148" s="1"/>
  <c r="G54" i="151"/>
  <c r="F15" i="151"/>
  <c r="E17" i="146"/>
  <c r="D17" i="146" s="1"/>
  <c r="G17" i="146" s="1"/>
  <c r="F18" i="146" s="1"/>
  <c r="I18" i="143"/>
  <c r="E19" i="144"/>
  <c r="D19" i="144" s="1"/>
  <c r="G19" i="144" s="1"/>
  <c r="F20" i="144" s="1"/>
  <c r="E19" i="143"/>
  <c r="D19" i="143" s="1"/>
  <c r="G19" i="143" s="1"/>
  <c r="F20" i="143" s="1"/>
  <c r="H19" i="143"/>
  <c r="E47" i="141"/>
  <c r="D47" i="141" s="1"/>
  <c r="G47" i="141" s="1"/>
  <c r="F48" i="141" s="1"/>
  <c r="E48" i="141" s="1"/>
  <c r="D48" i="141" s="1"/>
  <c r="G48" i="141" s="1"/>
  <c r="F49" i="141" s="1"/>
  <c r="E49" i="141" s="1"/>
  <c r="D49" i="141" s="1"/>
  <c r="G49" i="141" s="1"/>
  <c r="F50" i="141" s="1"/>
  <c r="E50" i="141" s="1"/>
  <c r="D50" i="141" s="1"/>
  <c r="G50" i="141" s="1"/>
  <c r="F51" i="141" s="1"/>
  <c r="I16" i="141"/>
  <c r="E43" i="140"/>
  <c r="D43" i="140" s="1"/>
  <c r="G43" i="140" s="1"/>
  <c r="F44" i="140" s="1"/>
  <c r="E44" i="140" s="1"/>
  <c r="D44" i="140" s="1"/>
  <c r="G44" i="140" s="1"/>
  <c r="F45" i="140" s="1"/>
  <c r="E45" i="140" s="1"/>
  <c r="D45" i="140" s="1"/>
  <c r="G45" i="140" s="1"/>
  <c r="F46" i="140" s="1"/>
  <c r="E46" i="140" s="1"/>
  <c r="D46" i="140" s="1"/>
  <c r="G46" i="140" s="1"/>
  <c r="F47" i="140" s="1"/>
  <c r="E47" i="140" s="1"/>
  <c r="D47" i="140" s="1"/>
  <c r="G47" i="140" s="1"/>
  <c r="F48" i="140" s="1"/>
  <c r="H16" i="140"/>
  <c r="E16" i="140"/>
  <c r="D16" i="140" s="1"/>
  <c r="G16" i="140" s="1"/>
  <c r="F17" i="140" s="1"/>
  <c r="H17" i="141"/>
  <c r="E17" i="141"/>
  <c r="D17" i="141" s="1"/>
  <c r="G17" i="141" s="1"/>
  <c r="F18" i="141" s="1"/>
  <c r="I15" i="140"/>
  <c r="F84" i="160" l="1"/>
  <c r="E21" i="157"/>
  <c r="D21" i="157" s="1"/>
  <c r="G21" i="157" s="1"/>
  <c r="F22" i="157" s="1"/>
  <c r="E20" i="158"/>
  <c r="D20" i="158" s="1"/>
  <c r="G20" i="158" s="1"/>
  <c r="F21" i="158" s="1"/>
  <c r="F55" i="156"/>
  <c r="E15" i="156"/>
  <c r="F15" i="153"/>
  <c r="F15" i="152"/>
  <c r="G18" i="146"/>
  <c r="F19" i="146" s="1"/>
  <c r="E18" i="146"/>
  <c r="D18" i="146" s="1"/>
  <c r="E19" i="147"/>
  <c r="D19" i="147" s="1"/>
  <c r="G19" i="147"/>
  <c r="F20" i="147" s="1"/>
  <c r="E19" i="149"/>
  <c r="D19" i="149" s="1"/>
  <c r="G19" i="149" s="1"/>
  <c r="F20" i="149" s="1"/>
  <c r="E17" i="148"/>
  <c r="D17" i="148" s="1"/>
  <c r="G17" i="148" s="1"/>
  <c r="F18" i="148" s="1"/>
  <c r="E57" i="148"/>
  <c r="D57" i="148" s="1"/>
  <c r="G57" i="148" s="1"/>
  <c r="F58" i="148" s="1"/>
  <c r="E59" i="149"/>
  <c r="D59" i="149" s="1"/>
  <c r="G59" i="149" s="1"/>
  <c r="F60" i="149" s="1"/>
  <c r="E59" i="147"/>
  <c r="D59" i="147" s="1"/>
  <c r="G59" i="147"/>
  <c r="F60" i="147" s="1"/>
  <c r="G58" i="146"/>
  <c r="F59" i="146" s="1"/>
  <c r="E58" i="146"/>
  <c r="D58" i="146" s="1"/>
  <c r="G54" i="150"/>
  <c r="F15" i="150"/>
  <c r="E15" i="151"/>
  <c r="F55" i="151"/>
  <c r="I19" i="143"/>
  <c r="E20" i="143"/>
  <c r="D20" i="143" s="1"/>
  <c r="G20" i="143" s="1"/>
  <c r="F21" i="143" s="1"/>
  <c r="H20" i="143"/>
  <c r="E20" i="144"/>
  <c r="D20" i="144" s="1"/>
  <c r="G20" i="144" s="1"/>
  <c r="F21" i="144" s="1"/>
  <c r="E51" i="141"/>
  <c r="D51" i="141" s="1"/>
  <c r="G51" i="141" s="1"/>
  <c r="F52" i="141" s="1"/>
  <c r="E52" i="141" s="1"/>
  <c r="D52" i="141" s="1"/>
  <c r="G52" i="141" s="1"/>
  <c r="F53" i="141" s="1"/>
  <c r="E48" i="140"/>
  <c r="D48" i="140" s="1"/>
  <c r="G48" i="140" s="1"/>
  <c r="F49" i="140" s="1"/>
  <c r="E49" i="140" s="1"/>
  <c r="D49" i="140" s="1"/>
  <c r="G49" i="140" s="1"/>
  <c r="F50" i="140" s="1"/>
  <c r="H17" i="140"/>
  <c r="E17" i="140"/>
  <c r="D17" i="140" s="1"/>
  <c r="G17" i="140" s="1"/>
  <c r="F18" i="140" s="1"/>
  <c r="H18" i="141"/>
  <c r="E18" i="141"/>
  <c r="D18" i="141" s="1"/>
  <c r="G18" i="141" s="1"/>
  <c r="F19" i="141" s="1"/>
  <c r="I17" i="141"/>
  <c r="I16" i="140"/>
  <c r="D84" i="160" l="1"/>
  <c r="G84" i="160" s="1"/>
  <c r="E21" i="158"/>
  <c r="D21" i="158" s="1"/>
  <c r="G21" i="158" s="1"/>
  <c r="F22" i="158" s="1"/>
  <c r="E22" i="157"/>
  <c r="D22" i="157" s="1"/>
  <c r="G22" i="157" s="1"/>
  <c r="F23" i="157" s="1"/>
  <c r="E55" i="156"/>
  <c r="D15" i="156"/>
  <c r="E15" i="153"/>
  <c r="E15" i="152"/>
  <c r="E60" i="149"/>
  <c r="D60" i="149" s="1"/>
  <c r="G60" i="149" s="1"/>
  <c r="F61" i="149" s="1"/>
  <c r="E58" i="148"/>
  <c r="D58" i="148" s="1"/>
  <c r="G58" i="148" s="1"/>
  <c r="F59" i="148" s="1"/>
  <c r="E18" i="148"/>
  <c r="D18" i="148" s="1"/>
  <c r="G18" i="148" s="1"/>
  <c r="F19" i="148" s="1"/>
  <c r="E20" i="149"/>
  <c r="D20" i="149" s="1"/>
  <c r="G20" i="149" s="1"/>
  <c r="F21" i="149" s="1"/>
  <c r="G59" i="146"/>
  <c r="F60" i="146" s="1"/>
  <c r="E59" i="146"/>
  <c r="D59" i="146" s="1"/>
  <c r="E20" i="147"/>
  <c r="D20" i="147" s="1"/>
  <c r="G20" i="147" s="1"/>
  <c r="F21" i="147" s="1"/>
  <c r="E55" i="151"/>
  <c r="D15" i="151"/>
  <c r="G60" i="147"/>
  <c r="F61" i="147" s="1"/>
  <c r="E60" i="147"/>
  <c r="D60" i="147" s="1"/>
  <c r="F55" i="150"/>
  <c r="E15" i="150"/>
  <c r="E19" i="146"/>
  <c r="D19" i="146" s="1"/>
  <c r="G19" i="146" s="1"/>
  <c r="F20" i="146" s="1"/>
  <c r="E21" i="144"/>
  <c r="D21" i="144" s="1"/>
  <c r="G21" i="144" s="1"/>
  <c r="E21" i="143"/>
  <c r="D21" i="143" s="1"/>
  <c r="G21" i="143" s="1"/>
  <c r="H21" i="143"/>
  <c r="I20" i="143"/>
  <c r="E53" i="141"/>
  <c r="D53" i="141" s="1"/>
  <c r="G53" i="141" s="1"/>
  <c r="F54" i="141" s="1"/>
  <c r="E54" i="141" s="1"/>
  <c r="D54" i="141" s="1"/>
  <c r="G54" i="141" s="1"/>
  <c r="F55" i="141" s="1"/>
  <c r="E50" i="140"/>
  <c r="D50" i="140" s="1"/>
  <c r="G50" i="140" s="1"/>
  <c r="F51" i="140" s="1"/>
  <c r="E51" i="140" s="1"/>
  <c r="D51" i="140" s="1"/>
  <c r="G51" i="140" s="1"/>
  <c r="F52" i="140" s="1"/>
  <c r="E52" i="140" s="1"/>
  <c r="D52" i="140" s="1"/>
  <c r="G52" i="140" s="1"/>
  <c r="F53" i="140" s="1"/>
  <c r="I17" i="140"/>
  <c r="H19" i="141"/>
  <c r="E19" i="141"/>
  <c r="D19" i="141" s="1"/>
  <c r="G19" i="141" s="1"/>
  <c r="F20" i="141" s="1"/>
  <c r="H18" i="140"/>
  <c r="E18" i="140"/>
  <c r="D18" i="140" s="1"/>
  <c r="G18" i="140" s="1"/>
  <c r="F19" i="140" s="1"/>
  <c r="I18" i="141"/>
  <c r="E23" i="157" l="1"/>
  <c r="D23" i="157" s="1"/>
  <c r="G23" i="157" s="1"/>
  <c r="F24" i="157" s="1"/>
  <c r="E22" i="158"/>
  <c r="D22" i="158" s="1"/>
  <c r="G22" i="158" s="1"/>
  <c r="F23" i="158" s="1"/>
  <c r="D55" i="156"/>
  <c r="G15" i="156"/>
  <c r="D15" i="152"/>
  <c r="D15" i="153"/>
  <c r="E21" i="147"/>
  <c r="D21" i="147" s="1"/>
  <c r="G21" i="147" s="1"/>
  <c r="F22" i="147" s="1"/>
  <c r="E21" i="149"/>
  <c r="D21" i="149" s="1"/>
  <c r="G21" i="149" s="1"/>
  <c r="F22" i="149" s="1"/>
  <c r="E20" i="146"/>
  <c r="D20" i="146" s="1"/>
  <c r="G20" i="146" s="1"/>
  <c r="F21" i="146" s="1"/>
  <c r="E19" i="148"/>
  <c r="D19" i="148" s="1"/>
  <c r="G19" i="148" s="1"/>
  <c r="F20" i="148" s="1"/>
  <c r="E59" i="148"/>
  <c r="D59" i="148" s="1"/>
  <c r="G59" i="148"/>
  <c r="F60" i="148" s="1"/>
  <c r="E61" i="149"/>
  <c r="D61" i="149" s="1"/>
  <c r="G61" i="149" s="1"/>
  <c r="F62" i="149" s="1"/>
  <c r="E60" i="146"/>
  <c r="D60" i="146" s="1"/>
  <c r="G60" i="146" s="1"/>
  <c r="F61" i="146" s="1"/>
  <c r="E61" i="147"/>
  <c r="D61" i="147" s="1"/>
  <c r="G61" i="147" s="1"/>
  <c r="F62" i="147" s="1"/>
  <c r="D55" i="151"/>
  <c r="G15" i="151"/>
  <c r="E55" i="150"/>
  <c r="D15" i="150"/>
  <c r="I21" i="143"/>
  <c r="F41" i="144"/>
  <c r="F22" i="144"/>
  <c r="F22" i="143"/>
  <c r="F41" i="143"/>
  <c r="E55" i="141"/>
  <c r="D55" i="141" s="1"/>
  <c r="G55" i="141" s="1"/>
  <c r="F56" i="141" s="1"/>
  <c r="I19" i="141"/>
  <c r="E53" i="140"/>
  <c r="D53" i="140" s="1"/>
  <c r="G53" i="140" s="1"/>
  <c r="F54" i="140" s="1"/>
  <c r="E54" i="140" s="1"/>
  <c r="D54" i="140" s="1"/>
  <c r="G54" i="140" s="1"/>
  <c r="F55" i="140" s="1"/>
  <c r="E55" i="140" s="1"/>
  <c r="D55" i="140" s="1"/>
  <c r="G55" i="140" s="1"/>
  <c r="F56" i="140" s="1"/>
  <c r="H19" i="140"/>
  <c r="E19" i="140"/>
  <c r="D19" i="140" s="1"/>
  <c r="G19" i="140" s="1"/>
  <c r="F20" i="140" s="1"/>
  <c r="H20" i="141"/>
  <c r="E20" i="141"/>
  <c r="D20" i="141" s="1"/>
  <c r="G20" i="141" s="1"/>
  <c r="F21" i="141" s="1"/>
  <c r="I18" i="140"/>
  <c r="E23" i="158" l="1"/>
  <c r="D23" i="158" s="1"/>
  <c r="G23" i="158" s="1"/>
  <c r="F24" i="158" s="1"/>
  <c r="E24" i="157"/>
  <c r="D24" i="157" s="1"/>
  <c r="G24" i="157" s="1"/>
  <c r="F25" i="157" s="1"/>
  <c r="G55" i="156"/>
  <c r="F16" i="156"/>
  <c r="G15" i="153"/>
  <c r="G15" i="152"/>
  <c r="G62" i="149"/>
  <c r="F63" i="149" s="1"/>
  <c r="E62" i="149"/>
  <c r="D62" i="149" s="1"/>
  <c r="E61" i="146"/>
  <c r="D61" i="146" s="1"/>
  <c r="G61" i="146" s="1"/>
  <c r="F62" i="146" s="1"/>
  <c r="E62" i="147"/>
  <c r="D62" i="147" s="1"/>
  <c r="G62" i="147" s="1"/>
  <c r="F63" i="147" s="1"/>
  <c r="E22" i="147"/>
  <c r="D22" i="147" s="1"/>
  <c r="G22" i="147" s="1"/>
  <c r="F23" i="147" s="1"/>
  <c r="G20" i="148"/>
  <c r="F21" i="148" s="1"/>
  <c r="E20" i="148"/>
  <c r="D20" i="148" s="1"/>
  <c r="E21" i="146"/>
  <c r="D21" i="146" s="1"/>
  <c r="G21" i="146" s="1"/>
  <c r="F22" i="146" s="1"/>
  <c r="E22" i="149"/>
  <c r="D22" i="149" s="1"/>
  <c r="G22" i="149" s="1"/>
  <c r="F23" i="149" s="1"/>
  <c r="E60" i="148"/>
  <c r="D60" i="148" s="1"/>
  <c r="G60" i="148" s="1"/>
  <c r="F61" i="148" s="1"/>
  <c r="D55" i="150"/>
  <c r="G15" i="150"/>
  <c r="G55" i="151"/>
  <c r="F16" i="151"/>
  <c r="E22" i="143"/>
  <c r="H22" i="143"/>
  <c r="E41" i="143"/>
  <c r="E41" i="144"/>
  <c r="E22" i="144"/>
  <c r="E56" i="141"/>
  <c r="D56" i="141" s="1"/>
  <c r="G56" i="141" s="1"/>
  <c r="F57" i="141" s="1"/>
  <c r="E56" i="140"/>
  <c r="D56" i="140" s="1"/>
  <c r="G56" i="140" s="1"/>
  <c r="F57" i="140" s="1"/>
  <c r="H21" i="141"/>
  <c r="E21" i="141"/>
  <c r="D21" i="141" s="1"/>
  <c r="G21" i="141" s="1"/>
  <c r="F22" i="141" s="1"/>
  <c r="H20" i="140"/>
  <c r="E20" i="140"/>
  <c r="D20" i="140" s="1"/>
  <c r="G20" i="140" s="1"/>
  <c r="F21" i="140" s="1"/>
  <c r="I20" i="141"/>
  <c r="I19" i="140"/>
  <c r="E25" i="157" l="1"/>
  <c r="D25" i="157" s="1"/>
  <c r="G25" i="157" s="1"/>
  <c r="F26" i="157" s="1"/>
  <c r="E24" i="158"/>
  <c r="D24" i="158" s="1"/>
  <c r="G24" i="158" s="1"/>
  <c r="F25" i="158" s="1"/>
  <c r="F56" i="156"/>
  <c r="E16" i="156"/>
  <c r="F16" i="152"/>
  <c r="F16" i="153"/>
  <c r="E22" i="146"/>
  <c r="D22" i="146" s="1"/>
  <c r="G22" i="146" s="1"/>
  <c r="F23" i="146" s="1"/>
  <c r="E63" i="147"/>
  <c r="D63" i="147" s="1"/>
  <c r="G63" i="147"/>
  <c r="F64" i="147" s="1"/>
  <c r="E62" i="146"/>
  <c r="D62" i="146" s="1"/>
  <c r="G62" i="146" s="1"/>
  <c r="F63" i="146" s="1"/>
  <c r="E23" i="147"/>
  <c r="D23" i="147" s="1"/>
  <c r="G23" i="147" s="1"/>
  <c r="F24" i="147" s="1"/>
  <c r="E61" i="148"/>
  <c r="D61" i="148" s="1"/>
  <c r="G61" i="148" s="1"/>
  <c r="F62" i="148" s="1"/>
  <c r="E23" i="149"/>
  <c r="D23" i="149" s="1"/>
  <c r="G23" i="149" s="1"/>
  <c r="F24" i="149" s="1"/>
  <c r="F56" i="151"/>
  <c r="E16" i="151"/>
  <c r="E21" i="148"/>
  <c r="D21" i="148" s="1"/>
  <c r="G21" i="148" s="1"/>
  <c r="F22" i="148" s="1"/>
  <c r="F16" i="150"/>
  <c r="G55" i="150"/>
  <c r="E63" i="149"/>
  <c r="D63" i="149" s="1"/>
  <c r="G63" i="149" s="1"/>
  <c r="F64" i="149" s="1"/>
  <c r="I22" i="143"/>
  <c r="D22" i="144"/>
  <c r="G22" i="144" s="1"/>
  <c r="F23" i="144" s="1"/>
  <c r="D41" i="144"/>
  <c r="G41" i="144" s="1"/>
  <c r="F42" i="144" s="1"/>
  <c r="D41" i="143"/>
  <c r="G41" i="143" s="1"/>
  <c r="F42" i="143" s="1"/>
  <c r="D22" i="143"/>
  <c r="G22" i="143" s="1"/>
  <c r="F23" i="143" s="1"/>
  <c r="E57" i="141"/>
  <c r="D57" i="141" s="1"/>
  <c r="G57" i="141" s="1"/>
  <c r="F58" i="141" s="1"/>
  <c r="E58" i="141" s="1"/>
  <c r="D58" i="141" s="1"/>
  <c r="G58" i="141" s="1"/>
  <c r="F59" i="141" s="1"/>
  <c r="E57" i="140"/>
  <c r="D57" i="140" s="1"/>
  <c r="G57" i="140" s="1"/>
  <c r="F58" i="140" s="1"/>
  <c r="E21" i="140"/>
  <c r="D21" i="140" s="1"/>
  <c r="G21" i="140" s="1"/>
  <c r="F22" i="140" s="1"/>
  <c r="H21" i="140"/>
  <c r="H22" i="141"/>
  <c r="E22" i="141"/>
  <c r="D22" i="141" s="1"/>
  <c r="G22" i="141" s="1"/>
  <c r="F23" i="141" s="1"/>
  <c r="I21" i="141"/>
  <c r="I20" i="140"/>
  <c r="E25" i="158" l="1"/>
  <c r="D25" i="158" s="1"/>
  <c r="G25" i="158" s="1"/>
  <c r="F26" i="158" s="1"/>
  <c r="E26" i="157"/>
  <c r="D26" i="157" s="1"/>
  <c r="G26" i="157" s="1"/>
  <c r="F27" i="157" s="1"/>
  <c r="E56" i="156"/>
  <c r="D16" i="156"/>
  <c r="E16" i="152"/>
  <c r="E16" i="153"/>
  <c r="E24" i="149"/>
  <c r="D24" i="149" s="1"/>
  <c r="G24" i="149" s="1"/>
  <c r="F25" i="149" s="1"/>
  <c r="E24" i="147"/>
  <c r="D24" i="147" s="1"/>
  <c r="G24" i="147" s="1"/>
  <c r="F25" i="147" s="1"/>
  <c r="E62" i="148"/>
  <c r="D62" i="148" s="1"/>
  <c r="G62" i="148" s="1"/>
  <c r="F63" i="148" s="1"/>
  <c r="E22" i="148"/>
  <c r="D22" i="148" s="1"/>
  <c r="G22" i="148" s="1"/>
  <c r="F23" i="148" s="1"/>
  <c r="E64" i="149"/>
  <c r="D64" i="149" s="1"/>
  <c r="G64" i="149" s="1"/>
  <c r="F65" i="149" s="1"/>
  <c r="E63" i="146"/>
  <c r="D63" i="146" s="1"/>
  <c r="G63" i="146"/>
  <c r="F64" i="146" s="1"/>
  <c r="E23" i="146"/>
  <c r="D23" i="146" s="1"/>
  <c r="G23" i="146" s="1"/>
  <c r="F24" i="146" s="1"/>
  <c r="E64" i="147"/>
  <c r="D64" i="147" s="1"/>
  <c r="G64" i="147" s="1"/>
  <c r="F65" i="147" s="1"/>
  <c r="E56" i="151"/>
  <c r="D16" i="151"/>
  <c r="F56" i="150"/>
  <c r="E16" i="150"/>
  <c r="E23" i="143"/>
  <c r="D23" i="143" s="1"/>
  <c r="G23" i="143" s="1"/>
  <c r="F24" i="143" s="1"/>
  <c r="H23" i="143"/>
  <c r="E42" i="143"/>
  <c r="D42" i="143" s="1"/>
  <c r="E42" i="144"/>
  <c r="D42" i="144" s="1"/>
  <c r="E23" i="144"/>
  <c r="D23" i="144" s="1"/>
  <c r="G23" i="144" s="1"/>
  <c r="F24" i="144" s="1"/>
  <c r="E59" i="141"/>
  <c r="D59" i="141" s="1"/>
  <c r="G59" i="141" s="1"/>
  <c r="F60" i="141" s="1"/>
  <c r="E58" i="140"/>
  <c r="D58" i="140" s="1"/>
  <c r="G58" i="140" s="1"/>
  <c r="F59" i="140" s="1"/>
  <c r="H23" i="141"/>
  <c r="E23" i="141"/>
  <c r="D23" i="141" s="1"/>
  <c r="G23" i="141" s="1"/>
  <c r="F24" i="141" s="1"/>
  <c r="I22" i="141"/>
  <c r="I21" i="140"/>
  <c r="E22" i="140"/>
  <c r="D22" i="140" s="1"/>
  <c r="G22" i="140" s="1"/>
  <c r="F23" i="140" s="1"/>
  <c r="H22" i="140"/>
  <c r="E27" i="157" l="1"/>
  <c r="D27" i="157" s="1"/>
  <c r="G27" i="157" s="1"/>
  <c r="F28" i="157" s="1"/>
  <c r="E26" i="158"/>
  <c r="D26" i="158" s="1"/>
  <c r="G26" i="158" s="1"/>
  <c r="F27" i="158" s="1"/>
  <c r="D56" i="156"/>
  <c r="G16" i="156"/>
  <c r="D16" i="153"/>
  <c r="D16" i="152"/>
  <c r="G24" i="146"/>
  <c r="F25" i="146" s="1"/>
  <c r="E24" i="146"/>
  <c r="D24" i="146" s="1"/>
  <c r="E65" i="149"/>
  <c r="D65" i="149" s="1"/>
  <c r="G65" i="149" s="1"/>
  <c r="F66" i="149" s="1"/>
  <c r="E63" i="148"/>
  <c r="D63" i="148" s="1"/>
  <c r="G63" i="148" s="1"/>
  <c r="F64" i="148" s="1"/>
  <c r="E25" i="147"/>
  <c r="D25" i="147" s="1"/>
  <c r="G25" i="147" s="1"/>
  <c r="F26" i="147" s="1"/>
  <c r="G23" i="148"/>
  <c r="F24" i="148" s="1"/>
  <c r="E23" i="148"/>
  <c r="D23" i="148" s="1"/>
  <c r="E65" i="147"/>
  <c r="D65" i="147" s="1"/>
  <c r="G65" i="147" s="1"/>
  <c r="F66" i="147" s="1"/>
  <c r="E25" i="149"/>
  <c r="D25" i="149" s="1"/>
  <c r="G25" i="149" s="1"/>
  <c r="F26" i="149" s="1"/>
  <c r="E56" i="150"/>
  <c r="D16" i="150"/>
  <c r="G64" i="146"/>
  <c r="F65" i="146" s="1"/>
  <c r="E64" i="146"/>
  <c r="D64" i="146" s="1"/>
  <c r="D56" i="151"/>
  <c r="G16" i="151"/>
  <c r="I23" i="143"/>
  <c r="E24" i="144"/>
  <c r="D24" i="144" s="1"/>
  <c r="G24" i="144" s="1"/>
  <c r="F25" i="144" s="1"/>
  <c r="G42" i="144"/>
  <c r="F43" i="144" s="1"/>
  <c r="G42" i="143"/>
  <c r="F43" i="143" s="1"/>
  <c r="E24" i="143"/>
  <c r="D24" i="143" s="1"/>
  <c r="G24" i="143" s="1"/>
  <c r="F25" i="143" s="1"/>
  <c r="H24" i="143"/>
  <c r="E60" i="141"/>
  <c r="D60" i="141" s="1"/>
  <c r="G60" i="141" s="1"/>
  <c r="F61" i="141" s="1"/>
  <c r="E59" i="140"/>
  <c r="D59" i="140" s="1"/>
  <c r="G59" i="140" s="1"/>
  <c r="F60" i="140" s="1"/>
  <c r="E23" i="140"/>
  <c r="D23" i="140" s="1"/>
  <c r="G23" i="140" s="1"/>
  <c r="F24" i="140" s="1"/>
  <c r="H23" i="140"/>
  <c r="H24" i="141"/>
  <c r="E24" i="141"/>
  <c r="D24" i="141" s="1"/>
  <c r="G24" i="141" s="1"/>
  <c r="F25" i="141" s="1"/>
  <c r="I23" i="141"/>
  <c r="I22" i="140"/>
  <c r="E27" i="158" l="1"/>
  <c r="D27" i="158" s="1"/>
  <c r="G27" i="158" s="1"/>
  <c r="F28" i="158" s="1"/>
  <c r="E28" i="157"/>
  <c r="D28" i="157" s="1"/>
  <c r="G28" i="157" s="1"/>
  <c r="F29" i="157" s="1"/>
  <c r="G56" i="156"/>
  <c r="F57" i="156"/>
  <c r="F17" i="156"/>
  <c r="G16" i="152"/>
  <c r="G16" i="153"/>
  <c r="E26" i="149"/>
  <c r="D26" i="149" s="1"/>
  <c r="G26" i="149" s="1"/>
  <c r="F27" i="149" s="1"/>
  <c r="E26" i="147"/>
  <c r="D26" i="147" s="1"/>
  <c r="G26" i="147" s="1"/>
  <c r="F27" i="147" s="1"/>
  <c r="E64" i="148"/>
  <c r="D64" i="148" s="1"/>
  <c r="G64" i="148" s="1"/>
  <c r="F65" i="148" s="1"/>
  <c r="E66" i="149"/>
  <c r="D66" i="149" s="1"/>
  <c r="G66" i="149" s="1"/>
  <c r="F67" i="149" s="1"/>
  <c r="G66" i="147"/>
  <c r="F67" i="147" s="1"/>
  <c r="E66" i="147"/>
  <c r="D66" i="147" s="1"/>
  <c r="E24" i="148"/>
  <c r="D24" i="148" s="1"/>
  <c r="G24" i="148" s="1"/>
  <c r="F25" i="148" s="1"/>
  <c r="E65" i="146"/>
  <c r="D65" i="146" s="1"/>
  <c r="G65" i="146" s="1"/>
  <c r="F66" i="146" s="1"/>
  <c r="E25" i="146"/>
  <c r="D25" i="146" s="1"/>
  <c r="G25" i="146" s="1"/>
  <c r="F26" i="146" s="1"/>
  <c r="D56" i="150"/>
  <c r="G16" i="150"/>
  <c r="G56" i="151"/>
  <c r="F57" i="151"/>
  <c r="F17" i="151"/>
  <c r="I24" i="143"/>
  <c r="E25" i="144"/>
  <c r="D25" i="144" s="1"/>
  <c r="G25" i="144" s="1"/>
  <c r="F26" i="144" s="1"/>
  <c r="E25" i="143"/>
  <c r="D25" i="143" s="1"/>
  <c r="G25" i="143" s="1"/>
  <c r="F26" i="143" s="1"/>
  <c r="H25" i="143"/>
  <c r="E43" i="144"/>
  <c r="D43" i="144" s="1"/>
  <c r="G43" i="144" s="1"/>
  <c r="F44" i="144" s="1"/>
  <c r="E43" i="143"/>
  <c r="D43" i="143" s="1"/>
  <c r="G43" i="143" s="1"/>
  <c r="F44" i="143" s="1"/>
  <c r="E61" i="141"/>
  <c r="D61" i="141" s="1"/>
  <c r="G61" i="141" s="1"/>
  <c r="F62" i="141" s="1"/>
  <c r="E62" i="141" s="1"/>
  <c r="D62" i="141" s="1"/>
  <c r="G62" i="141" s="1"/>
  <c r="F63" i="141" s="1"/>
  <c r="E60" i="140"/>
  <c r="D60" i="140" s="1"/>
  <c r="G60" i="140" s="1"/>
  <c r="F61" i="140" s="1"/>
  <c r="E24" i="140"/>
  <c r="D24" i="140" s="1"/>
  <c r="G24" i="140" s="1"/>
  <c r="F25" i="140" s="1"/>
  <c r="H24" i="140"/>
  <c r="H25" i="141"/>
  <c r="E25" i="141"/>
  <c r="D25" i="141" s="1"/>
  <c r="G25" i="141" s="1"/>
  <c r="F26" i="141" s="1"/>
  <c r="I24" i="141"/>
  <c r="I23" i="140"/>
  <c r="E29" i="157" l="1"/>
  <c r="D29" i="157" s="1"/>
  <c r="G29" i="157" s="1"/>
  <c r="F30" i="157" s="1"/>
  <c r="E28" i="158"/>
  <c r="D28" i="158" s="1"/>
  <c r="G28" i="158" s="1"/>
  <c r="F29" i="158" s="1"/>
  <c r="E17" i="156"/>
  <c r="D17" i="156" s="1"/>
  <c r="G17" i="156" s="1"/>
  <c r="F18" i="156" s="1"/>
  <c r="E57" i="156"/>
  <c r="D57" i="156" s="1"/>
  <c r="G57" i="156" s="1"/>
  <c r="F58" i="156" s="1"/>
  <c r="F17" i="153"/>
  <c r="F17" i="152"/>
  <c r="G66" i="146"/>
  <c r="F67" i="146" s="1"/>
  <c r="E66" i="146"/>
  <c r="D66" i="146" s="1"/>
  <c r="E25" i="148"/>
  <c r="D25" i="148" s="1"/>
  <c r="G25" i="148" s="1"/>
  <c r="F26" i="148" s="1"/>
  <c r="E67" i="149"/>
  <c r="D67" i="149" s="1"/>
  <c r="G67" i="149" s="1"/>
  <c r="F68" i="149" s="1"/>
  <c r="E65" i="148"/>
  <c r="D65" i="148" s="1"/>
  <c r="G65" i="148" s="1"/>
  <c r="F66" i="148" s="1"/>
  <c r="E27" i="147"/>
  <c r="D27" i="147" s="1"/>
  <c r="G27" i="147" s="1"/>
  <c r="F28" i="147" s="1"/>
  <c r="E26" i="146"/>
  <c r="D26" i="146" s="1"/>
  <c r="G26" i="146" s="1"/>
  <c r="F27" i="146" s="1"/>
  <c r="E27" i="149"/>
  <c r="D27" i="149" s="1"/>
  <c r="G27" i="149" s="1"/>
  <c r="F28" i="149" s="1"/>
  <c r="E67" i="147"/>
  <c r="D67" i="147" s="1"/>
  <c r="G67" i="147" s="1"/>
  <c r="F68" i="147" s="1"/>
  <c r="E57" i="151"/>
  <c r="D57" i="151" s="1"/>
  <c r="G57" i="151" s="1"/>
  <c r="F58" i="151" s="1"/>
  <c r="E17" i="151"/>
  <c r="D17" i="151" s="1"/>
  <c r="G17" i="151" s="1"/>
  <c r="F18" i="151" s="1"/>
  <c r="F57" i="150"/>
  <c r="F17" i="150"/>
  <c r="G56" i="150"/>
  <c r="E44" i="144"/>
  <c r="D44" i="144" s="1"/>
  <c r="G44" i="144" s="1"/>
  <c r="F45" i="144" s="1"/>
  <c r="E45" i="144" s="1"/>
  <c r="D45" i="144" s="1"/>
  <c r="G45" i="144" s="1"/>
  <c r="F46" i="144" s="1"/>
  <c r="E46" i="144" s="1"/>
  <c r="D46" i="144" s="1"/>
  <c r="G46" i="144" s="1"/>
  <c r="F47" i="144" s="1"/>
  <c r="E47" i="144" s="1"/>
  <c r="D47" i="144" s="1"/>
  <c r="G47" i="144" s="1"/>
  <c r="F48" i="144" s="1"/>
  <c r="E48" i="144" s="1"/>
  <c r="D48" i="144" s="1"/>
  <c r="G48" i="144" s="1"/>
  <c r="F49" i="144" s="1"/>
  <c r="E49" i="144" s="1"/>
  <c r="D49" i="144" s="1"/>
  <c r="G49" i="144" s="1"/>
  <c r="F50" i="144" s="1"/>
  <c r="E44" i="143"/>
  <c r="D44" i="143" s="1"/>
  <c r="G44" i="143" s="1"/>
  <c r="F45" i="143" s="1"/>
  <c r="E45" i="143" s="1"/>
  <c r="D45" i="143" s="1"/>
  <c r="G45" i="143" s="1"/>
  <c r="F46" i="143" s="1"/>
  <c r="E46" i="143" s="1"/>
  <c r="D46" i="143" s="1"/>
  <c r="G46" i="143" s="1"/>
  <c r="F47" i="143" s="1"/>
  <c r="E47" i="143" s="1"/>
  <c r="D47" i="143" s="1"/>
  <c r="G47" i="143" s="1"/>
  <c r="F48" i="143" s="1"/>
  <c r="E48" i="143" s="1"/>
  <c r="D48" i="143" s="1"/>
  <c r="G48" i="143" s="1"/>
  <c r="F49" i="143" s="1"/>
  <c r="E49" i="143" s="1"/>
  <c r="D49" i="143" s="1"/>
  <c r="G49" i="143" s="1"/>
  <c r="F50" i="143" s="1"/>
  <c r="E50" i="143" s="1"/>
  <c r="D50" i="143" s="1"/>
  <c r="G50" i="143" s="1"/>
  <c r="F51" i="143" s="1"/>
  <c r="E51" i="143" s="1"/>
  <c r="D51" i="143" s="1"/>
  <c r="G51" i="143" s="1"/>
  <c r="F52" i="143" s="1"/>
  <c r="E52" i="143" s="1"/>
  <c r="D52" i="143" s="1"/>
  <c r="G52" i="143" s="1"/>
  <c r="F53" i="143" s="1"/>
  <c r="E53" i="143" s="1"/>
  <c r="D53" i="143" s="1"/>
  <c r="G53" i="143" s="1"/>
  <c r="F54" i="143" s="1"/>
  <c r="E54" i="143" s="1"/>
  <c r="D54" i="143" s="1"/>
  <c r="G54" i="143" s="1"/>
  <c r="F55" i="143" s="1"/>
  <c r="E55" i="143" s="1"/>
  <c r="D55" i="143" s="1"/>
  <c r="G55" i="143" s="1"/>
  <c r="F56" i="143" s="1"/>
  <c r="E56" i="143" s="1"/>
  <c r="D56" i="143" s="1"/>
  <c r="G56" i="143" s="1"/>
  <c r="F57" i="143" s="1"/>
  <c r="E57" i="143" s="1"/>
  <c r="D57" i="143" s="1"/>
  <c r="G57" i="143" s="1"/>
  <c r="F58" i="143" s="1"/>
  <c r="E58" i="143" s="1"/>
  <c r="D58" i="143" s="1"/>
  <c r="G58" i="143" s="1"/>
  <c r="F59" i="143" s="1"/>
  <c r="D59" i="143" s="1"/>
  <c r="G59" i="143" s="1"/>
  <c r="E26" i="143"/>
  <c r="D26" i="143" s="1"/>
  <c r="G26" i="143" s="1"/>
  <c r="F27" i="143" s="1"/>
  <c r="H26" i="143"/>
  <c r="E26" i="144"/>
  <c r="D26" i="144" s="1"/>
  <c r="G26" i="144" s="1"/>
  <c r="F27" i="144" s="1"/>
  <c r="I25" i="143"/>
  <c r="E63" i="141"/>
  <c r="D63" i="141" s="1"/>
  <c r="G63" i="141" s="1"/>
  <c r="F64" i="141" s="1"/>
  <c r="E61" i="140"/>
  <c r="D61" i="140" s="1"/>
  <c r="G61" i="140" s="1"/>
  <c r="F62" i="140" s="1"/>
  <c r="E62" i="140" s="1"/>
  <c r="D62" i="140" s="1"/>
  <c r="G62" i="140" s="1"/>
  <c r="F63" i="140" s="1"/>
  <c r="E63" i="140" s="1"/>
  <c r="D63" i="140" s="1"/>
  <c r="G63" i="140" s="1"/>
  <c r="F64" i="140" s="1"/>
  <c r="E25" i="140"/>
  <c r="D25" i="140" s="1"/>
  <c r="G25" i="140" s="1"/>
  <c r="F26" i="140" s="1"/>
  <c r="H25" i="140"/>
  <c r="H26" i="141"/>
  <c r="E26" i="141"/>
  <c r="D26" i="141" s="1"/>
  <c r="G26" i="141" s="1"/>
  <c r="F27" i="141" s="1"/>
  <c r="I25" i="141"/>
  <c r="I24" i="140"/>
  <c r="E29" i="158" l="1"/>
  <c r="D29" i="158" s="1"/>
  <c r="G29" i="158" s="1"/>
  <c r="F30" i="158" s="1"/>
  <c r="E18" i="156"/>
  <c r="D18" i="156" s="1"/>
  <c r="G18" i="156" s="1"/>
  <c r="F19" i="156" s="1"/>
  <c r="E30" i="157"/>
  <c r="D30" i="157" s="1"/>
  <c r="G30" i="157" s="1"/>
  <c r="F31" i="157" s="1"/>
  <c r="E58" i="156"/>
  <c r="D58" i="156" s="1"/>
  <c r="G58" i="156" s="1"/>
  <c r="F59" i="156" s="1"/>
  <c r="E17" i="153"/>
  <c r="D17" i="153" s="1"/>
  <c r="G17" i="153" s="1"/>
  <c r="F18" i="153" s="1"/>
  <c r="E17" i="152"/>
  <c r="D17" i="152" s="1"/>
  <c r="G17" i="152" s="1"/>
  <c r="F18" i="152" s="1"/>
  <c r="E28" i="149"/>
  <c r="D28" i="149" s="1"/>
  <c r="G28" i="149" s="1"/>
  <c r="F29" i="149" s="1"/>
  <c r="E27" i="146"/>
  <c r="D27" i="146" s="1"/>
  <c r="G27" i="146" s="1"/>
  <c r="F28" i="146" s="1"/>
  <c r="E66" i="148"/>
  <c r="D66" i="148" s="1"/>
  <c r="G66" i="148" s="1"/>
  <c r="F67" i="148" s="1"/>
  <c r="E68" i="149"/>
  <c r="D68" i="149" s="1"/>
  <c r="G68" i="149" s="1"/>
  <c r="F69" i="149" s="1"/>
  <c r="E28" i="147"/>
  <c r="D28" i="147" s="1"/>
  <c r="G28" i="147" s="1"/>
  <c r="F29" i="147" s="1"/>
  <c r="E26" i="148"/>
  <c r="D26" i="148" s="1"/>
  <c r="G26" i="148" s="1"/>
  <c r="F27" i="148" s="1"/>
  <c r="E18" i="151"/>
  <c r="D18" i="151" s="1"/>
  <c r="G18" i="151" s="1"/>
  <c r="F19" i="151" s="1"/>
  <c r="E68" i="147"/>
  <c r="D68" i="147" s="1"/>
  <c r="G68" i="147" s="1"/>
  <c r="F69" i="147" s="1"/>
  <c r="E67" i="146"/>
  <c r="D67" i="146" s="1"/>
  <c r="G67" i="146" s="1"/>
  <c r="F68" i="146" s="1"/>
  <c r="E58" i="151"/>
  <c r="D58" i="151" s="1"/>
  <c r="G58" i="151" s="1"/>
  <c r="F59" i="151" s="1"/>
  <c r="E17" i="150"/>
  <c r="D17" i="150" s="1"/>
  <c r="G17" i="150" s="1"/>
  <c r="F18" i="150" s="1"/>
  <c r="E57" i="150"/>
  <c r="D57" i="150" s="1"/>
  <c r="G57" i="150" s="1"/>
  <c r="F58" i="150" s="1"/>
  <c r="E50" i="144"/>
  <c r="D50" i="144" s="1"/>
  <c r="G50" i="144" s="1"/>
  <c r="F51" i="144" s="1"/>
  <c r="E51" i="144" s="1"/>
  <c r="D51" i="144" s="1"/>
  <c r="G51" i="144" s="1"/>
  <c r="F52" i="144" s="1"/>
  <c r="E27" i="144"/>
  <c r="D27" i="144" s="1"/>
  <c r="G27" i="144"/>
  <c r="F28" i="144" s="1"/>
  <c r="E27" i="143"/>
  <c r="D27" i="143" s="1"/>
  <c r="G27" i="143" s="1"/>
  <c r="F28" i="143" s="1"/>
  <c r="H27" i="143"/>
  <c r="I26" i="143"/>
  <c r="E64" i="141"/>
  <c r="D64" i="141" s="1"/>
  <c r="G64" i="141" s="1"/>
  <c r="F65" i="141" s="1"/>
  <c r="E64" i="140"/>
  <c r="D64" i="140" s="1"/>
  <c r="G64" i="140" s="1"/>
  <c r="F65" i="140" s="1"/>
  <c r="E26" i="140"/>
  <c r="D26" i="140" s="1"/>
  <c r="G26" i="140" s="1"/>
  <c r="F27" i="140" s="1"/>
  <c r="H26" i="140"/>
  <c r="H27" i="141"/>
  <c r="E27" i="141"/>
  <c r="D27" i="141" s="1"/>
  <c r="G27" i="141" s="1"/>
  <c r="F28" i="141" s="1"/>
  <c r="I26" i="141"/>
  <c r="I25" i="140"/>
  <c r="E31" i="157" l="1"/>
  <c r="D31" i="157" s="1"/>
  <c r="G31" i="157" s="1"/>
  <c r="F32" i="157" s="1"/>
  <c r="E59" i="156"/>
  <c r="D59" i="156" s="1"/>
  <c r="G59" i="156" s="1"/>
  <c r="F60" i="156" s="1"/>
  <c r="E19" i="156"/>
  <c r="D19" i="156" s="1"/>
  <c r="G19" i="156" s="1"/>
  <c r="F20" i="156" s="1"/>
  <c r="E30" i="158"/>
  <c r="D30" i="158" s="1"/>
  <c r="G30" i="158" s="1"/>
  <c r="F31" i="158" s="1"/>
  <c r="E18" i="153"/>
  <c r="D18" i="153" s="1"/>
  <c r="G18" i="153" s="1"/>
  <c r="F19" i="153" s="1"/>
  <c r="E18" i="152"/>
  <c r="D18" i="152" s="1"/>
  <c r="G18" i="152" s="1"/>
  <c r="F19" i="152" s="1"/>
  <c r="E27" i="148"/>
  <c r="D27" i="148" s="1"/>
  <c r="G27" i="148" s="1"/>
  <c r="F28" i="148" s="1"/>
  <c r="E29" i="147"/>
  <c r="D29" i="147" s="1"/>
  <c r="G29" i="147" s="1"/>
  <c r="F30" i="147" s="1"/>
  <c r="E69" i="149"/>
  <c r="D69" i="149" s="1"/>
  <c r="G69" i="149" s="1"/>
  <c r="F70" i="149" s="1"/>
  <c r="E58" i="150"/>
  <c r="D58" i="150" s="1"/>
  <c r="G58" i="150" s="1"/>
  <c r="F59" i="150" s="1"/>
  <c r="E18" i="150"/>
  <c r="D18" i="150" s="1"/>
  <c r="G18" i="150" s="1"/>
  <c r="F19" i="150" s="1"/>
  <c r="E67" i="148"/>
  <c r="D67" i="148" s="1"/>
  <c r="G67" i="148"/>
  <c r="F68" i="148" s="1"/>
  <c r="E19" i="151"/>
  <c r="D19" i="151" s="1"/>
  <c r="G19" i="151" s="1"/>
  <c r="F20" i="151" s="1"/>
  <c r="E28" i="146"/>
  <c r="D28" i="146" s="1"/>
  <c r="G28" i="146" s="1"/>
  <c r="F29" i="146" s="1"/>
  <c r="E69" i="147"/>
  <c r="D69" i="147" s="1"/>
  <c r="G69" i="147"/>
  <c r="F70" i="147" s="1"/>
  <c r="E59" i="151"/>
  <c r="D59" i="151" s="1"/>
  <c r="G59" i="151" s="1"/>
  <c r="F60" i="151" s="1"/>
  <c r="E68" i="146"/>
  <c r="D68" i="146" s="1"/>
  <c r="G68" i="146" s="1"/>
  <c r="F69" i="146" s="1"/>
  <c r="E29" i="149"/>
  <c r="D29" i="149" s="1"/>
  <c r="G29" i="149" s="1"/>
  <c r="F30" i="149" s="1"/>
  <c r="E52" i="144"/>
  <c r="D52" i="144" s="1"/>
  <c r="G52" i="144" s="1"/>
  <c r="F53" i="144" s="1"/>
  <c r="E53" i="144" s="1"/>
  <c r="D53" i="144" s="1"/>
  <c r="G53" i="144" s="1"/>
  <c r="F54" i="144" s="1"/>
  <c r="E54" i="144" s="1"/>
  <c r="D54" i="144" s="1"/>
  <c r="G54" i="144" s="1"/>
  <c r="F55" i="144" s="1"/>
  <c r="E55" i="144" s="1"/>
  <c r="D55" i="144" s="1"/>
  <c r="G55" i="144" s="1"/>
  <c r="F56" i="144" s="1"/>
  <c r="E56" i="144" s="1"/>
  <c r="D56" i="144" s="1"/>
  <c r="G56" i="144" s="1"/>
  <c r="F57" i="144" s="1"/>
  <c r="E57" i="144" s="1"/>
  <c r="D57" i="144" s="1"/>
  <c r="G57" i="144" s="1"/>
  <c r="F58" i="144" s="1"/>
  <c r="E58" i="144" s="1"/>
  <c r="D58" i="144" s="1"/>
  <c r="G58" i="144" s="1"/>
  <c r="F59" i="144" s="1"/>
  <c r="D59" i="144" s="1"/>
  <c r="G59" i="144" s="1"/>
  <c r="E28" i="143"/>
  <c r="D28" i="143" s="1"/>
  <c r="H28" i="143"/>
  <c r="G28" i="143"/>
  <c r="F29" i="143" s="1"/>
  <c r="E28" i="144"/>
  <c r="D28" i="144" s="1"/>
  <c r="G28" i="144" s="1"/>
  <c r="F29" i="144" s="1"/>
  <c r="I27" i="143"/>
  <c r="E65" i="141"/>
  <c r="D65" i="141" s="1"/>
  <c r="G65" i="141" s="1"/>
  <c r="F66" i="141" s="1"/>
  <c r="E66" i="141" s="1"/>
  <c r="D66" i="141" s="1"/>
  <c r="G66" i="141" s="1"/>
  <c r="F67" i="141" s="1"/>
  <c r="E65" i="140"/>
  <c r="D65" i="140" s="1"/>
  <c r="G65" i="140" s="1"/>
  <c r="F66" i="140" s="1"/>
  <c r="E66" i="140" s="1"/>
  <c r="D66" i="140" s="1"/>
  <c r="G66" i="140" s="1"/>
  <c r="F67" i="140" s="1"/>
  <c r="H28" i="141"/>
  <c r="E28" i="141"/>
  <c r="D28" i="141" s="1"/>
  <c r="G28" i="141" s="1"/>
  <c r="F29" i="141" s="1"/>
  <c r="E27" i="140"/>
  <c r="D27" i="140" s="1"/>
  <c r="G27" i="140" s="1"/>
  <c r="F28" i="140" s="1"/>
  <c r="H27" i="140"/>
  <c r="I26" i="140"/>
  <c r="I27" i="141"/>
  <c r="E60" i="156" l="1"/>
  <c r="D60" i="156" s="1"/>
  <c r="G60" i="156" s="1"/>
  <c r="F61" i="156" s="1"/>
  <c r="E20" i="156"/>
  <c r="D20" i="156" s="1"/>
  <c r="G20" i="156" s="1"/>
  <c r="F21" i="156" s="1"/>
  <c r="E31" i="158"/>
  <c r="D31" i="158" s="1"/>
  <c r="G31" i="158" s="1"/>
  <c r="F32" i="158" s="1"/>
  <c r="E32" i="157"/>
  <c r="D32" i="157" s="1"/>
  <c r="G32" i="157" s="1"/>
  <c r="F33" i="157" s="1"/>
  <c r="E19" i="152"/>
  <c r="D19" i="152" s="1"/>
  <c r="G19" i="152" s="1"/>
  <c r="F20" i="152" s="1"/>
  <c r="E19" i="153"/>
  <c r="D19" i="153" s="1"/>
  <c r="G19" i="153" s="1"/>
  <c r="F20" i="153" s="1"/>
  <c r="E30" i="149"/>
  <c r="D30" i="149" s="1"/>
  <c r="G30" i="149"/>
  <c r="F31" i="149" s="1"/>
  <c r="E69" i="146"/>
  <c r="D69" i="146" s="1"/>
  <c r="G69" i="146" s="1"/>
  <c r="F70" i="146" s="1"/>
  <c r="E59" i="150"/>
  <c r="D59" i="150" s="1"/>
  <c r="G59" i="150" s="1"/>
  <c r="F60" i="150" s="1"/>
  <c r="E70" i="149"/>
  <c r="D70" i="149" s="1"/>
  <c r="G70" i="149" s="1"/>
  <c r="F71" i="149" s="1"/>
  <c r="E19" i="150"/>
  <c r="D19" i="150" s="1"/>
  <c r="G19" i="150" s="1"/>
  <c r="F20" i="150" s="1"/>
  <c r="E30" i="147"/>
  <c r="D30" i="147" s="1"/>
  <c r="G30" i="147" s="1"/>
  <c r="F31" i="147" s="1"/>
  <c r="E20" i="151"/>
  <c r="D20" i="151" s="1"/>
  <c r="G20" i="151" s="1"/>
  <c r="F21" i="151" s="1"/>
  <c r="E60" i="151"/>
  <c r="D60" i="151" s="1"/>
  <c r="G60" i="151" s="1"/>
  <c r="F61" i="151" s="1"/>
  <c r="E29" i="146"/>
  <c r="D29" i="146" s="1"/>
  <c r="G29" i="146"/>
  <c r="F30" i="146" s="1"/>
  <c r="E28" i="148"/>
  <c r="D28" i="148" s="1"/>
  <c r="G28" i="148" s="1"/>
  <c r="F29" i="148" s="1"/>
  <c r="E68" i="148"/>
  <c r="D68" i="148" s="1"/>
  <c r="G68" i="148" s="1"/>
  <c r="F69" i="148" s="1"/>
  <c r="E70" i="147"/>
  <c r="D70" i="147" s="1"/>
  <c r="G70" i="147" s="1"/>
  <c r="F71" i="147" s="1"/>
  <c r="I28" i="143"/>
  <c r="E29" i="144"/>
  <c r="D29" i="144" s="1"/>
  <c r="G29" i="144" s="1"/>
  <c r="F30" i="144" s="1"/>
  <c r="E29" i="143"/>
  <c r="D29" i="143" s="1"/>
  <c r="G29" i="143" s="1"/>
  <c r="F30" i="143" s="1"/>
  <c r="H29" i="143"/>
  <c r="D67" i="141"/>
  <c r="G67" i="141" s="1"/>
  <c r="I28" i="141"/>
  <c r="D67" i="140"/>
  <c r="G67" i="140" s="1"/>
  <c r="I27" i="140"/>
  <c r="E28" i="140"/>
  <c r="D28" i="140" s="1"/>
  <c r="G28" i="140" s="1"/>
  <c r="F29" i="140" s="1"/>
  <c r="H28" i="140"/>
  <c r="H29" i="141"/>
  <c r="E29" i="141"/>
  <c r="D29" i="141" s="1"/>
  <c r="G29" i="141" s="1"/>
  <c r="F30" i="141" s="1"/>
  <c r="E32" i="158" l="1"/>
  <c r="D32" i="158" s="1"/>
  <c r="G32" i="158" s="1"/>
  <c r="F33" i="158" s="1"/>
  <c r="E33" i="157"/>
  <c r="D33" i="157" s="1"/>
  <c r="G33" i="157" s="1"/>
  <c r="E21" i="156"/>
  <c r="D21" i="156" s="1"/>
  <c r="G21" i="156" s="1"/>
  <c r="F22" i="156" s="1"/>
  <c r="E61" i="156"/>
  <c r="D61" i="156" s="1"/>
  <c r="G61" i="156" s="1"/>
  <c r="F62" i="156" s="1"/>
  <c r="E20" i="152"/>
  <c r="D20" i="152" s="1"/>
  <c r="G20" i="152" s="1"/>
  <c r="F21" i="152" s="1"/>
  <c r="E20" i="153"/>
  <c r="D20" i="153" s="1"/>
  <c r="G20" i="153" s="1"/>
  <c r="F21" i="153" s="1"/>
  <c r="E69" i="148"/>
  <c r="D69" i="148" s="1"/>
  <c r="G69" i="148" s="1"/>
  <c r="F70" i="148" s="1"/>
  <c r="E71" i="149"/>
  <c r="D71" i="149" s="1"/>
  <c r="G71" i="149" s="1"/>
  <c r="F72" i="149" s="1"/>
  <c r="E70" i="146"/>
  <c r="D70" i="146" s="1"/>
  <c r="G70" i="146" s="1"/>
  <c r="F71" i="146" s="1"/>
  <c r="E71" i="147"/>
  <c r="D71" i="147" s="1"/>
  <c r="G71" i="147"/>
  <c r="F72" i="147" s="1"/>
  <c r="E29" i="148"/>
  <c r="D29" i="148" s="1"/>
  <c r="G29" i="148" s="1"/>
  <c r="F30" i="148" s="1"/>
  <c r="E31" i="147"/>
  <c r="D31" i="147" s="1"/>
  <c r="G31" i="147"/>
  <c r="F32" i="147" s="1"/>
  <c r="E20" i="150"/>
  <c r="D20" i="150" s="1"/>
  <c r="G20" i="150" s="1"/>
  <c r="F21" i="150" s="1"/>
  <c r="E21" i="151"/>
  <c r="D21" i="151" s="1"/>
  <c r="G21" i="151" s="1"/>
  <c r="F22" i="151" s="1"/>
  <c r="E61" i="151"/>
  <c r="D61" i="151" s="1"/>
  <c r="G61" i="151" s="1"/>
  <c r="F62" i="151" s="1"/>
  <c r="E60" i="150"/>
  <c r="D60" i="150" s="1"/>
  <c r="G60" i="150" s="1"/>
  <c r="F61" i="150" s="1"/>
  <c r="E31" i="149"/>
  <c r="D31" i="149" s="1"/>
  <c r="G31" i="149" s="1"/>
  <c r="F32" i="149" s="1"/>
  <c r="E30" i="146"/>
  <c r="D30" i="146" s="1"/>
  <c r="G30" i="146" s="1"/>
  <c r="F31" i="146" s="1"/>
  <c r="I29" i="143"/>
  <c r="E30" i="143"/>
  <c r="D30" i="143" s="1"/>
  <c r="G30" i="143" s="1"/>
  <c r="F31" i="143" s="1"/>
  <c r="H30" i="143"/>
  <c r="E30" i="144"/>
  <c r="D30" i="144" s="1"/>
  <c r="G30" i="144" s="1"/>
  <c r="F31" i="144" s="1"/>
  <c r="H30" i="141"/>
  <c r="E30" i="141"/>
  <c r="D30" i="141" s="1"/>
  <c r="G30" i="141" s="1"/>
  <c r="F31" i="141" s="1"/>
  <c r="E29" i="140"/>
  <c r="D29" i="140" s="1"/>
  <c r="G29" i="140" s="1"/>
  <c r="F30" i="140" s="1"/>
  <c r="H29" i="140"/>
  <c r="I28" i="140"/>
  <c r="I29" i="141"/>
  <c r="E22" i="156" l="1"/>
  <c r="D22" i="156" s="1"/>
  <c r="G22" i="156" s="1"/>
  <c r="F23" i="156" s="1"/>
  <c r="F53" i="157"/>
  <c r="F34" i="157"/>
  <c r="E62" i="156"/>
  <c r="D62" i="156" s="1"/>
  <c r="G62" i="156" s="1"/>
  <c r="F63" i="156" s="1"/>
  <c r="E33" i="158"/>
  <c r="D33" i="158" s="1"/>
  <c r="G33" i="158" s="1"/>
  <c r="E21" i="152"/>
  <c r="D21" i="152" s="1"/>
  <c r="G21" i="152" s="1"/>
  <c r="F22" i="152" s="1"/>
  <c r="E21" i="153"/>
  <c r="D21" i="153" s="1"/>
  <c r="G21" i="153" s="1"/>
  <c r="F22" i="153" s="1"/>
  <c r="E32" i="149"/>
  <c r="D32" i="149" s="1"/>
  <c r="G32" i="149" s="1"/>
  <c r="F33" i="149" s="1"/>
  <c r="E70" i="148"/>
  <c r="D70" i="148" s="1"/>
  <c r="G70" i="148" s="1"/>
  <c r="F71" i="148" s="1"/>
  <c r="E30" i="148"/>
  <c r="D30" i="148" s="1"/>
  <c r="G30" i="148" s="1"/>
  <c r="F31" i="148" s="1"/>
  <c r="E71" i="146"/>
  <c r="D71" i="146" s="1"/>
  <c r="G71" i="146" s="1"/>
  <c r="F72" i="146" s="1"/>
  <c r="G31" i="146"/>
  <c r="F32" i="146" s="1"/>
  <c r="E31" i="146"/>
  <c r="D31" i="146" s="1"/>
  <c r="E72" i="149"/>
  <c r="D72" i="149" s="1"/>
  <c r="G72" i="149" s="1"/>
  <c r="F73" i="149" s="1"/>
  <c r="E22" i="151"/>
  <c r="D22" i="151" s="1"/>
  <c r="G22" i="151" s="1"/>
  <c r="F23" i="151" s="1"/>
  <c r="E72" i="147"/>
  <c r="D72" i="147" s="1"/>
  <c r="G72" i="147" s="1"/>
  <c r="F73" i="147" s="1"/>
  <c r="E62" i="151"/>
  <c r="D62" i="151" s="1"/>
  <c r="G62" i="151" s="1"/>
  <c r="F63" i="151" s="1"/>
  <c r="E61" i="150"/>
  <c r="D61" i="150" s="1"/>
  <c r="G61" i="150" s="1"/>
  <c r="F62" i="150" s="1"/>
  <c r="E21" i="150"/>
  <c r="D21" i="150" s="1"/>
  <c r="G21" i="150" s="1"/>
  <c r="F22" i="150" s="1"/>
  <c r="E32" i="147"/>
  <c r="D32" i="147" s="1"/>
  <c r="G32" i="147" s="1"/>
  <c r="F33" i="147" s="1"/>
  <c r="I30" i="143"/>
  <c r="E31" i="144"/>
  <c r="D31" i="144" s="1"/>
  <c r="G31" i="144" s="1"/>
  <c r="F32" i="144" s="1"/>
  <c r="E31" i="143"/>
  <c r="D31" i="143" s="1"/>
  <c r="G31" i="143" s="1"/>
  <c r="F32" i="143" s="1"/>
  <c r="H31" i="143"/>
  <c r="I30" i="141"/>
  <c r="I29" i="140"/>
  <c r="E30" i="140"/>
  <c r="D30" i="140" s="1"/>
  <c r="G30" i="140" s="1"/>
  <c r="F31" i="140" s="1"/>
  <c r="H30" i="140"/>
  <c r="H31" i="141"/>
  <c r="E31" i="141"/>
  <c r="D31" i="141" s="1"/>
  <c r="G31" i="141" s="1"/>
  <c r="F32" i="141" s="1"/>
  <c r="E63" i="156" l="1"/>
  <c r="D63" i="156" s="1"/>
  <c r="G63" i="156" s="1"/>
  <c r="F64" i="156" s="1"/>
  <c r="F53" i="158"/>
  <c r="F34" i="158"/>
  <c r="E23" i="156"/>
  <c r="D23" i="156" s="1"/>
  <c r="G23" i="156" s="1"/>
  <c r="F24" i="156" s="1"/>
  <c r="E34" i="157"/>
  <c r="D34" i="157" s="1"/>
  <c r="G34" i="157" s="1"/>
  <c r="F35" i="157" s="1"/>
  <c r="E53" i="157"/>
  <c r="D53" i="157" s="1"/>
  <c r="G53" i="157" s="1"/>
  <c r="F54" i="157" s="1"/>
  <c r="E22" i="152"/>
  <c r="D22" i="152" s="1"/>
  <c r="G22" i="152" s="1"/>
  <c r="F23" i="152" s="1"/>
  <c r="E22" i="153"/>
  <c r="D22" i="153" s="1"/>
  <c r="G22" i="153" s="1"/>
  <c r="F23" i="153" s="1"/>
  <c r="E73" i="149"/>
  <c r="D73" i="149" s="1"/>
  <c r="G73" i="149" s="1"/>
  <c r="F74" i="149" s="1"/>
  <c r="E33" i="147"/>
  <c r="D33" i="147" s="1"/>
  <c r="G33" i="147" s="1"/>
  <c r="F34" i="147" s="1"/>
  <c r="E72" i="146"/>
  <c r="D72" i="146" s="1"/>
  <c r="G72" i="146" s="1"/>
  <c r="F73" i="146" s="1"/>
  <c r="E62" i="150"/>
  <c r="D62" i="150" s="1"/>
  <c r="G62" i="150" s="1"/>
  <c r="F63" i="150" s="1"/>
  <c r="G31" i="148"/>
  <c r="F32" i="148" s="1"/>
  <c r="E31" i="148"/>
  <c r="D31" i="148" s="1"/>
  <c r="E23" i="151"/>
  <c r="D23" i="151" s="1"/>
  <c r="G23" i="151" s="1"/>
  <c r="F24" i="151" s="1"/>
  <c r="E71" i="148"/>
  <c r="D71" i="148" s="1"/>
  <c r="G71" i="148"/>
  <c r="F72" i="148" s="1"/>
  <c r="E22" i="150"/>
  <c r="D22" i="150" s="1"/>
  <c r="G22" i="150" s="1"/>
  <c r="F23" i="150" s="1"/>
  <c r="G73" i="147"/>
  <c r="F74" i="147" s="1"/>
  <c r="E73" i="147"/>
  <c r="D73" i="147" s="1"/>
  <c r="E33" i="149"/>
  <c r="D33" i="149" s="1"/>
  <c r="G33" i="149" s="1"/>
  <c r="F34" i="149" s="1"/>
  <c r="E63" i="151"/>
  <c r="D63" i="151" s="1"/>
  <c r="G63" i="151" s="1"/>
  <c r="F64" i="151" s="1"/>
  <c r="E32" i="146"/>
  <c r="D32" i="146" s="1"/>
  <c r="G32" i="146" s="1"/>
  <c r="F33" i="146" s="1"/>
  <c r="I31" i="143"/>
  <c r="E32" i="143"/>
  <c r="D32" i="143" s="1"/>
  <c r="G32" i="143" s="1"/>
  <c r="F33" i="143" s="1"/>
  <c r="H32" i="143"/>
  <c r="E32" i="144"/>
  <c r="D32" i="144" s="1"/>
  <c r="G32" i="144" s="1"/>
  <c r="F33" i="144" s="1"/>
  <c r="H32" i="141"/>
  <c r="E32" i="141"/>
  <c r="D32" i="141" s="1"/>
  <c r="G32" i="141" s="1"/>
  <c r="F33" i="141" s="1"/>
  <c r="E31" i="140"/>
  <c r="D31" i="140" s="1"/>
  <c r="G31" i="140" s="1"/>
  <c r="F32" i="140" s="1"/>
  <c r="H31" i="140"/>
  <c r="I31" i="140" s="1"/>
  <c r="I31" i="141"/>
  <c r="I30" i="140"/>
  <c r="E35" i="157" l="1"/>
  <c r="D35" i="157" s="1"/>
  <c r="G35" i="157" s="1"/>
  <c r="F36" i="157" s="1"/>
  <c r="E24" i="156"/>
  <c r="D24" i="156" s="1"/>
  <c r="G24" i="156" s="1"/>
  <c r="F25" i="156" s="1"/>
  <c r="E54" i="157"/>
  <c r="D54" i="157" s="1"/>
  <c r="G54" i="157" s="1"/>
  <c r="F55" i="157" s="1"/>
  <c r="E64" i="156"/>
  <c r="D64" i="156" s="1"/>
  <c r="G64" i="156" s="1"/>
  <c r="F65" i="156" s="1"/>
  <c r="E34" i="158"/>
  <c r="D34" i="158" s="1"/>
  <c r="G34" i="158" s="1"/>
  <c r="F35" i="158" s="1"/>
  <c r="E53" i="158"/>
  <c r="D53" i="158" s="1"/>
  <c r="G53" i="158" s="1"/>
  <c r="F54" i="158" s="1"/>
  <c r="E23" i="153"/>
  <c r="D23" i="153" s="1"/>
  <c r="G23" i="153" s="1"/>
  <c r="F24" i="153" s="1"/>
  <c r="E23" i="152"/>
  <c r="D23" i="152" s="1"/>
  <c r="G23" i="152" s="1"/>
  <c r="F24" i="152" s="1"/>
  <c r="E63" i="150"/>
  <c r="D63" i="150" s="1"/>
  <c r="G63" i="150" s="1"/>
  <c r="F64" i="150" s="1"/>
  <c r="E33" i="146"/>
  <c r="D33" i="146" s="1"/>
  <c r="G33" i="146" s="1"/>
  <c r="F34" i="146" s="1"/>
  <c r="E34" i="149"/>
  <c r="D34" i="149" s="1"/>
  <c r="G34" i="149"/>
  <c r="F35" i="149" s="1"/>
  <c r="E73" i="146"/>
  <c r="D73" i="146" s="1"/>
  <c r="G73" i="146" s="1"/>
  <c r="F74" i="146" s="1"/>
  <c r="E64" i="151"/>
  <c r="D64" i="151" s="1"/>
  <c r="G64" i="151" s="1"/>
  <c r="F65" i="151" s="1"/>
  <c r="E23" i="150"/>
  <c r="D23" i="150" s="1"/>
  <c r="G23" i="150" s="1"/>
  <c r="F24" i="150" s="1"/>
  <c r="E34" i="147"/>
  <c r="D34" i="147" s="1"/>
  <c r="G34" i="147"/>
  <c r="F35" i="147" s="1"/>
  <c r="E74" i="149"/>
  <c r="D74" i="149" s="1"/>
  <c r="G74" i="149" s="1"/>
  <c r="F75" i="149" s="1"/>
  <c r="E74" i="147"/>
  <c r="D74" i="147" s="1"/>
  <c r="G74" i="147"/>
  <c r="F75" i="147" s="1"/>
  <c r="E32" i="148"/>
  <c r="D32" i="148" s="1"/>
  <c r="G32" i="148" s="1"/>
  <c r="F33" i="148" s="1"/>
  <c r="E72" i="148"/>
  <c r="D72" i="148" s="1"/>
  <c r="G72" i="148" s="1"/>
  <c r="F73" i="148" s="1"/>
  <c r="E24" i="151"/>
  <c r="D24" i="151" s="1"/>
  <c r="G24" i="151" s="1"/>
  <c r="F25" i="151" s="1"/>
  <c r="I32" i="143"/>
  <c r="E33" i="144"/>
  <c r="D33" i="144" s="1"/>
  <c r="G33" i="144" s="1"/>
  <c r="F34" i="144" s="1"/>
  <c r="E33" i="143"/>
  <c r="D33" i="143" s="1"/>
  <c r="G33" i="143" s="1"/>
  <c r="F34" i="143" s="1"/>
  <c r="H33" i="143"/>
  <c r="H33" i="141"/>
  <c r="E33" i="141"/>
  <c r="D33" i="141" s="1"/>
  <c r="G33" i="141" s="1"/>
  <c r="F34" i="141" s="1"/>
  <c r="E32" i="140"/>
  <c r="D32" i="140" s="1"/>
  <c r="G32" i="140" s="1"/>
  <c r="F33" i="140" s="1"/>
  <c r="H32" i="140"/>
  <c r="I32" i="141"/>
  <c r="E55" i="157" l="1"/>
  <c r="D55" i="157" s="1"/>
  <c r="G55" i="157" s="1"/>
  <c r="F56" i="157" s="1"/>
  <c r="E54" i="158"/>
  <c r="D54" i="158" s="1"/>
  <c r="G54" i="158" s="1"/>
  <c r="F55" i="158" s="1"/>
  <c r="E25" i="156"/>
  <c r="D25" i="156" s="1"/>
  <c r="G25" i="156" s="1"/>
  <c r="F26" i="156" s="1"/>
  <c r="E65" i="156"/>
  <c r="D65" i="156" s="1"/>
  <c r="G65" i="156" s="1"/>
  <c r="F66" i="156" s="1"/>
  <c r="E35" i="158"/>
  <c r="D35" i="158" s="1"/>
  <c r="G35" i="158" s="1"/>
  <c r="F36" i="158" s="1"/>
  <c r="E36" i="157"/>
  <c r="D36" i="157" s="1"/>
  <c r="G36" i="157" s="1"/>
  <c r="F37" i="157" s="1"/>
  <c r="E24" i="153"/>
  <c r="D24" i="153" s="1"/>
  <c r="G24" i="153" s="1"/>
  <c r="F25" i="153" s="1"/>
  <c r="E24" i="152"/>
  <c r="D24" i="152" s="1"/>
  <c r="G24" i="152" s="1"/>
  <c r="F25" i="152" s="1"/>
  <c r="E25" i="151"/>
  <c r="D25" i="151" s="1"/>
  <c r="G25" i="151" s="1"/>
  <c r="F26" i="151" s="1"/>
  <c r="E74" i="146"/>
  <c r="D74" i="146" s="1"/>
  <c r="G74" i="146" s="1"/>
  <c r="F75" i="146" s="1"/>
  <c r="E24" i="150"/>
  <c r="D24" i="150" s="1"/>
  <c r="G24" i="150" s="1"/>
  <c r="F25" i="150" s="1"/>
  <c r="E33" i="148"/>
  <c r="D33" i="148" s="1"/>
  <c r="G33" i="148" s="1"/>
  <c r="F34" i="148" s="1"/>
  <c r="E73" i="148"/>
  <c r="D73" i="148" s="1"/>
  <c r="G73" i="148" s="1"/>
  <c r="F74" i="148" s="1"/>
  <c r="E75" i="149"/>
  <c r="D75" i="149" s="1"/>
  <c r="G75" i="149" s="1"/>
  <c r="F76" i="149" s="1"/>
  <c r="E34" i="146"/>
  <c r="D34" i="146" s="1"/>
  <c r="G34" i="146" s="1"/>
  <c r="F35" i="146" s="1"/>
  <c r="E64" i="150"/>
  <c r="D64" i="150" s="1"/>
  <c r="G64" i="150" s="1"/>
  <c r="F65" i="150" s="1"/>
  <c r="E75" i="147"/>
  <c r="D75" i="147" s="1"/>
  <c r="G75" i="147" s="1"/>
  <c r="F76" i="147" s="1"/>
  <c r="E65" i="151"/>
  <c r="D65" i="151" s="1"/>
  <c r="G65" i="151" s="1"/>
  <c r="F66" i="151" s="1"/>
  <c r="E35" i="147"/>
  <c r="D35" i="147" s="1"/>
  <c r="G35" i="147" s="1"/>
  <c r="F36" i="147" s="1"/>
  <c r="E35" i="149"/>
  <c r="D35" i="149" s="1"/>
  <c r="G35" i="149" s="1"/>
  <c r="F36" i="149" s="1"/>
  <c r="E34" i="143"/>
  <c r="D34" i="143" s="1"/>
  <c r="G34" i="143" s="1"/>
  <c r="F35" i="143" s="1"/>
  <c r="E34" i="144"/>
  <c r="D34" i="144" s="1"/>
  <c r="G34" i="144" s="1"/>
  <c r="F35" i="144" s="1"/>
  <c r="I33" i="143"/>
  <c r="E34" i="141"/>
  <c r="D34" i="141" s="1"/>
  <c r="G34" i="141" s="1"/>
  <c r="F35" i="141" s="1"/>
  <c r="E33" i="140"/>
  <c r="D33" i="140" s="1"/>
  <c r="G33" i="140" s="1"/>
  <c r="F34" i="140" s="1"/>
  <c r="H33" i="140"/>
  <c r="I32" i="140"/>
  <c r="I33" i="141"/>
  <c r="E26" i="156" l="1"/>
  <c r="D26" i="156" s="1"/>
  <c r="G26" i="156" s="1"/>
  <c r="F27" i="156" s="1"/>
  <c r="E36" i="158"/>
  <c r="D36" i="158" s="1"/>
  <c r="G36" i="158" s="1"/>
  <c r="F37" i="158" s="1"/>
  <c r="E55" i="158"/>
  <c r="D55" i="158" s="1"/>
  <c r="G55" i="158" s="1"/>
  <c r="F56" i="158" s="1"/>
  <c r="E37" i="157"/>
  <c r="D37" i="157" s="1"/>
  <c r="G37" i="157" s="1"/>
  <c r="F38" i="157" s="1"/>
  <c r="E56" i="157"/>
  <c r="D56" i="157" s="1"/>
  <c r="G56" i="157" s="1"/>
  <c r="F57" i="157" s="1"/>
  <c r="E66" i="156"/>
  <c r="D66" i="156" s="1"/>
  <c r="G66" i="156" s="1"/>
  <c r="F67" i="156" s="1"/>
  <c r="E25" i="153"/>
  <c r="D25" i="153" s="1"/>
  <c r="G25" i="153" s="1"/>
  <c r="F26" i="153" s="1"/>
  <c r="E25" i="152"/>
  <c r="D25" i="152" s="1"/>
  <c r="G25" i="152" s="1"/>
  <c r="F26" i="152" s="1"/>
  <c r="E35" i="146"/>
  <c r="D35" i="146" s="1"/>
  <c r="G35" i="146" s="1"/>
  <c r="F36" i="146" s="1"/>
  <c r="E76" i="149"/>
  <c r="D76" i="149" s="1"/>
  <c r="G76" i="149" s="1"/>
  <c r="F77" i="149" s="1"/>
  <c r="E25" i="150"/>
  <c r="D25" i="150" s="1"/>
  <c r="G25" i="150" s="1"/>
  <c r="F26" i="150" s="1"/>
  <c r="E65" i="150"/>
  <c r="D65" i="150" s="1"/>
  <c r="G65" i="150" s="1"/>
  <c r="F66" i="150" s="1"/>
  <c r="E74" i="148"/>
  <c r="D74" i="148" s="1"/>
  <c r="G74" i="148" s="1"/>
  <c r="F75" i="148" s="1"/>
  <c r="E34" i="148"/>
  <c r="D34" i="148" s="1"/>
  <c r="G34" i="148" s="1"/>
  <c r="F35" i="148" s="1"/>
  <c r="E66" i="151"/>
  <c r="D66" i="151" s="1"/>
  <c r="G66" i="151" s="1"/>
  <c r="F67" i="151" s="1"/>
  <c r="E75" i="146"/>
  <c r="D75" i="146" s="1"/>
  <c r="G75" i="146" s="1"/>
  <c r="F76" i="146" s="1"/>
  <c r="E36" i="149"/>
  <c r="D36" i="149" s="1"/>
  <c r="G36" i="149" s="1"/>
  <c r="F37" i="149" s="1"/>
  <c r="E36" i="147"/>
  <c r="D36" i="147" s="1"/>
  <c r="G36" i="147" s="1"/>
  <c r="F37" i="147" s="1"/>
  <c r="E76" i="147"/>
  <c r="D76" i="147" s="1"/>
  <c r="G76" i="147" s="1"/>
  <c r="F77" i="147" s="1"/>
  <c r="E26" i="151"/>
  <c r="D26" i="151" s="1"/>
  <c r="G26" i="151" s="1"/>
  <c r="F27" i="151" s="1"/>
  <c r="E35" i="144"/>
  <c r="D35" i="144" s="1"/>
  <c r="G35" i="144" s="1"/>
  <c r="F36" i="144" s="1"/>
  <c r="E35" i="143"/>
  <c r="D35" i="143" s="1"/>
  <c r="G35" i="143" s="1"/>
  <c r="F36" i="143" s="1"/>
  <c r="E34" i="140"/>
  <c r="D34" i="140" s="1"/>
  <c r="G34" i="140" s="1"/>
  <c r="F35" i="140" s="1"/>
  <c r="E35" i="141"/>
  <c r="D35" i="141" s="1"/>
  <c r="G35" i="141" s="1"/>
  <c r="F36" i="141" s="1"/>
  <c r="I33" i="140"/>
  <c r="E38" i="157" l="1"/>
  <c r="D38" i="157" s="1"/>
  <c r="G38" i="157" s="1"/>
  <c r="F39" i="157" s="1"/>
  <c r="E67" i="156"/>
  <c r="D67" i="156" s="1"/>
  <c r="G67" i="156" s="1"/>
  <c r="F68" i="156" s="1"/>
  <c r="E57" i="157"/>
  <c r="D57" i="157" s="1"/>
  <c r="G57" i="157" s="1"/>
  <c r="F58" i="157" s="1"/>
  <c r="E37" i="158"/>
  <c r="D37" i="158" s="1"/>
  <c r="G37" i="158" s="1"/>
  <c r="F38" i="158" s="1"/>
  <c r="E56" i="158"/>
  <c r="D56" i="158" s="1"/>
  <c r="G56" i="158" s="1"/>
  <c r="F57" i="158" s="1"/>
  <c r="E27" i="156"/>
  <c r="D27" i="156" s="1"/>
  <c r="G27" i="156" s="1"/>
  <c r="F28" i="156" s="1"/>
  <c r="E26" i="153"/>
  <c r="D26" i="153" s="1"/>
  <c r="G26" i="153" s="1"/>
  <c r="F27" i="153" s="1"/>
  <c r="E26" i="152"/>
  <c r="D26" i="152" s="1"/>
  <c r="G26" i="152" s="1"/>
  <c r="F27" i="152" s="1"/>
  <c r="E76" i="146"/>
  <c r="D76" i="146" s="1"/>
  <c r="G76" i="146" s="1"/>
  <c r="F77" i="146" s="1"/>
  <c r="E67" i="151"/>
  <c r="D67" i="151" s="1"/>
  <c r="G67" i="151" s="1"/>
  <c r="F68" i="151" s="1"/>
  <c r="E35" i="148"/>
  <c r="D35" i="148" s="1"/>
  <c r="G35" i="148" s="1"/>
  <c r="F36" i="148" s="1"/>
  <c r="E75" i="148"/>
  <c r="D75" i="148" s="1"/>
  <c r="G75" i="148" s="1"/>
  <c r="F76" i="148" s="1"/>
  <c r="E66" i="150"/>
  <c r="D66" i="150" s="1"/>
  <c r="G66" i="150" s="1"/>
  <c r="F67" i="150" s="1"/>
  <c r="E26" i="150"/>
  <c r="D26" i="150" s="1"/>
  <c r="G26" i="150" s="1"/>
  <c r="F27" i="150" s="1"/>
  <c r="E27" i="151"/>
  <c r="D27" i="151" s="1"/>
  <c r="G27" i="151" s="1"/>
  <c r="F28" i="151" s="1"/>
  <c r="E37" i="147"/>
  <c r="D37" i="147" s="1"/>
  <c r="G37" i="147" s="1"/>
  <c r="F38" i="147" s="1"/>
  <c r="E77" i="149"/>
  <c r="D77" i="149" s="1"/>
  <c r="G77" i="149"/>
  <c r="F78" i="149" s="1"/>
  <c r="E77" i="147"/>
  <c r="D77" i="147" s="1"/>
  <c r="G77" i="147"/>
  <c r="F78" i="147" s="1"/>
  <c r="E37" i="149"/>
  <c r="D37" i="149" s="1"/>
  <c r="G37" i="149" s="1"/>
  <c r="F38" i="149" s="1"/>
  <c r="E36" i="146"/>
  <c r="D36" i="146" s="1"/>
  <c r="G36" i="146" s="1"/>
  <c r="F37" i="146" s="1"/>
  <c r="E36" i="143"/>
  <c r="D36" i="143" s="1"/>
  <c r="G36" i="143" s="1"/>
  <c r="F37" i="143" s="1"/>
  <c r="E36" i="144"/>
  <c r="D36" i="144" s="1"/>
  <c r="G36" i="144" s="1"/>
  <c r="F37" i="144" s="1"/>
  <c r="E36" i="141"/>
  <c r="D36" i="141" s="1"/>
  <c r="G36" i="141" s="1"/>
  <c r="F37" i="141" s="1"/>
  <c r="E35" i="140"/>
  <c r="D35" i="140" s="1"/>
  <c r="G35" i="140" s="1"/>
  <c r="F36" i="140" s="1"/>
  <c r="E38" i="158" l="1"/>
  <c r="D38" i="158" s="1"/>
  <c r="G38" i="158" s="1"/>
  <c r="F39" i="158" s="1"/>
  <c r="E58" i="157"/>
  <c r="D58" i="157" s="1"/>
  <c r="G58" i="157" s="1"/>
  <c r="F59" i="157" s="1"/>
  <c r="E28" i="156"/>
  <c r="D28" i="156" s="1"/>
  <c r="G28" i="156" s="1"/>
  <c r="F29" i="156" s="1"/>
  <c r="E68" i="156"/>
  <c r="D68" i="156" s="1"/>
  <c r="G68" i="156" s="1"/>
  <c r="F69" i="156" s="1"/>
  <c r="E39" i="157"/>
  <c r="D39" i="157" s="1"/>
  <c r="G39" i="157" s="1"/>
  <c r="F40" i="157" s="1"/>
  <c r="E57" i="158"/>
  <c r="D57" i="158" s="1"/>
  <c r="G57" i="158" s="1"/>
  <c r="F58" i="158" s="1"/>
  <c r="E27" i="153"/>
  <c r="D27" i="153" s="1"/>
  <c r="G27" i="153" s="1"/>
  <c r="F28" i="153" s="1"/>
  <c r="E27" i="152"/>
  <c r="D27" i="152" s="1"/>
  <c r="G27" i="152" s="1"/>
  <c r="F28" i="152" s="1"/>
  <c r="E27" i="150"/>
  <c r="D27" i="150" s="1"/>
  <c r="G27" i="150" s="1"/>
  <c r="F28" i="150" s="1"/>
  <c r="E37" i="146"/>
  <c r="D37" i="146" s="1"/>
  <c r="G37" i="146" s="1"/>
  <c r="F38" i="146" s="1"/>
  <c r="E67" i="150"/>
  <c r="D67" i="150" s="1"/>
  <c r="G67" i="150" s="1"/>
  <c r="F68" i="150" s="1"/>
  <c r="E76" i="148"/>
  <c r="D76" i="148" s="1"/>
  <c r="G76" i="148" s="1"/>
  <c r="F77" i="148" s="1"/>
  <c r="E38" i="149"/>
  <c r="D38" i="149" s="1"/>
  <c r="G38" i="149"/>
  <c r="F39" i="149" s="1"/>
  <c r="E36" i="148"/>
  <c r="D36" i="148" s="1"/>
  <c r="G36" i="148" s="1"/>
  <c r="F37" i="148" s="1"/>
  <c r="E68" i="151"/>
  <c r="D68" i="151" s="1"/>
  <c r="G68" i="151" s="1"/>
  <c r="F69" i="151" s="1"/>
  <c r="E38" i="147"/>
  <c r="D38" i="147" s="1"/>
  <c r="G38" i="147" s="1"/>
  <c r="F39" i="147" s="1"/>
  <c r="E77" i="146"/>
  <c r="D77" i="146" s="1"/>
  <c r="G77" i="146" s="1"/>
  <c r="F78" i="146" s="1"/>
  <c r="E28" i="151"/>
  <c r="D28" i="151" s="1"/>
  <c r="G28" i="151" s="1"/>
  <c r="F29" i="151" s="1"/>
  <c r="E78" i="147"/>
  <c r="D78" i="147" s="1"/>
  <c r="G78" i="147" s="1"/>
  <c r="F79" i="147" s="1"/>
  <c r="E78" i="149"/>
  <c r="D78" i="149" s="1"/>
  <c r="G78" i="149" s="1"/>
  <c r="F79" i="149" s="1"/>
  <c r="E37" i="144"/>
  <c r="D37" i="144" s="1"/>
  <c r="G37" i="144" s="1"/>
  <c r="F38" i="144" s="1"/>
  <c r="E37" i="143"/>
  <c r="D37" i="143" s="1"/>
  <c r="G37" i="143" s="1"/>
  <c r="F38" i="143" s="1"/>
  <c r="E36" i="140"/>
  <c r="D36" i="140" s="1"/>
  <c r="G36" i="140" s="1"/>
  <c r="F37" i="140" s="1"/>
  <c r="E37" i="141"/>
  <c r="D37" i="141" s="1"/>
  <c r="G37" i="141" s="1"/>
  <c r="F38" i="141" s="1"/>
  <c r="E29" i="156" l="1"/>
  <c r="D29" i="156" s="1"/>
  <c r="G29" i="156" s="1"/>
  <c r="F30" i="156" s="1"/>
  <c r="E40" i="157"/>
  <c r="D40" i="157" s="1"/>
  <c r="G40" i="157" s="1"/>
  <c r="F41" i="157" s="1"/>
  <c r="E59" i="157"/>
  <c r="D59" i="157" s="1"/>
  <c r="G59" i="157" s="1"/>
  <c r="F60" i="157" s="1"/>
  <c r="E58" i="158"/>
  <c r="D58" i="158" s="1"/>
  <c r="G58" i="158" s="1"/>
  <c r="F59" i="158" s="1"/>
  <c r="E69" i="156"/>
  <c r="D69" i="156" s="1"/>
  <c r="G69" i="156" s="1"/>
  <c r="F70" i="156" s="1"/>
  <c r="E39" i="158"/>
  <c r="D39" i="158" s="1"/>
  <c r="G39" i="158" s="1"/>
  <c r="F40" i="158" s="1"/>
  <c r="E28" i="153"/>
  <c r="D28" i="153" s="1"/>
  <c r="G28" i="153" s="1"/>
  <c r="F29" i="153" s="1"/>
  <c r="E28" i="152"/>
  <c r="D28" i="152" s="1"/>
  <c r="G28" i="152" s="1"/>
  <c r="F29" i="152" s="1"/>
  <c r="E79" i="149"/>
  <c r="D79" i="149" s="1"/>
  <c r="G79" i="149" s="1"/>
  <c r="F80" i="149" s="1"/>
  <c r="E69" i="151"/>
  <c r="D69" i="151" s="1"/>
  <c r="G69" i="151" s="1"/>
  <c r="F70" i="151" s="1"/>
  <c r="E77" i="148"/>
  <c r="D77" i="148" s="1"/>
  <c r="G77" i="148" s="1"/>
  <c r="F78" i="148" s="1"/>
  <c r="E68" i="150"/>
  <c r="D68" i="150" s="1"/>
  <c r="G68" i="150" s="1"/>
  <c r="F69" i="150" s="1"/>
  <c r="E37" i="148"/>
  <c r="D37" i="148" s="1"/>
  <c r="G37" i="148"/>
  <c r="F38" i="148" s="1"/>
  <c r="E78" i="146"/>
  <c r="D78" i="146" s="1"/>
  <c r="G78" i="146" s="1"/>
  <c r="F79" i="146" s="1"/>
  <c r="E79" i="147"/>
  <c r="D79" i="147" s="1"/>
  <c r="G79" i="147" s="1"/>
  <c r="F80" i="147" s="1"/>
  <c r="E29" i="151"/>
  <c r="D29" i="151" s="1"/>
  <c r="G29" i="151" s="1"/>
  <c r="F30" i="151" s="1"/>
  <c r="E38" i="146"/>
  <c r="D38" i="146" s="1"/>
  <c r="G38" i="146" s="1"/>
  <c r="F39" i="146" s="1"/>
  <c r="E39" i="147"/>
  <c r="D39" i="147" s="1"/>
  <c r="G39" i="147"/>
  <c r="F40" i="147" s="1"/>
  <c r="E28" i="150"/>
  <c r="D28" i="150" s="1"/>
  <c r="G28" i="150" s="1"/>
  <c r="F29" i="150" s="1"/>
  <c r="E39" i="149"/>
  <c r="D39" i="149" s="1"/>
  <c r="G39" i="149" s="1"/>
  <c r="F40" i="149" s="1"/>
  <c r="E38" i="143"/>
  <c r="D38" i="143" s="1"/>
  <c r="G38" i="143" s="1"/>
  <c r="F39" i="143" s="1"/>
  <c r="E38" i="144"/>
  <c r="D38" i="144" s="1"/>
  <c r="G38" i="144" s="1"/>
  <c r="F39" i="144" s="1"/>
  <c r="E38" i="141"/>
  <c r="D38" i="141" s="1"/>
  <c r="G38" i="141" s="1"/>
  <c r="F39" i="141" s="1"/>
  <c r="E37" i="140"/>
  <c r="D37" i="140" s="1"/>
  <c r="G37" i="140" s="1"/>
  <c r="F38" i="140" s="1"/>
  <c r="E59" i="158" l="1"/>
  <c r="D59" i="158" s="1"/>
  <c r="G59" i="158" s="1"/>
  <c r="F60" i="158" s="1"/>
  <c r="E60" i="157"/>
  <c r="D60" i="157" s="1"/>
  <c r="G60" i="157" s="1"/>
  <c r="F61" i="157" s="1"/>
  <c r="E41" i="157"/>
  <c r="D41" i="157" s="1"/>
  <c r="G41" i="157" s="1"/>
  <c r="F42" i="157" s="1"/>
  <c r="E30" i="156"/>
  <c r="D30" i="156" s="1"/>
  <c r="G30" i="156" s="1"/>
  <c r="F31" i="156" s="1"/>
  <c r="E70" i="156"/>
  <c r="D70" i="156" s="1"/>
  <c r="G70" i="156" s="1"/>
  <c r="F71" i="156" s="1"/>
  <c r="E40" i="158"/>
  <c r="D40" i="158" s="1"/>
  <c r="G40" i="158" s="1"/>
  <c r="F41" i="158" s="1"/>
  <c r="E29" i="153"/>
  <c r="D29" i="153" s="1"/>
  <c r="G29" i="153" s="1"/>
  <c r="F30" i="153" s="1"/>
  <c r="E29" i="152"/>
  <c r="D29" i="152" s="1"/>
  <c r="G29" i="152" s="1"/>
  <c r="F30" i="152" s="1"/>
  <c r="G79" i="146"/>
  <c r="F80" i="146" s="1"/>
  <c r="E79" i="146"/>
  <c r="D79" i="146" s="1"/>
  <c r="E80" i="147"/>
  <c r="D80" i="147" s="1"/>
  <c r="G80" i="147" s="1"/>
  <c r="F81" i="147" s="1"/>
  <c r="E80" i="149"/>
  <c r="D80" i="149" s="1"/>
  <c r="G80" i="149" s="1"/>
  <c r="F81" i="149" s="1"/>
  <c r="E29" i="150"/>
  <c r="D29" i="150" s="1"/>
  <c r="G29" i="150" s="1"/>
  <c r="F30" i="150" s="1"/>
  <c r="G78" i="148"/>
  <c r="F79" i="148" s="1"/>
  <c r="E78" i="148"/>
  <c r="D78" i="148" s="1"/>
  <c r="E30" i="151"/>
  <c r="D30" i="151" s="1"/>
  <c r="G30" i="151" s="1"/>
  <c r="F31" i="151" s="1"/>
  <c r="E40" i="149"/>
  <c r="D40" i="149" s="1"/>
  <c r="G40" i="149" s="1"/>
  <c r="F41" i="149" s="1"/>
  <c r="E69" i="150"/>
  <c r="D69" i="150" s="1"/>
  <c r="G69" i="150" s="1"/>
  <c r="F70" i="150" s="1"/>
  <c r="G39" i="146"/>
  <c r="F40" i="146" s="1"/>
  <c r="E39" i="146"/>
  <c r="D39" i="146" s="1"/>
  <c r="E70" i="151"/>
  <c r="D70" i="151" s="1"/>
  <c r="G70" i="151" s="1"/>
  <c r="F71" i="151" s="1"/>
  <c r="G40" i="147"/>
  <c r="F41" i="147" s="1"/>
  <c r="E40" i="147"/>
  <c r="D40" i="147" s="1"/>
  <c r="E38" i="148"/>
  <c r="D38" i="148" s="1"/>
  <c r="G38" i="148" s="1"/>
  <c r="F39" i="148" s="1"/>
  <c r="E39" i="144"/>
  <c r="D39" i="144" s="1"/>
  <c r="G39" i="144" s="1"/>
  <c r="F40" i="144" s="1"/>
  <c r="G40" i="144" s="1"/>
  <c r="E39" i="143"/>
  <c r="D39" i="143" s="1"/>
  <c r="G39" i="143" s="1"/>
  <c r="F40" i="143" s="1"/>
  <c r="G40" i="143" s="1"/>
  <c r="E39" i="141"/>
  <c r="D39" i="141" s="1"/>
  <c r="G39" i="141" s="1"/>
  <c r="F40" i="141" s="1"/>
  <c r="G40" i="141" s="1"/>
  <c r="E38" i="140"/>
  <c r="D38" i="140" s="1"/>
  <c r="G38" i="140" s="1"/>
  <c r="F39" i="140" s="1"/>
  <c r="E41" i="158" l="1"/>
  <c r="D41" i="158" s="1"/>
  <c r="G41" i="158" s="1"/>
  <c r="F42" i="158" s="1"/>
  <c r="E42" i="157"/>
  <c r="D42" i="157" s="1"/>
  <c r="G42" i="157" s="1"/>
  <c r="F43" i="157" s="1"/>
  <c r="E71" i="156"/>
  <c r="D71" i="156" s="1"/>
  <c r="G71" i="156" s="1"/>
  <c r="F72" i="156" s="1"/>
  <c r="E61" i="157"/>
  <c r="D61" i="157" s="1"/>
  <c r="G61" i="157" s="1"/>
  <c r="F62" i="157" s="1"/>
  <c r="E31" i="156"/>
  <c r="D31" i="156" s="1"/>
  <c r="G31" i="156" s="1"/>
  <c r="F32" i="156" s="1"/>
  <c r="E60" i="158"/>
  <c r="D60" i="158" s="1"/>
  <c r="G60" i="158" s="1"/>
  <c r="F61" i="158" s="1"/>
  <c r="E30" i="153"/>
  <c r="D30" i="153" s="1"/>
  <c r="G30" i="153" s="1"/>
  <c r="F31" i="153" s="1"/>
  <c r="E30" i="152"/>
  <c r="D30" i="152" s="1"/>
  <c r="G30" i="152" s="1"/>
  <c r="F31" i="152" s="1"/>
  <c r="E31" i="151"/>
  <c r="D31" i="151" s="1"/>
  <c r="G31" i="151" s="1"/>
  <c r="F32" i="151" s="1"/>
  <c r="E39" i="148"/>
  <c r="D39" i="148" s="1"/>
  <c r="G39" i="148" s="1"/>
  <c r="F40" i="148" s="1"/>
  <c r="E30" i="150"/>
  <c r="D30" i="150" s="1"/>
  <c r="G30" i="150" s="1"/>
  <c r="F31" i="150" s="1"/>
  <c r="E71" i="151"/>
  <c r="D71" i="151" s="1"/>
  <c r="G71" i="151" s="1"/>
  <c r="F72" i="151" s="1"/>
  <c r="G41" i="149"/>
  <c r="F42" i="149" s="1"/>
  <c r="E41" i="149"/>
  <c r="D41" i="149" s="1"/>
  <c r="E81" i="149"/>
  <c r="D81" i="149" s="1"/>
  <c r="G81" i="149"/>
  <c r="F82" i="149" s="1"/>
  <c r="G81" i="147"/>
  <c r="F82" i="147" s="1"/>
  <c r="E81" i="147"/>
  <c r="D81" i="147" s="1"/>
  <c r="E70" i="150"/>
  <c r="D70" i="150" s="1"/>
  <c r="G70" i="150" s="1"/>
  <c r="F71" i="150" s="1"/>
  <c r="E80" i="146"/>
  <c r="D80" i="146" s="1"/>
  <c r="G80" i="146" s="1"/>
  <c r="F81" i="146" s="1"/>
  <c r="E40" i="146"/>
  <c r="D40" i="146" s="1"/>
  <c r="G40" i="146" s="1"/>
  <c r="F41" i="146" s="1"/>
  <c r="E79" i="148"/>
  <c r="D79" i="148" s="1"/>
  <c r="G79" i="148" s="1"/>
  <c r="F80" i="148" s="1"/>
  <c r="E41" i="147"/>
  <c r="D41" i="147" s="1"/>
  <c r="G41" i="147" s="1"/>
  <c r="F42" i="147" s="1"/>
  <c r="E39" i="140"/>
  <c r="D39" i="140" s="1"/>
  <c r="G39" i="140" s="1"/>
  <c r="F40" i="140" s="1"/>
  <c r="G40" i="140" s="1"/>
  <c r="E72" i="156" l="1"/>
  <c r="D72" i="156" s="1"/>
  <c r="G72" i="156" s="1"/>
  <c r="F73" i="156" s="1"/>
  <c r="E62" i="157"/>
  <c r="D62" i="157" s="1"/>
  <c r="G62" i="157" s="1"/>
  <c r="F63" i="157" s="1"/>
  <c r="E32" i="156"/>
  <c r="D32" i="156" s="1"/>
  <c r="G32" i="156" s="1"/>
  <c r="F33" i="156" s="1"/>
  <c r="E61" i="158"/>
  <c r="D61" i="158" s="1"/>
  <c r="G61" i="158" s="1"/>
  <c r="F62" i="158" s="1"/>
  <c r="E42" i="158"/>
  <c r="D42" i="158" s="1"/>
  <c r="G42" i="158" s="1"/>
  <c r="F43" i="158" s="1"/>
  <c r="E43" i="157"/>
  <c r="D43" i="157" s="1"/>
  <c r="G43" i="157"/>
  <c r="F44" i="157" s="1"/>
  <c r="E31" i="153"/>
  <c r="D31" i="153" s="1"/>
  <c r="G31" i="153" s="1"/>
  <c r="F32" i="153" s="1"/>
  <c r="E31" i="152"/>
  <c r="D31" i="152" s="1"/>
  <c r="G31" i="152" s="1"/>
  <c r="F32" i="152" s="1"/>
  <c r="E42" i="147"/>
  <c r="D42" i="147" s="1"/>
  <c r="G42" i="147" s="1"/>
  <c r="F43" i="147" s="1"/>
  <c r="E41" i="146"/>
  <c r="D41" i="146" s="1"/>
  <c r="G41" i="146"/>
  <c r="F42" i="146" s="1"/>
  <c r="E32" i="151"/>
  <c r="D32" i="151" s="1"/>
  <c r="G32" i="151" s="1"/>
  <c r="F33" i="151" s="1"/>
  <c r="E81" i="146"/>
  <c r="D81" i="146" s="1"/>
  <c r="G81" i="146" s="1"/>
  <c r="F82" i="146" s="1"/>
  <c r="E71" i="150"/>
  <c r="D71" i="150" s="1"/>
  <c r="G71" i="150" s="1"/>
  <c r="F72" i="150" s="1"/>
  <c r="E31" i="150"/>
  <c r="D31" i="150" s="1"/>
  <c r="G31" i="150" s="1"/>
  <c r="F32" i="150" s="1"/>
  <c r="E80" i="148"/>
  <c r="D80" i="148" s="1"/>
  <c r="G80" i="148" s="1"/>
  <c r="F81" i="148" s="1"/>
  <c r="E72" i="151"/>
  <c r="D72" i="151" s="1"/>
  <c r="G72" i="151" s="1"/>
  <c r="F73" i="151" s="1"/>
  <c r="E40" i="148"/>
  <c r="D40" i="148" s="1"/>
  <c r="G40" i="148" s="1"/>
  <c r="F41" i="148" s="1"/>
  <c r="E42" i="149"/>
  <c r="D42" i="149" s="1"/>
  <c r="G42" i="149"/>
  <c r="F43" i="149" s="1"/>
  <c r="E82" i="147"/>
  <c r="D82" i="147" s="1"/>
  <c r="G82" i="147" s="1"/>
  <c r="F83" i="147" s="1"/>
  <c r="E82" i="149"/>
  <c r="D82" i="149" s="1"/>
  <c r="G82" i="149" s="1"/>
  <c r="F83" i="149" s="1"/>
  <c r="F40" i="137"/>
  <c r="B40" i="137"/>
  <c r="F40" i="138"/>
  <c r="B40" i="138"/>
  <c r="H2" i="138"/>
  <c r="C56" i="138" s="1"/>
  <c r="B63" i="138"/>
  <c r="B62" i="138"/>
  <c r="B61" i="138"/>
  <c r="B60" i="138"/>
  <c r="B59" i="138"/>
  <c r="B58" i="138"/>
  <c r="B57" i="138"/>
  <c r="B56" i="138"/>
  <c r="B55" i="138"/>
  <c r="B54" i="138"/>
  <c r="B53" i="138"/>
  <c r="B52" i="138"/>
  <c r="E2" i="138"/>
  <c r="C40" i="138" s="1"/>
  <c r="B41" i="138"/>
  <c r="B42" i="138"/>
  <c r="B43" i="138"/>
  <c r="B44" i="138"/>
  <c r="B45" i="138"/>
  <c r="B46" i="138"/>
  <c r="B47" i="138"/>
  <c r="B48" i="138"/>
  <c r="B49" i="138"/>
  <c r="B50" i="138"/>
  <c r="B51" i="138"/>
  <c r="H2" i="137"/>
  <c r="C55" i="137" s="1"/>
  <c r="B63" i="137"/>
  <c r="B62" i="137"/>
  <c r="B61" i="137"/>
  <c r="B60" i="137"/>
  <c r="B59" i="137"/>
  <c r="B58" i="137"/>
  <c r="B57" i="137"/>
  <c r="B56" i="137"/>
  <c r="B55" i="137"/>
  <c r="B54" i="137"/>
  <c r="B53" i="137"/>
  <c r="B52" i="137"/>
  <c r="C50" i="137"/>
  <c r="E2" i="137"/>
  <c r="C46" i="137" s="1"/>
  <c r="B41" i="137"/>
  <c r="B42" i="137"/>
  <c r="B43" i="137"/>
  <c r="B44" i="137"/>
  <c r="B45" i="137"/>
  <c r="B46" i="137"/>
  <c r="B47" i="137"/>
  <c r="B48" i="137"/>
  <c r="B49" i="137"/>
  <c r="B50" i="137"/>
  <c r="B51" i="137"/>
  <c r="B39" i="138"/>
  <c r="B38" i="138"/>
  <c r="B37" i="138"/>
  <c r="B36" i="138"/>
  <c r="B35" i="138"/>
  <c r="B34" i="138"/>
  <c r="B33" i="138"/>
  <c r="B32" i="138"/>
  <c r="B31" i="138"/>
  <c r="B30" i="138"/>
  <c r="B29" i="138"/>
  <c r="B28" i="138"/>
  <c r="B27" i="138"/>
  <c r="B26" i="138"/>
  <c r="B25" i="138"/>
  <c r="B24" i="138"/>
  <c r="B23" i="138"/>
  <c r="B22" i="138"/>
  <c r="B21" i="138"/>
  <c r="B20" i="138"/>
  <c r="B19" i="138"/>
  <c r="B18" i="138"/>
  <c r="B17" i="138"/>
  <c r="B16" i="138"/>
  <c r="B15" i="138"/>
  <c r="B14" i="138"/>
  <c r="B13" i="138"/>
  <c r="B12" i="138"/>
  <c r="B11" i="138"/>
  <c r="B10" i="138"/>
  <c r="B9" i="138"/>
  <c r="B8" i="138"/>
  <c r="B7" i="138"/>
  <c r="B6" i="138"/>
  <c r="B5" i="138"/>
  <c r="B4" i="138"/>
  <c r="H4" i="138" s="1"/>
  <c r="C2" i="138"/>
  <c r="C4" i="138" s="1"/>
  <c r="B39" i="137"/>
  <c r="B38" i="137"/>
  <c r="B37" i="137"/>
  <c r="B36" i="137"/>
  <c r="B35" i="137"/>
  <c r="B34" i="137"/>
  <c r="B33" i="137"/>
  <c r="B32" i="137"/>
  <c r="B31" i="137"/>
  <c r="B30" i="137"/>
  <c r="B29" i="137"/>
  <c r="B28" i="137"/>
  <c r="B27" i="137"/>
  <c r="B26" i="137"/>
  <c r="B25" i="137"/>
  <c r="B24" i="137"/>
  <c r="B23" i="137"/>
  <c r="B22" i="137"/>
  <c r="B21" i="137"/>
  <c r="B20" i="137"/>
  <c r="B19" i="137"/>
  <c r="B18" i="137"/>
  <c r="B17" i="137"/>
  <c r="B16" i="137"/>
  <c r="B15" i="137"/>
  <c r="B14" i="137"/>
  <c r="B13" i="137"/>
  <c r="B12" i="137"/>
  <c r="B11" i="137"/>
  <c r="B10" i="137"/>
  <c r="B9" i="137"/>
  <c r="B8" i="137"/>
  <c r="B7" i="137"/>
  <c r="B6" i="137"/>
  <c r="B5" i="137"/>
  <c r="B4" i="137"/>
  <c r="H4" i="137" s="1"/>
  <c r="C2" i="137"/>
  <c r="C38" i="137" s="1"/>
  <c r="H2" i="135"/>
  <c r="C58" i="135" s="1"/>
  <c r="B63" i="135"/>
  <c r="B62" i="135"/>
  <c r="B61" i="135"/>
  <c r="B60" i="135"/>
  <c r="B59" i="135"/>
  <c r="B58" i="135"/>
  <c r="B57" i="135"/>
  <c r="B56" i="135"/>
  <c r="B55" i="135"/>
  <c r="B54" i="135"/>
  <c r="B53" i="135"/>
  <c r="B52" i="135"/>
  <c r="E2" i="135"/>
  <c r="C48" i="135" s="1"/>
  <c r="B40" i="135"/>
  <c r="B42" i="135"/>
  <c r="B43" i="135"/>
  <c r="B44" i="135"/>
  <c r="B45" i="135"/>
  <c r="B46" i="135"/>
  <c r="B47" i="135"/>
  <c r="B48" i="135"/>
  <c r="B49" i="135"/>
  <c r="B50" i="135"/>
  <c r="B51" i="135"/>
  <c r="B41" i="135"/>
  <c r="H2" i="134"/>
  <c r="C52" i="134" s="1"/>
  <c r="B63" i="134"/>
  <c r="B62" i="134"/>
  <c r="B61" i="134"/>
  <c r="B60" i="134"/>
  <c r="B59" i="134"/>
  <c r="B58" i="134"/>
  <c r="B57" i="134"/>
  <c r="B56" i="134"/>
  <c r="B55" i="134"/>
  <c r="B54" i="134"/>
  <c r="B53" i="134"/>
  <c r="B52" i="134"/>
  <c r="E2" i="134"/>
  <c r="C48" i="134" s="1"/>
  <c r="B40" i="134"/>
  <c r="E62" i="158" l="1"/>
  <c r="D62" i="158" s="1"/>
  <c r="G62" i="158" s="1"/>
  <c r="F63" i="158" s="1"/>
  <c r="E63" i="157"/>
  <c r="D63" i="157" s="1"/>
  <c r="G63" i="157" s="1"/>
  <c r="F64" i="157" s="1"/>
  <c r="E73" i="156"/>
  <c r="D73" i="156" s="1"/>
  <c r="G73" i="156" s="1"/>
  <c r="F74" i="156" s="1"/>
  <c r="E33" i="156"/>
  <c r="D33" i="156" s="1"/>
  <c r="G33" i="156" s="1"/>
  <c r="F34" i="156" s="1"/>
  <c r="E44" i="157"/>
  <c r="D44" i="157" s="1"/>
  <c r="G44" i="157" s="1"/>
  <c r="F45" i="157" s="1"/>
  <c r="E43" i="158"/>
  <c r="D43" i="158" s="1"/>
  <c r="G43" i="158" s="1"/>
  <c r="F44" i="158" s="1"/>
  <c r="E32" i="152"/>
  <c r="D32" i="152" s="1"/>
  <c r="G32" i="152" s="1"/>
  <c r="F33" i="152" s="1"/>
  <c r="E32" i="153"/>
  <c r="D32" i="153" s="1"/>
  <c r="G32" i="153" s="1"/>
  <c r="F33" i="153" s="1"/>
  <c r="E32" i="150"/>
  <c r="D32" i="150" s="1"/>
  <c r="G32" i="150" s="1"/>
  <c r="F33" i="150" s="1"/>
  <c r="E81" i="148"/>
  <c r="D81" i="148" s="1"/>
  <c r="G81" i="148" s="1"/>
  <c r="F82" i="148" s="1"/>
  <c r="G83" i="149"/>
  <c r="F84" i="149" s="1"/>
  <c r="E83" i="149"/>
  <c r="D83" i="149" s="1"/>
  <c r="E72" i="150"/>
  <c r="D72" i="150" s="1"/>
  <c r="G72" i="150" s="1"/>
  <c r="F73" i="150" s="1"/>
  <c r="E33" i="151"/>
  <c r="D33" i="151" s="1"/>
  <c r="G33" i="151" s="1"/>
  <c r="F34" i="151" s="1"/>
  <c r="E83" i="147"/>
  <c r="D83" i="147" s="1"/>
  <c r="G83" i="147" s="1"/>
  <c r="F84" i="147" s="1"/>
  <c r="E41" i="148"/>
  <c r="D41" i="148" s="1"/>
  <c r="G41" i="148" s="1"/>
  <c r="F42" i="148" s="1"/>
  <c r="E82" i="146"/>
  <c r="D82" i="146" s="1"/>
  <c r="G82" i="146" s="1"/>
  <c r="F83" i="146" s="1"/>
  <c r="E73" i="151"/>
  <c r="D73" i="151" s="1"/>
  <c r="G73" i="151" s="1"/>
  <c r="F74" i="151" s="1"/>
  <c r="E43" i="147"/>
  <c r="D43" i="147" s="1"/>
  <c r="G43" i="147" s="1"/>
  <c r="F44" i="147" s="1"/>
  <c r="G43" i="149"/>
  <c r="F44" i="149" s="1"/>
  <c r="E43" i="149"/>
  <c r="D43" i="149" s="1"/>
  <c r="E42" i="146"/>
  <c r="D42" i="146" s="1"/>
  <c r="G42" i="146" s="1"/>
  <c r="F43" i="146" s="1"/>
  <c r="C44" i="137"/>
  <c r="C62" i="137"/>
  <c r="C51" i="137"/>
  <c r="C60" i="137"/>
  <c r="C49" i="137"/>
  <c r="C63" i="138"/>
  <c r="C62" i="138"/>
  <c r="C48" i="138"/>
  <c r="C61" i="138"/>
  <c r="C50" i="138"/>
  <c r="C55" i="138"/>
  <c r="C54" i="138"/>
  <c r="C53" i="138"/>
  <c r="C57" i="138"/>
  <c r="C49" i="138"/>
  <c r="C60" i="138"/>
  <c r="C52" i="138"/>
  <c r="C59" i="138"/>
  <c r="C51" i="138"/>
  <c r="C58" i="138"/>
  <c r="C43" i="138"/>
  <c r="C45" i="138"/>
  <c r="C41" i="138"/>
  <c r="C47" i="138"/>
  <c r="C42" i="138"/>
  <c r="C46" i="138"/>
  <c r="C44" i="138"/>
  <c r="C6" i="138"/>
  <c r="C26" i="138"/>
  <c r="C38" i="138"/>
  <c r="C18" i="138"/>
  <c r="C7" i="138"/>
  <c r="C10" i="138"/>
  <c r="C34" i="138"/>
  <c r="C19" i="138"/>
  <c r="C31" i="138"/>
  <c r="E4" i="138"/>
  <c r="I4" i="138" s="1"/>
  <c r="C8" i="138"/>
  <c r="C12" i="138"/>
  <c r="C16" i="138"/>
  <c r="C20" i="138"/>
  <c r="C24" i="138"/>
  <c r="C28" i="138"/>
  <c r="C32" i="138"/>
  <c r="C36" i="138"/>
  <c r="C14" i="138"/>
  <c r="C30" i="138"/>
  <c r="C15" i="138"/>
  <c r="C23" i="138"/>
  <c r="C35" i="138"/>
  <c r="C27" i="138"/>
  <c r="C39" i="138"/>
  <c r="D39" i="138" s="1"/>
  <c r="C5" i="138"/>
  <c r="C9" i="138"/>
  <c r="C13" i="138"/>
  <c r="C17" i="138"/>
  <c r="C21" i="138"/>
  <c r="C25" i="138"/>
  <c r="C29" i="138"/>
  <c r="C33" i="138"/>
  <c r="C37" i="138"/>
  <c r="C22" i="138"/>
  <c r="C11" i="138"/>
  <c r="C61" i="137"/>
  <c r="C47" i="137"/>
  <c r="C54" i="137"/>
  <c r="C53" i="137"/>
  <c r="C52" i="137"/>
  <c r="C57" i="137"/>
  <c r="C59" i="137"/>
  <c r="C58" i="137"/>
  <c r="C56" i="137"/>
  <c r="C48" i="137"/>
  <c r="C63" i="137"/>
  <c r="C43" i="137"/>
  <c r="C42" i="137"/>
  <c r="C40" i="137"/>
  <c r="C45" i="137"/>
  <c r="C41" i="137"/>
  <c r="C37" i="137"/>
  <c r="C35" i="137"/>
  <c r="C27" i="137"/>
  <c r="C8" i="137"/>
  <c r="C16" i="137"/>
  <c r="C25" i="137"/>
  <c r="C31" i="137"/>
  <c r="C36" i="137"/>
  <c r="E4" i="137"/>
  <c r="I4" i="137" s="1"/>
  <c r="C12" i="137"/>
  <c r="C20" i="137"/>
  <c r="C5" i="137"/>
  <c r="C9" i="137"/>
  <c r="C13" i="137"/>
  <c r="C17" i="137"/>
  <c r="C21" i="137"/>
  <c r="C10" i="137"/>
  <c r="C33" i="137"/>
  <c r="C6" i="137"/>
  <c r="C18" i="137"/>
  <c r="C23" i="137"/>
  <c r="C14" i="137"/>
  <c r="C7" i="137"/>
  <c r="C11" i="137"/>
  <c r="C15" i="137"/>
  <c r="C19" i="137"/>
  <c r="C29" i="137"/>
  <c r="C39" i="137"/>
  <c r="D39" i="137" s="1"/>
  <c r="C22" i="137"/>
  <c r="C26" i="137"/>
  <c r="C30" i="137"/>
  <c r="C34" i="137"/>
  <c r="C4" i="137"/>
  <c r="C24" i="137"/>
  <c r="C28" i="137"/>
  <c r="C32" i="137"/>
  <c r="C49" i="135"/>
  <c r="C57" i="135"/>
  <c r="C51" i="135"/>
  <c r="C59" i="135"/>
  <c r="C52" i="135"/>
  <c r="C60" i="135"/>
  <c r="C53" i="135"/>
  <c r="C61" i="135"/>
  <c r="C54" i="135"/>
  <c r="C62" i="135"/>
  <c r="C55" i="135"/>
  <c r="C63" i="135"/>
  <c r="C56" i="135"/>
  <c r="C50" i="135"/>
  <c r="C42" i="135"/>
  <c r="C46" i="135"/>
  <c r="C41" i="135"/>
  <c r="C43" i="135"/>
  <c r="C44" i="135"/>
  <c r="C45" i="135"/>
  <c r="C47" i="135"/>
  <c r="C49" i="134"/>
  <c r="C56" i="134"/>
  <c r="C63" i="134"/>
  <c r="C55" i="134"/>
  <c r="C59" i="134"/>
  <c r="C51" i="134"/>
  <c r="C58" i="134"/>
  <c r="C50" i="134"/>
  <c r="C57" i="134"/>
  <c r="C62" i="134"/>
  <c r="C54" i="134"/>
  <c r="C61" i="134"/>
  <c r="C53" i="134"/>
  <c r="C60" i="134"/>
  <c r="C43" i="134"/>
  <c r="C47" i="134"/>
  <c r="C46" i="134"/>
  <c r="C45" i="134"/>
  <c r="C44" i="134"/>
  <c r="C42" i="134"/>
  <c r="C41" i="134"/>
  <c r="E45" i="157" l="1"/>
  <c r="D45" i="157" s="1"/>
  <c r="G45" i="157" s="1"/>
  <c r="F46" i="157" s="1"/>
  <c r="E34" i="156"/>
  <c r="D34" i="156" s="1"/>
  <c r="G34" i="156" s="1"/>
  <c r="F35" i="156" s="1"/>
  <c r="E74" i="156"/>
  <c r="D74" i="156" s="1"/>
  <c r="G74" i="156" s="1"/>
  <c r="F75" i="156" s="1"/>
  <c r="E64" i="157"/>
  <c r="D64" i="157" s="1"/>
  <c r="G64" i="157" s="1"/>
  <c r="F65" i="157" s="1"/>
  <c r="E44" i="158"/>
  <c r="D44" i="158" s="1"/>
  <c r="G44" i="158" s="1"/>
  <c r="F45" i="158" s="1"/>
  <c r="E63" i="158"/>
  <c r="D63" i="158" s="1"/>
  <c r="G63" i="158" s="1"/>
  <c r="F64" i="158" s="1"/>
  <c r="E33" i="153"/>
  <c r="D33" i="153" s="1"/>
  <c r="G33" i="153" s="1"/>
  <c r="E33" i="152"/>
  <c r="D33" i="152" s="1"/>
  <c r="G33" i="152" s="1"/>
  <c r="E34" i="151"/>
  <c r="D34" i="151" s="1"/>
  <c r="G34" i="151" s="1"/>
  <c r="F35" i="151" s="1"/>
  <c r="E42" i="148"/>
  <c r="D42" i="148" s="1"/>
  <c r="G42" i="148" s="1"/>
  <c r="F43" i="148" s="1"/>
  <c r="E33" i="150"/>
  <c r="D33" i="150" s="1"/>
  <c r="G33" i="150" s="1"/>
  <c r="F34" i="150" s="1"/>
  <c r="E43" i="146"/>
  <c r="D43" i="146" s="1"/>
  <c r="G43" i="146" s="1"/>
  <c r="F44" i="146" s="1"/>
  <c r="E84" i="147"/>
  <c r="D84" i="147" s="1"/>
  <c r="G84" i="147" s="1"/>
  <c r="F85" i="147" s="1"/>
  <c r="E44" i="147"/>
  <c r="D44" i="147" s="1"/>
  <c r="G44" i="147" s="1"/>
  <c r="F45" i="147" s="1"/>
  <c r="E83" i="146"/>
  <c r="D83" i="146" s="1"/>
  <c r="G83" i="146"/>
  <c r="F84" i="146" s="1"/>
  <c r="E82" i="148"/>
  <c r="D82" i="148" s="1"/>
  <c r="G82" i="148" s="1"/>
  <c r="F83" i="148" s="1"/>
  <c r="E73" i="150"/>
  <c r="D73" i="150" s="1"/>
  <c r="G73" i="150" s="1"/>
  <c r="F74" i="150" s="1"/>
  <c r="E74" i="151"/>
  <c r="D74" i="151" s="1"/>
  <c r="G74" i="151" s="1"/>
  <c r="F75" i="151" s="1"/>
  <c r="E84" i="149"/>
  <c r="D84" i="149" s="1"/>
  <c r="G84" i="149" s="1"/>
  <c r="F85" i="149" s="1"/>
  <c r="E44" i="149"/>
  <c r="D44" i="149" s="1"/>
  <c r="G44" i="149" s="1"/>
  <c r="F45" i="149" s="1"/>
  <c r="D4" i="138"/>
  <c r="G4" i="138" s="1"/>
  <c r="F5" i="138" s="1"/>
  <c r="E5" i="138" s="1"/>
  <c r="D5" i="138" s="1"/>
  <c r="G5" i="138" s="1"/>
  <c r="F6" i="138" s="1"/>
  <c r="D4" i="137"/>
  <c r="G4" i="137" s="1"/>
  <c r="F5" i="137" s="1"/>
  <c r="H5" i="137" s="1"/>
  <c r="E75" i="156" l="1"/>
  <c r="D75" i="156" s="1"/>
  <c r="G75" i="156" s="1"/>
  <c r="F76" i="156" s="1"/>
  <c r="E45" i="158"/>
  <c r="D45" i="158" s="1"/>
  <c r="G45" i="158" s="1"/>
  <c r="F46" i="158" s="1"/>
  <c r="E35" i="156"/>
  <c r="D35" i="156" s="1"/>
  <c r="G35" i="156" s="1"/>
  <c r="F36" i="156" s="1"/>
  <c r="E64" i="158"/>
  <c r="D64" i="158" s="1"/>
  <c r="G64" i="158" s="1"/>
  <c r="F65" i="158" s="1"/>
  <c r="E46" i="157"/>
  <c r="D46" i="157" s="1"/>
  <c r="G46" i="157" s="1"/>
  <c r="F47" i="157" s="1"/>
  <c r="E65" i="157"/>
  <c r="D65" i="157" s="1"/>
  <c r="G65" i="157" s="1"/>
  <c r="F66" i="157" s="1"/>
  <c r="F34" i="153"/>
  <c r="E34" i="153" s="1"/>
  <c r="D34" i="153" s="1"/>
  <c r="G34" i="153" s="1"/>
  <c r="F35" i="153" s="1"/>
  <c r="F53" i="153"/>
  <c r="E53" i="153" s="1"/>
  <c r="D53" i="153" s="1"/>
  <c r="G53" i="153" s="1"/>
  <c r="F54" i="153" s="1"/>
  <c r="E54" i="153" s="1"/>
  <c r="F34" i="152"/>
  <c r="F53" i="152"/>
  <c r="E53" i="152" s="1"/>
  <c r="D53" i="152" s="1"/>
  <c r="G53" i="152" s="1"/>
  <c r="F54" i="152" s="1"/>
  <c r="E54" i="152" s="1"/>
  <c r="E34" i="152"/>
  <c r="D34" i="152" s="1"/>
  <c r="G34" i="152" s="1"/>
  <c r="F35" i="152" s="1"/>
  <c r="E83" i="148"/>
  <c r="D83" i="148" s="1"/>
  <c r="G83" i="148"/>
  <c r="F84" i="148" s="1"/>
  <c r="E35" i="151"/>
  <c r="D35" i="151" s="1"/>
  <c r="G35" i="151" s="1"/>
  <c r="F36" i="151" s="1"/>
  <c r="E74" i="150"/>
  <c r="D74" i="150" s="1"/>
  <c r="G74" i="150" s="1"/>
  <c r="F75" i="150" s="1"/>
  <c r="E45" i="147"/>
  <c r="D45" i="147" s="1"/>
  <c r="G45" i="147" s="1"/>
  <c r="F46" i="147" s="1"/>
  <c r="E43" i="148"/>
  <c r="D43" i="148" s="1"/>
  <c r="G43" i="148" s="1"/>
  <c r="F44" i="148" s="1"/>
  <c r="E85" i="147"/>
  <c r="D85" i="147" s="1"/>
  <c r="G85" i="147" s="1"/>
  <c r="F86" i="147" s="1"/>
  <c r="E85" i="149"/>
  <c r="D85" i="149" s="1"/>
  <c r="G85" i="149"/>
  <c r="F86" i="149" s="1"/>
  <c r="E45" i="149"/>
  <c r="D45" i="149" s="1"/>
  <c r="G45" i="149"/>
  <c r="F46" i="149" s="1"/>
  <c r="E44" i="146"/>
  <c r="D44" i="146" s="1"/>
  <c r="G44" i="146" s="1"/>
  <c r="F45" i="146" s="1"/>
  <c r="E75" i="151"/>
  <c r="D75" i="151" s="1"/>
  <c r="G75" i="151" s="1"/>
  <c r="F76" i="151" s="1"/>
  <c r="E34" i="150"/>
  <c r="D34" i="150" s="1"/>
  <c r="G34" i="150" s="1"/>
  <c r="F35" i="150" s="1"/>
  <c r="E84" i="146"/>
  <c r="D84" i="146" s="1"/>
  <c r="G84" i="146" s="1"/>
  <c r="F85" i="146" s="1"/>
  <c r="H5" i="138"/>
  <c r="I5" i="138" s="1"/>
  <c r="E5" i="137"/>
  <c r="D5" i="137" s="1"/>
  <c r="G5" i="137" s="1"/>
  <c r="F6" i="137" s="1"/>
  <c r="H6" i="137" s="1"/>
  <c r="H6" i="138"/>
  <c r="E6" i="138"/>
  <c r="D6" i="138" s="1"/>
  <c r="G6" i="138" s="1"/>
  <c r="F7" i="138" s="1"/>
  <c r="E47" i="157" l="1"/>
  <c r="D47" i="157" s="1"/>
  <c r="G47" i="157" s="1"/>
  <c r="F48" i="157" s="1"/>
  <c r="E36" i="156"/>
  <c r="D36" i="156" s="1"/>
  <c r="G36" i="156" s="1"/>
  <c r="F37" i="156" s="1"/>
  <c r="E46" i="158"/>
  <c r="D46" i="158" s="1"/>
  <c r="G46" i="158" s="1"/>
  <c r="F47" i="158" s="1"/>
  <c r="E66" i="157"/>
  <c r="D66" i="157" s="1"/>
  <c r="G66" i="157" s="1"/>
  <c r="F67" i="157" s="1"/>
  <c r="E76" i="156"/>
  <c r="D76" i="156" s="1"/>
  <c r="G76" i="156" s="1"/>
  <c r="F77" i="156" s="1"/>
  <c r="E65" i="158"/>
  <c r="D65" i="158" s="1"/>
  <c r="G65" i="158" s="1"/>
  <c r="F66" i="158" s="1"/>
  <c r="E35" i="153"/>
  <c r="D35" i="153" s="1"/>
  <c r="G35" i="153" s="1"/>
  <c r="F36" i="153" s="1"/>
  <c r="D54" i="152"/>
  <c r="G54" i="152" s="1"/>
  <c r="F55" i="152" s="1"/>
  <c r="D54" i="153"/>
  <c r="G54" i="153" s="1"/>
  <c r="F55" i="153" s="1"/>
  <c r="E35" i="152"/>
  <c r="D35" i="152" s="1"/>
  <c r="G35" i="152" s="1"/>
  <c r="F36" i="152" s="1"/>
  <c r="E86" i="147"/>
  <c r="D86" i="147" s="1"/>
  <c r="G86" i="147" s="1"/>
  <c r="F87" i="147" s="1"/>
  <c r="E85" i="146"/>
  <c r="D85" i="146" s="1"/>
  <c r="G85" i="146"/>
  <c r="F86" i="146" s="1"/>
  <c r="E35" i="150"/>
  <c r="D35" i="150" s="1"/>
  <c r="G35" i="150" s="1"/>
  <c r="F36" i="150" s="1"/>
  <c r="E46" i="147"/>
  <c r="D46" i="147" s="1"/>
  <c r="G46" i="147" s="1"/>
  <c r="F47" i="147" s="1"/>
  <c r="E44" i="148"/>
  <c r="D44" i="148" s="1"/>
  <c r="G44" i="148" s="1"/>
  <c r="F45" i="148" s="1"/>
  <c r="E76" i="151"/>
  <c r="D76" i="151" s="1"/>
  <c r="G76" i="151" s="1"/>
  <c r="F77" i="151" s="1"/>
  <c r="E45" i="146"/>
  <c r="D45" i="146" s="1"/>
  <c r="G45" i="146" s="1"/>
  <c r="F46" i="146" s="1"/>
  <c r="E75" i="150"/>
  <c r="D75" i="150" s="1"/>
  <c r="G75" i="150" s="1"/>
  <c r="F76" i="150" s="1"/>
  <c r="E84" i="148"/>
  <c r="D84" i="148" s="1"/>
  <c r="G84" i="148" s="1"/>
  <c r="F85" i="148" s="1"/>
  <c r="E46" i="149"/>
  <c r="D46" i="149" s="1"/>
  <c r="G46" i="149"/>
  <c r="F47" i="149" s="1"/>
  <c r="E86" i="149"/>
  <c r="D86" i="149" s="1"/>
  <c r="G86" i="149" s="1"/>
  <c r="F87" i="149" s="1"/>
  <c r="E36" i="151"/>
  <c r="D36" i="151" s="1"/>
  <c r="G36" i="151" s="1"/>
  <c r="F37" i="151" s="1"/>
  <c r="I5" i="137"/>
  <c r="E6" i="137"/>
  <c r="D6" i="137" s="1"/>
  <c r="G6" i="137" s="1"/>
  <c r="F7" i="137" s="1"/>
  <c r="H7" i="138"/>
  <c r="E7" i="138"/>
  <c r="D7" i="138" s="1"/>
  <c r="G7" i="138" s="1"/>
  <c r="F8" i="138" s="1"/>
  <c r="I6" i="138"/>
  <c r="E77" i="156" l="1"/>
  <c r="D77" i="156" s="1"/>
  <c r="G77" i="156" s="1"/>
  <c r="F78" i="156" s="1"/>
  <c r="E37" i="156"/>
  <c r="D37" i="156" s="1"/>
  <c r="G37" i="156" s="1"/>
  <c r="F38" i="156" s="1"/>
  <c r="E48" i="157"/>
  <c r="D48" i="157" s="1"/>
  <c r="G48" i="157" s="1"/>
  <c r="F49" i="157" s="1"/>
  <c r="E47" i="158"/>
  <c r="D47" i="158" s="1"/>
  <c r="G47" i="158" s="1"/>
  <c r="F48" i="158" s="1"/>
  <c r="E66" i="158"/>
  <c r="D66" i="158" s="1"/>
  <c r="G66" i="158" s="1"/>
  <c r="F67" i="158" s="1"/>
  <c r="E67" i="157"/>
  <c r="D67" i="157" s="1"/>
  <c r="G67" i="157" s="1"/>
  <c r="F68" i="157" s="1"/>
  <c r="E36" i="152"/>
  <c r="D36" i="152" s="1"/>
  <c r="G36" i="152" s="1"/>
  <c r="F37" i="152" s="1"/>
  <c r="E55" i="152"/>
  <c r="D55" i="152" s="1"/>
  <c r="G55" i="152" s="1"/>
  <c r="F56" i="152" s="1"/>
  <c r="E36" i="153"/>
  <c r="D36" i="153" s="1"/>
  <c r="G36" i="153" s="1"/>
  <c r="F37" i="153" s="1"/>
  <c r="E55" i="153"/>
  <c r="D55" i="153" s="1"/>
  <c r="G55" i="153" s="1"/>
  <c r="F56" i="153" s="1"/>
  <c r="E45" i="148"/>
  <c r="D45" i="148" s="1"/>
  <c r="G45" i="148"/>
  <c r="F46" i="148" s="1"/>
  <c r="E46" i="146"/>
  <c r="D46" i="146" s="1"/>
  <c r="G46" i="146" s="1"/>
  <c r="F47" i="146" s="1"/>
  <c r="E87" i="147"/>
  <c r="D87" i="147" s="1"/>
  <c r="G87" i="147"/>
  <c r="F88" i="147" s="1"/>
  <c r="E85" i="148"/>
  <c r="D85" i="148" s="1"/>
  <c r="G85" i="148" s="1"/>
  <c r="F86" i="148" s="1"/>
  <c r="E87" i="149"/>
  <c r="D87" i="149" s="1"/>
  <c r="G87" i="149" s="1"/>
  <c r="F88" i="149" s="1"/>
  <c r="E37" i="151"/>
  <c r="D37" i="151" s="1"/>
  <c r="G37" i="151" s="1"/>
  <c r="F38" i="151" s="1"/>
  <c r="E47" i="147"/>
  <c r="D47" i="147" s="1"/>
  <c r="G47" i="147"/>
  <c r="F48" i="147" s="1"/>
  <c r="E76" i="150"/>
  <c r="D76" i="150" s="1"/>
  <c r="G76" i="150" s="1"/>
  <c r="F77" i="150" s="1"/>
  <c r="E36" i="150"/>
  <c r="D36" i="150" s="1"/>
  <c r="G36" i="150" s="1"/>
  <c r="F37" i="150" s="1"/>
  <c r="E86" i="146"/>
  <c r="D86" i="146" s="1"/>
  <c r="G86" i="146" s="1"/>
  <c r="F87" i="146" s="1"/>
  <c r="E47" i="149"/>
  <c r="D47" i="149" s="1"/>
  <c r="G47" i="149" s="1"/>
  <c r="F48" i="149" s="1"/>
  <c r="E77" i="151"/>
  <c r="D77" i="151" s="1"/>
  <c r="G77" i="151" s="1"/>
  <c r="F78" i="151" s="1"/>
  <c r="E7" i="137"/>
  <c r="D7" i="137" s="1"/>
  <c r="G7" i="137" s="1"/>
  <c r="F8" i="137" s="1"/>
  <c r="H8" i="137" s="1"/>
  <c r="H7" i="137"/>
  <c r="I6" i="137"/>
  <c r="H8" i="138"/>
  <c r="E8" i="138"/>
  <c r="D8" i="138" s="1"/>
  <c r="G8" i="138" s="1"/>
  <c r="F9" i="138" s="1"/>
  <c r="I7" i="138"/>
  <c r="E49" i="157" l="1"/>
  <c r="D49" i="157" s="1"/>
  <c r="G49" i="157" s="1"/>
  <c r="F50" i="157" s="1"/>
  <c r="E38" i="156"/>
  <c r="D38" i="156" s="1"/>
  <c r="G38" i="156" s="1"/>
  <c r="F39" i="156" s="1"/>
  <c r="E48" i="158"/>
  <c r="D48" i="158" s="1"/>
  <c r="G48" i="158" s="1"/>
  <c r="F49" i="158" s="1"/>
  <c r="E68" i="157"/>
  <c r="D68" i="157" s="1"/>
  <c r="G68" i="157" s="1"/>
  <c r="F69" i="157" s="1"/>
  <c r="E78" i="156"/>
  <c r="D78" i="156" s="1"/>
  <c r="G78" i="156" s="1"/>
  <c r="F79" i="156" s="1"/>
  <c r="E67" i="158"/>
  <c r="D67" i="158" s="1"/>
  <c r="G67" i="158" s="1"/>
  <c r="F68" i="158" s="1"/>
  <c r="E56" i="153"/>
  <c r="D56" i="153" s="1"/>
  <c r="G56" i="153" s="1"/>
  <c r="F57" i="153" s="1"/>
  <c r="E56" i="152"/>
  <c r="D56" i="152" s="1"/>
  <c r="G56" i="152" s="1"/>
  <c r="F57" i="152" s="1"/>
  <c r="E37" i="153"/>
  <c r="D37" i="153" s="1"/>
  <c r="G37" i="153" s="1"/>
  <c r="F38" i="153" s="1"/>
  <c r="E37" i="152"/>
  <c r="D37" i="152" s="1"/>
  <c r="G37" i="152" s="1"/>
  <c r="F38" i="152" s="1"/>
  <c r="E38" i="151"/>
  <c r="D38" i="151" s="1"/>
  <c r="G38" i="151" s="1"/>
  <c r="F39" i="151" s="1"/>
  <c r="E88" i="149"/>
  <c r="D88" i="149" s="1"/>
  <c r="G88" i="149"/>
  <c r="F89" i="149" s="1"/>
  <c r="E87" i="146"/>
  <c r="D87" i="146" s="1"/>
  <c r="G87" i="146" s="1"/>
  <c r="F88" i="146" s="1"/>
  <c r="E48" i="149"/>
  <c r="D48" i="149" s="1"/>
  <c r="G48" i="149" s="1"/>
  <c r="F49" i="149" s="1"/>
  <c r="E78" i="151"/>
  <c r="D78" i="151" s="1"/>
  <c r="G78" i="151" s="1"/>
  <c r="F79" i="151" s="1"/>
  <c r="E86" i="148"/>
  <c r="D86" i="148" s="1"/>
  <c r="G86" i="148" s="1"/>
  <c r="F87" i="148" s="1"/>
  <c r="E37" i="150"/>
  <c r="D37" i="150" s="1"/>
  <c r="G37" i="150" s="1"/>
  <c r="F38" i="150" s="1"/>
  <c r="E77" i="150"/>
  <c r="D77" i="150" s="1"/>
  <c r="G77" i="150" s="1"/>
  <c r="F78" i="150" s="1"/>
  <c r="E47" i="146"/>
  <c r="D47" i="146" s="1"/>
  <c r="G47" i="146" s="1"/>
  <c r="F48" i="146" s="1"/>
  <c r="E46" i="148"/>
  <c r="D46" i="148" s="1"/>
  <c r="G46" i="148" s="1"/>
  <c r="F47" i="148" s="1"/>
  <c r="E48" i="147"/>
  <c r="D48" i="147" s="1"/>
  <c r="G48" i="147" s="1"/>
  <c r="F49" i="147" s="1"/>
  <c r="E88" i="147"/>
  <c r="D88" i="147" s="1"/>
  <c r="G88" i="147" s="1"/>
  <c r="F89" i="147" s="1"/>
  <c r="I7" i="137"/>
  <c r="E8" i="137"/>
  <c r="D8" i="137" s="1"/>
  <c r="G8" i="137" s="1"/>
  <c r="F9" i="137" s="1"/>
  <c r="H9" i="137" s="1"/>
  <c r="H9" i="138"/>
  <c r="E9" i="138"/>
  <c r="D9" i="138" s="1"/>
  <c r="G9" i="138" s="1"/>
  <c r="F10" i="138" s="1"/>
  <c r="I8" i="138"/>
  <c r="E39" i="156" l="1"/>
  <c r="D39" i="156" s="1"/>
  <c r="G39" i="156" s="1"/>
  <c r="F40" i="156" s="1"/>
  <c r="E49" i="158"/>
  <c r="D49" i="158" s="1"/>
  <c r="G49" i="158" s="1"/>
  <c r="F50" i="158" s="1"/>
  <c r="E50" i="157"/>
  <c r="D50" i="157" s="1"/>
  <c r="G50" i="157" s="1"/>
  <c r="F51" i="157" s="1"/>
  <c r="E79" i="156"/>
  <c r="D79" i="156" s="1"/>
  <c r="G79" i="156" s="1"/>
  <c r="F80" i="156" s="1"/>
  <c r="E68" i="158"/>
  <c r="D68" i="158" s="1"/>
  <c r="G68" i="158" s="1"/>
  <c r="F69" i="158" s="1"/>
  <c r="E69" i="157"/>
  <c r="D69" i="157" s="1"/>
  <c r="G69" i="157" s="1"/>
  <c r="F70" i="157" s="1"/>
  <c r="E38" i="152"/>
  <c r="D38" i="152" s="1"/>
  <c r="G38" i="152" s="1"/>
  <c r="F39" i="152" s="1"/>
  <c r="E57" i="152"/>
  <c r="D57" i="152" s="1"/>
  <c r="G57" i="152" s="1"/>
  <c r="F58" i="152" s="1"/>
  <c r="E38" i="153"/>
  <c r="D38" i="153" s="1"/>
  <c r="G38" i="153" s="1"/>
  <c r="F39" i="153" s="1"/>
  <c r="E57" i="153"/>
  <c r="D57" i="153" s="1"/>
  <c r="G57" i="153" s="1"/>
  <c r="F58" i="153" s="1"/>
  <c r="E78" i="150"/>
  <c r="D78" i="150" s="1"/>
  <c r="G78" i="150" s="1"/>
  <c r="F79" i="150" s="1"/>
  <c r="E39" i="151"/>
  <c r="D39" i="151" s="1"/>
  <c r="G39" i="151" s="1"/>
  <c r="F40" i="151" s="1"/>
  <c r="E38" i="150"/>
  <c r="D38" i="150" s="1"/>
  <c r="G38" i="150" s="1"/>
  <c r="F39" i="150" s="1"/>
  <c r="E87" i="148"/>
  <c r="D87" i="148" s="1"/>
  <c r="G87" i="148"/>
  <c r="F88" i="148" s="1"/>
  <c r="E79" i="151"/>
  <c r="D79" i="151" s="1"/>
  <c r="G79" i="151" s="1"/>
  <c r="F80" i="151" s="1"/>
  <c r="E89" i="147"/>
  <c r="D89" i="147" s="1"/>
  <c r="G89" i="147" s="1"/>
  <c r="F90" i="147" s="1"/>
  <c r="E49" i="147"/>
  <c r="D49" i="147" s="1"/>
  <c r="G49" i="147" s="1"/>
  <c r="F50" i="147" s="1"/>
  <c r="E88" i="146"/>
  <c r="D88" i="146" s="1"/>
  <c r="G88" i="146" s="1"/>
  <c r="F89" i="146" s="1"/>
  <c r="E47" i="148"/>
  <c r="D47" i="148" s="1"/>
  <c r="G47" i="148" s="1"/>
  <c r="F48" i="148" s="1"/>
  <c r="E49" i="149"/>
  <c r="D49" i="149" s="1"/>
  <c r="G49" i="149" s="1"/>
  <c r="F50" i="149" s="1"/>
  <c r="E48" i="146"/>
  <c r="D48" i="146" s="1"/>
  <c r="G48" i="146" s="1"/>
  <c r="F49" i="146" s="1"/>
  <c r="E89" i="149"/>
  <c r="D89" i="149" s="1"/>
  <c r="G89" i="149"/>
  <c r="F90" i="149" s="1"/>
  <c r="I8" i="137"/>
  <c r="E9" i="137"/>
  <c r="D9" i="137" s="1"/>
  <c r="G9" i="137" s="1"/>
  <c r="F10" i="137" s="1"/>
  <c r="H10" i="137" s="1"/>
  <c r="H10" i="138"/>
  <c r="E10" i="138"/>
  <c r="D10" i="138" s="1"/>
  <c r="G10" i="138" s="1"/>
  <c r="F11" i="138" s="1"/>
  <c r="I9" i="138"/>
  <c r="E51" i="157" l="1"/>
  <c r="D51" i="157" s="1"/>
  <c r="G51" i="157" s="1"/>
  <c r="F52" i="157" s="1"/>
  <c r="G52" i="157" s="1"/>
  <c r="E50" i="158"/>
  <c r="D50" i="158" s="1"/>
  <c r="G50" i="158" s="1"/>
  <c r="F51" i="158" s="1"/>
  <c r="E80" i="156"/>
  <c r="D80" i="156" s="1"/>
  <c r="G80" i="156" s="1"/>
  <c r="F81" i="156" s="1"/>
  <c r="E70" i="157"/>
  <c r="D70" i="157" s="1"/>
  <c r="G70" i="157" s="1"/>
  <c r="F71" i="157" s="1"/>
  <c r="E40" i="156"/>
  <c r="D40" i="156" s="1"/>
  <c r="G40" i="156" s="1"/>
  <c r="F41" i="156" s="1"/>
  <c r="E69" i="158"/>
  <c r="D69" i="158" s="1"/>
  <c r="G69" i="158" s="1"/>
  <c r="F70" i="158" s="1"/>
  <c r="E58" i="153"/>
  <c r="D58" i="153" s="1"/>
  <c r="G58" i="153" s="1"/>
  <c r="F59" i="153" s="1"/>
  <c r="E58" i="152"/>
  <c r="D58" i="152" s="1"/>
  <c r="G58" i="152" s="1"/>
  <c r="F59" i="152" s="1"/>
  <c r="E39" i="153"/>
  <c r="D39" i="153" s="1"/>
  <c r="G39" i="153" s="1"/>
  <c r="F40" i="153" s="1"/>
  <c r="E39" i="152"/>
  <c r="D39" i="152" s="1"/>
  <c r="G39" i="152" s="1"/>
  <c r="F40" i="152" s="1"/>
  <c r="E79" i="150"/>
  <c r="D79" i="150" s="1"/>
  <c r="G79" i="150" s="1"/>
  <c r="F80" i="150" s="1"/>
  <c r="E50" i="147"/>
  <c r="D50" i="147" s="1"/>
  <c r="G50" i="147"/>
  <c r="F51" i="147" s="1"/>
  <c r="E90" i="147"/>
  <c r="D90" i="147" s="1"/>
  <c r="G90" i="147" s="1"/>
  <c r="F91" i="147" s="1"/>
  <c r="E80" i="151"/>
  <c r="D80" i="151" s="1"/>
  <c r="G80" i="151" s="1"/>
  <c r="F81" i="151" s="1"/>
  <c r="E39" i="150"/>
  <c r="D39" i="150" s="1"/>
  <c r="G39" i="150" s="1"/>
  <c r="F40" i="150" s="1"/>
  <c r="E49" i="146"/>
  <c r="D49" i="146" s="1"/>
  <c r="G49" i="146"/>
  <c r="F50" i="146" s="1"/>
  <c r="E50" i="149"/>
  <c r="D50" i="149" s="1"/>
  <c r="G50" i="149" s="1"/>
  <c r="F51" i="149" s="1"/>
  <c r="E48" i="148"/>
  <c r="D48" i="148" s="1"/>
  <c r="G48" i="148"/>
  <c r="F49" i="148" s="1"/>
  <c r="E40" i="151"/>
  <c r="D40" i="151" s="1"/>
  <c r="G40" i="151" s="1"/>
  <c r="F41" i="151" s="1"/>
  <c r="E89" i="146"/>
  <c r="D89" i="146" s="1"/>
  <c r="G89" i="146" s="1"/>
  <c r="F90" i="146" s="1"/>
  <c r="E90" i="149"/>
  <c r="D90" i="149" s="1"/>
  <c r="G90" i="149" s="1"/>
  <c r="F91" i="149" s="1"/>
  <c r="E88" i="148"/>
  <c r="D88" i="148" s="1"/>
  <c r="G88" i="148" s="1"/>
  <c r="F89" i="148" s="1"/>
  <c r="E10" i="137"/>
  <c r="D10" i="137" s="1"/>
  <c r="G10" i="137" s="1"/>
  <c r="F11" i="137" s="1"/>
  <c r="H11" i="137" s="1"/>
  <c r="I9" i="137"/>
  <c r="H11" i="138"/>
  <c r="E11" i="138"/>
  <c r="D11" i="138" s="1"/>
  <c r="G11" i="138" s="1"/>
  <c r="F12" i="138" s="1"/>
  <c r="I10" i="138"/>
  <c r="D71" i="157" l="1"/>
  <c r="G71" i="157" s="1"/>
  <c r="E70" i="158"/>
  <c r="D70" i="158" s="1"/>
  <c r="G70" i="158" s="1"/>
  <c r="F71" i="158" s="1"/>
  <c r="E41" i="156"/>
  <c r="D41" i="156" s="1"/>
  <c r="G41" i="156" s="1"/>
  <c r="F42" i="156" s="1"/>
  <c r="E51" i="158"/>
  <c r="D51" i="158" s="1"/>
  <c r="G51" i="158" s="1"/>
  <c r="F52" i="158" s="1"/>
  <c r="G52" i="158" s="1"/>
  <c r="E81" i="156"/>
  <c r="D81" i="156" s="1"/>
  <c r="G81" i="156" s="1"/>
  <c r="F82" i="156" s="1"/>
  <c r="E40" i="152"/>
  <c r="D40" i="152" s="1"/>
  <c r="G40" i="152" s="1"/>
  <c r="F41" i="152" s="1"/>
  <c r="E59" i="152"/>
  <c r="D59" i="152" s="1"/>
  <c r="G59" i="152" s="1"/>
  <c r="F60" i="152" s="1"/>
  <c r="E40" i="153"/>
  <c r="D40" i="153" s="1"/>
  <c r="G40" i="153" s="1"/>
  <c r="F41" i="153" s="1"/>
  <c r="E59" i="153"/>
  <c r="D59" i="153" s="1"/>
  <c r="G59" i="153" s="1"/>
  <c r="F60" i="153" s="1"/>
  <c r="E91" i="149"/>
  <c r="D91" i="149" s="1"/>
  <c r="G91" i="149" s="1"/>
  <c r="F92" i="149" s="1"/>
  <c r="G92" i="149" s="1"/>
  <c r="E41" i="151"/>
  <c r="D41" i="151" s="1"/>
  <c r="G41" i="151" s="1"/>
  <c r="F42" i="151" s="1"/>
  <c r="E91" i="147"/>
  <c r="D91" i="147" s="1"/>
  <c r="G91" i="147" s="1"/>
  <c r="F92" i="147" s="1"/>
  <c r="G92" i="147" s="1"/>
  <c r="E40" i="150"/>
  <c r="D40" i="150" s="1"/>
  <c r="G40" i="150" s="1"/>
  <c r="F41" i="150" s="1"/>
  <c r="E89" i="148"/>
  <c r="D89" i="148" s="1"/>
  <c r="G89" i="148"/>
  <c r="F90" i="148" s="1"/>
  <c r="G51" i="149"/>
  <c r="F52" i="149" s="1"/>
  <c r="G52" i="149" s="1"/>
  <c r="E51" i="149"/>
  <c r="D51" i="149" s="1"/>
  <c r="E90" i="146"/>
  <c r="D90" i="146" s="1"/>
  <c r="G90" i="146" s="1"/>
  <c r="F91" i="146" s="1"/>
  <c r="E80" i="150"/>
  <c r="D80" i="150" s="1"/>
  <c r="G80" i="150" s="1"/>
  <c r="F81" i="150" s="1"/>
  <c r="E51" i="147"/>
  <c r="D51" i="147" s="1"/>
  <c r="G51" i="147"/>
  <c r="F52" i="147" s="1"/>
  <c r="G52" i="147" s="1"/>
  <c r="E81" i="151"/>
  <c r="D81" i="151" s="1"/>
  <c r="G81" i="151" s="1"/>
  <c r="F82" i="151" s="1"/>
  <c r="E49" i="148"/>
  <c r="D49" i="148" s="1"/>
  <c r="G49" i="148" s="1"/>
  <c r="F50" i="148" s="1"/>
  <c r="E50" i="146"/>
  <c r="D50" i="146" s="1"/>
  <c r="G50" i="146" s="1"/>
  <c r="F51" i="146" s="1"/>
  <c r="I10" i="137"/>
  <c r="E11" i="137"/>
  <c r="D11" i="137" s="1"/>
  <c r="G11" i="137" s="1"/>
  <c r="F12" i="137" s="1"/>
  <c r="H12" i="137" s="1"/>
  <c r="H12" i="138"/>
  <c r="E12" i="138"/>
  <c r="D12" i="138" s="1"/>
  <c r="G12" i="138" s="1"/>
  <c r="F13" i="138" s="1"/>
  <c r="I11" i="138"/>
  <c r="D71" i="158" l="1"/>
  <c r="G71" i="158" s="1"/>
  <c r="E82" i="156"/>
  <c r="D82" i="156" s="1"/>
  <c r="G82" i="156" s="1"/>
  <c r="F83" i="156" s="1"/>
  <c r="E42" i="156"/>
  <c r="D42" i="156" s="1"/>
  <c r="G42" i="156" s="1"/>
  <c r="F43" i="156" s="1"/>
  <c r="E60" i="153"/>
  <c r="D60" i="153" s="1"/>
  <c r="G60" i="153" s="1"/>
  <c r="F61" i="153" s="1"/>
  <c r="E41" i="153"/>
  <c r="D41" i="153" s="1"/>
  <c r="G41" i="153" s="1"/>
  <c r="F42" i="153" s="1"/>
  <c r="E60" i="152"/>
  <c r="D60" i="152" s="1"/>
  <c r="G60" i="152" s="1"/>
  <c r="F61" i="152" s="1"/>
  <c r="E41" i="152"/>
  <c r="D41" i="152" s="1"/>
  <c r="G41" i="152" s="1"/>
  <c r="F42" i="152" s="1"/>
  <c r="E91" i="146"/>
  <c r="D91" i="146" s="1"/>
  <c r="G91" i="146" s="1"/>
  <c r="F92" i="146" s="1"/>
  <c r="G92" i="146" s="1"/>
  <c r="E82" i="151"/>
  <c r="D82" i="151" s="1"/>
  <c r="G82" i="151" s="1"/>
  <c r="F83" i="151" s="1"/>
  <c r="E42" i="151"/>
  <c r="D42" i="151" s="1"/>
  <c r="G42" i="151" s="1"/>
  <c r="F43" i="151" s="1"/>
  <c r="E50" i="148"/>
  <c r="D50" i="148" s="1"/>
  <c r="G50" i="148" s="1"/>
  <c r="F51" i="148" s="1"/>
  <c r="G51" i="146"/>
  <c r="F52" i="146" s="1"/>
  <c r="G52" i="146" s="1"/>
  <c r="E51" i="146"/>
  <c r="D51" i="146" s="1"/>
  <c r="E41" i="150"/>
  <c r="D41" i="150" s="1"/>
  <c r="G41" i="150" s="1"/>
  <c r="F42" i="150" s="1"/>
  <c r="E81" i="150"/>
  <c r="D81" i="150" s="1"/>
  <c r="G81" i="150" s="1"/>
  <c r="F82" i="150" s="1"/>
  <c r="E90" i="148"/>
  <c r="D90" i="148" s="1"/>
  <c r="G90" i="148" s="1"/>
  <c r="F91" i="148" s="1"/>
  <c r="I11" i="137"/>
  <c r="E12" i="137"/>
  <c r="D12" i="137" s="1"/>
  <c r="G12" i="137" s="1"/>
  <c r="F13" i="137" s="1"/>
  <c r="E13" i="137" s="1"/>
  <c r="D13" i="137" s="1"/>
  <c r="G13" i="137" s="1"/>
  <c r="F14" i="137" s="1"/>
  <c r="H13" i="138"/>
  <c r="E13" i="138"/>
  <c r="D13" i="138" s="1"/>
  <c r="G13" i="138" s="1"/>
  <c r="F14" i="138" s="1"/>
  <c r="I12" i="138"/>
  <c r="E43" i="156" l="1"/>
  <c r="D43" i="156" s="1"/>
  <c r="G43" i="156" s="1"/>
  <c r="F44" i="156" s="1"/>
  <c r="E83" i="156"/>
  <c r="D83" i="156" s="1"/>
  <c r="G83" i="156" s="1"/>
  <c r="F84" i="156" s="1"/>
  <c r="E42" i="152"/>
  <c r="D42" i="152" s="1"/>
  <c r="G42" i="152" s="1"/>
  <c r="F43" i="152" s="1"/>
  <c r="E42" i="153"/>
  <c r="D42" i="153" s="1"/>
  <c r="G42" i="153" s="1"/>
  <c r="F43" i="153" s="1"/>
  <c r="E61" i="152"/>
  <c r="D61" i="152" s="1"/>
  <c r="G61" i="152" s="1"/>
  <c r="F62" i="152" s="1"/>
  <c r="E61" i="153"/>
  <c r="D61" i="153" s="1"/>
  <c r="G61" i="153" s="1"/>
  <c r="F62" i="153" s="1"/>
  <c r="E82" i="150"/>
  <c r="D82" i="150" s="1"/>
  <c r="G82" i="150" s="1"/>
  <c r="F83" i="150" s="1"/>
  <c r="E42" i="150"/>
  <c r="D42" i="150" s="1"/>
  <c r="G42" i="150" s="1"/>
  <c r="F43" i="150" s="1"/>
  <c r="E43" i="151"/>
  <c r="D43" i="151" s="1"/>
  <c r="G43" i="151" s="1"/>
  <c r="F44" i="151" s="1"/>
  <c r="E51" i="148"/>
  <c r="D51" i="148" s="1"/>
  <c r="G51" i="148" s="1"/>
  <c r="F52" i="148" s="1"/>
  <c r="G52" i="148" s="1"/>
  <c r="E83" i="151"/>
  <c r="D83" i="151" s="1"/>
  <c r="G83" i="151" s="1"/>
  <c r="F84" i="151" s="1"/>
  <c r="E91" i="148"/>
  <c r="D91" i="148" s="1"/>
  <c r="G91" i="148" s="1"/>
  <c r="F92" i="148" s="1"/>
  <c r="G92" i="148" s="1"/>
  <c r="I12" i="137"/>
  <c r="H13" i="137"/>
  <c r="I13" i="137" s="1"/>
  <c r="H14" i="137"/>
  <c r="E14" i="137"/>
  <c r="D14" i="137" s="1"/>
  <c r="G14" i="137" s="1"/>
  <c r="H14" i="138"/>
  <c r="E14" i="138"/>
  <c r="D14" i="138" s="1"/>
  <c r="G14" i="138" s="1"/>
  <c r="I13" i="138"/>
  <c r="E84" i="156" l="1"/>
  <c r="D84" i="156" s="1"/>
  <c r="G84" i="156" s="1"/>
  <c r="F85" i="156" s="1"/>
  <c r="E44" i="156"/>
  <c r="D44" i="156" s="1"/>
  <c r="G44" i="156" s="1"/>
  <c r="F45" i="156" s="1"/>
  <c r="E62" i="153"/>
  <c r="D62" i="153" s="1"/>
  <c r="G62" i="153" s="1"/>
  <c r="F63" i="153" s="1"/>
  <c r="E43" i="153"/>
  <c r="D43" i="153" s="1"/>
  <c r="G43" i="153" s="1"/>
  <c r="F44" i="153" s="1"/>
  <c r="E62" i="152"/>
  <c r="D62" i="152" s="1"/>
  <c r="G62" i="152" s="1"/>
  <c r="F63" i="152" s="1"/>
  <c r="E43" i="152"/>
  <c r="D43" i="152" s="1"/>
  <c r="G43" i="152" s="1"/>
  <c r="F44" i="152" s="1"/>
  <c r="E83" i="150"/>
  <c r="D83" i="150" s="1"/>
  <c r="G83" i="150" s="1"/>
  <c r="F84" i="150" s="1"/>
  <c r="E84" i="151"/>
  <c r="D84" i="151" s="1"/>
  <c r="G84" i="151" s="1"/>
  <c r="F85" i="151" s="1"/>
  <c r="E44" i="151"/>
  <c r="D44" i="151" s="1"/>
  <c r="G44" i="151" s="1"/>
  <c r="F45" i="151" s="1"/>
  <c r="E43" i="150"/>
  <c r="D43" i="150" s="1"/>
  <c r="G43" i="150" s="1"/>
  <c r="F44" i="150" s="1"/>
  <c r="F15" i="138"/>
  <c r="F15" i="137"/>
  <c r="H15" i="137" s="1"/>
  <c r="I14" i="138"/>
  <c r="I14" i="137"/>
  <c r="E45" i="156" l="1"/>
  <c r="D45" i="156" s="1"/>
  <c r="G45" i="156" s="1"/>
  <c r="F46" i="156" s="1"/>
  <c r="E85" i="156"/>
  <c r="D85" i="156" s="1"/>
  <c r="G85" i="156" s="1"/>
  <c r="F86" i="156" s="1"/>
  <c r="E63" i="152"/>
  <c r="D63" i="152" s="1"/>
  <c r="G63" i="152" s="1"/>
  <c r="F64" i="152" s="1"/>
  <c r="E44" i="152"/>
  <c r="D44" i="152" s="1"/>
  <c r="G44" i="152" s="1"/>
  <c r="F45" i="152" s="1"/>
  <c r="E44" i="153"/>
  <c r="D44" i="153" s="1"/>
  <c r="G44" i="153" s="1"/>
  <c r="F45" i="153" s="1"/>
  <c r="E63" i="153"/>
  <c r="D63" i="153" s="1"/>
  <c r="G63" i="153" s="1"/>
  <c r="F64" i="153" s="1"/>
  <c r="E84" i="150"/>
  <c r="D84" i="150" s="1"/>
  <c r="G84" i="150" s="1"/>
  <c r="F85" i="150" s="1"/>
  <c r="E44" i="150"/>
  <c r="D44" i="150" s="1"/>
  <c r="G44" i="150" s="1"/>
  <c r="F45" i="150" s="1"/>
  <c r="E45" i="151"/>
  <c r="D45" i="151" s="1"/>
  <c r="G45" i="151" s="1"/>
  <c r="F46" i="151" s="1"/>
  <c r="E85" i="151"/>
  <c r="D85" i="151" s="1"/>
  <c r="G85" i="151" s="1"/>
  <c r="F86" i="151" s="1"/>
  <c r="E15" i="137"/>
  <c r="D15" i="137" s="1"/>
  <c r="G15" i="137" s="1"/>
  <c r="F16" i="137" s="1"/>
  <c r="E15" i="138"/>
  <c r="D15" i="138" s="1"/>
  <c r="G15" i="138" s="1"/>
  <c r="F16" i="138" s="1"/>
  <c r="H15" i="138"/>
  <c r="I15" i="138" s="1"/>
  <c r="E46" i="156" l="1"/>
  <c r="D46" i="156" s="1"/>
  <c r="G46" i="156" s="1"/>
  <c r="F47" i="156" s="1"/>
  <c r="E86" i="156"/>
  <c r="D86" i="156" s="1"/>
  <c r="G86" i="156" s="1"/>
  <c r="F87" i="156" s="1"/>
  <c r="E64" i="153"/>
  <c r="D64" i="153" s="1"/>
  <c r="G64" i="153" s="1"/>
  <c r="F65" i="153" s="1"/>
  <c r="E45" i="152"/>
  <c r="D45" i="152" s="1"/>
  <c r="G45" i="152" s="1"/>
  <c r="F46" i="152" s="1"/>
  <c r="E45" i="153"/>
  <c r="D45" i="153" s="1"/>
  <c r="G45" i="153" s="1"/>
  <c r="F46" i="153" s="1"/>
  <c r="E64" i="152"/>
  <c r="D64" i="152" s="1"/>
  <c r="G64" i="152" s="1"/>
  <c r="F65" i="152" s="1"/>
  <c r="E86" i="151"/>
  <c r="D86" i="151" s="1"/>
  <c r="G86" i="151" s="1"/>
  <c r="F87" i="151" s="1"/>
  <c r="E46" i="151"/>
  <c r="D46" i="151" s="1"/>
  <c r="G46" i="151" s="1"/>
  <c r="F47" i="151" s="1"/>
  <c r="E85" i="150"/>
  <c r="D85" i="150" s="1"/>
  <c r="G85" i="150" s="1"/>
  <c r="F86" i="150" s="1"/>
  <c r="E45" i="150"/>
  <c r="D45" i="150" s="1"/>
  <c r="G45" i="150" s="1"/>
  <c r="F46" i="150" s="1"/>
  <c r="I15" i="137"/>
  <c r="E40" i="138"/>
  <c r="D40" i="138" s="1"/>
  <c r="G40" i="138" s="1"/>
  <c r="F41" i="138" s="1"/>
  <c r="E41" i="138" s="1"/>
  <c r="D41" i="138" s="1"/>
  <c r="G41" i="138" s="1"/>
  <c r="F42" i="138" s="1"/>
  <c r="E42" i="138" s="1"/>
  <c r="D42" i="138" s="1"/>
  <c r="G42" i="138" s="1"/>
  <c r="F43" i="138" s="1"/>
  <c r="E43" i="138" s="1"/>
  <c r="D43" i="138" s="1"/>
  <c r="G43" i="138" s="1"/>
  <c r="F44" i="138" s="1"/>
  <c r="E44" i="138" s="1"/>
  <c r="D44" i="138" s="1"/>
  <c r="G44" i="138" s="1"/>
  <c r="F45" i="138" s="1"/>
  <c r="H16" i="138"/>
  <c r="E16" i="138"/>
  <c r="D16" i="138" s="1"/>
  <c r="G16" i="138" s="1"/>
  <c r="F17" i="138" s="1"/>
  <c r="H16" i="137"/>
  <c r="E16" i="137"/>
  <c r="D16" i="137" s="1"/>
  <c r="G16" i="137" s="1"/>
  <c r="F17" i="137" s="1"/>
  <c r="E87" i="156" l="1"/>
  <c r="D87" i="156" s="1"/>
  <c r="G87" i="156" s="1"/>
  <c r="F88" i="156" s="1"/>
  <c r="E47" i="156"/>
  <c r="D47" i="156" s="1"/>
  <c r="G47" i="156" s="1"/>
  <c r="F48" i="156" s="1"/>
  <c r="E65" i="152"/>
  <c r="D65" i="152" s="1"/>
  <c r="G65" i="152" s="1"/>
  <c r="F66" i="152" s="1"/>
  <c r="E46" i="152"/>
  <c r="D46" i="152" s="1"/>
  <c r="G46" i="152" s="1"/>
  <c r="F47" i="152" s="1"/>
  <c r="E46" i="153"/>
  <c r="D46" i="153" s="1"/>
  <c r="G46" i="153" s="1"/>
  <c r="F47" i="153" s="1"/>
  <c r="E65" i="153"/>
  <c r="D65" i="153" s="1"/>
  <c r="G65" i="153" s="1"/>
  <c r="F66" i="153" s="1"/>
  <c r="E46" i="150"/>
  <c r="D46" i="150" s="1"/>
  <c r="G46" i="150" s="1"/>
  <c r="F47" i="150" s="1"/>
  <c r="E86" i="150"/>
  <c r="D86" i="150" s="1"/>
  <c r="G86" i="150" s="1"/>
  <c r="F87" i="150" s="1"/>
  <c r="E47" i="151"/>
  <c r="D47" i="151" s="1"/>
  <c r="G47" i="151" s="1"/>
  <c r="F48" i="151" s="1"/>
  <c r="E87" i="151"/>
  <c r="D87" i="151" s="1"/>
  <c r="G87" i="151" s="1"/>
  <c r="F88" i="151" s="1"/>
  <c r="E45" i="138"/>
  <c r="D45" i="138" s="1"/>
  <c r="G45" i="138" s="1"/>
  <c r="F46" i="138" s="1"/>
  <c r="E40" i="137"/>
  <c r="D40" i="137" s="1"/>
  <c r="G40" i="137" s="1"/>
  <c r="F41" i="137" s="1"/>
  <c r="E41" i="137" s="1"/>
  <c r="D41" i="137" s="1"/>
  <c r="G41" i="137" s="1"/>
  <c r="F42" i="137" s="1"/>
  <c r="E42" i="137" s="1"/>
  <c r="I16" i="137"/>
  <c r="H17" i="138"/>
  <c r="E17" i="138"/>
  <c r="D17" i="138" s="1"/>
  <c r="G17" i="138" s="1"/>
  <c r="F18" i="138" s="1"/>
  <c r="H17" i="137"/>
  <c r="E17" i="137"/>
  <c r="D17" i="137" s="1"/>
  <c r="G17" i="137" s="1"/>
  <c r="F18" i="137" s="1"/>
  <c r="I16" i="138"/>
  <c r="E48" i="156" l="1"/>
  <c r="D48" i="156" s="1"/>
  <c r="G48" i="156" s="1"/>
  <c r="F49" i="156" s="1"/>
  <c r="E88" i="156"/>
  <c r="D88" i="156" s="1"/>
  <c r="G88" i="156" s="1"/>
  <c r="F89" i="156" s="1"/>
  <c r="E66" i="153"/>
  <c r="D66" i="153" s="1"/>
  <c r="G66" i="153" s="1"/>
  <c r="F67" i="153" s="1"/>
  <c r="E47" i="152"/>
  <c r="D47" i="152" s="1"/>
  <c r="G47" i="152" s="1"/>
  <c r="F48" i="152" s="1"/>
  <c r="E47" i="153"/>
  <c r="D47" i="153" s="1"/>
  <c r="G47" i="153" s="1"/>
  <c r="F48" i="153" s="1"/>
  <c r="E66" i="152"/>
  <c r="D66" i="152" s="1"/>
  <c r="G66" i="152" s="1"/>
  <c r="F67" i="152" s="1"/>
  <c r="E88" i="151"/>
  <c r="D88" i="151" s="1"/>
  <c r="G88" i="151" s="1"/>
  <c r="F89" i="151" s="1"/>
  <c r="E48" i="151"/>
  <c r="D48" i="151" s="1"/>
  <c r="G48" i="151" s="1"/>
  <c r="F49" i="151" s="1"/>
  <c r="E87" i="150"/>
  <c r="D87" i="150" s="1"/>
  <c r="G87" i="150" s="1"/>
  <c r="F88" i="150" s="1"/>
  <c r="E47" i="150"/>
  <c r="D47" i="150" s="1"/>
  <c r="G47" i="150" s="1"/>
  <c r="F48" i="150" s="1"/>
  <c r="E46" i="138"/>
  <c r="D46" i="138" s="1"/>
  <c r="G46" i="138" s="1"/>
  <c r="F47" i="138" s="1"/>
  <c r="D42" i="137"/>
  <c r="G42" i="137" s="1"/>
  <c r="F43" i="137" s="1"/>
  <c r="H18" i="138"/>
  <c r="E18" i="138"/>
  <c r="D18" i="138" s="1"/>
  <c r="G18" i="138" s="1"/>
  <c r="F19" i="138" s="1"/>
  <c r="H18" i="137"/>
  <c r="E18" i="137"/>
  <c r="D18" i="137" s="1"/>
  <c r="G18" i="137" s="1"/>
  <c r="F19" i="137" s="1"/>
  <c r="I17" i="138"/>
  <c r="I17" i="137"/>
  <c r="E89" i="156" l="1"/>
  <c r="D89" i="156" s="1"/>
  <c r="G89" i="156" s="1"/>
  <c r="F90" i="156" s="1"/>
  <c r="E49" i="156"/>
  <c r="D49" i="156" s="1"/>
  <c r="G49" i="156" s="1"/>
  <c r="F50" i="156" s="1"/>
  <c r="E67" i="152"/>
  <c r="D67" i="152" s="1"/>
  <c r="G67" i="152" s="1"/>
  <c r="F68" i="152" s="1"/>
  <c r="E48" i="152"/>
  <c r="D48" i="152" s="1"/>
  <c r="G48" i="152" s="1"/>
  <c r="F49" i="152" s="1"/>
  <c r="E48" i="153"/>
  <c r="D48" i="153" s="1"/>
  <c r="G48" i="153" s="1"/>
  <c r="F49" i="153" s="1"/>
  <c r="E67" i="153"/>
  <c r="D67" i="153" s="1"/>
  <c r="G67" i="153" s="1"/>
  <c r="F68" i="153" s="1"/>
  <c r="E48" i="150"/>
  <c r="D48" i="150" s="1"/>
  <c r="G48" i="150" s="1"/>
  <c r="F49" i="150" s="1"/>
  <c r="E88" i="150"/>
  <c r="D88" i="150" s="1"/>
  <c r="G88" i="150" s="1"/>
  <c r="F89" i="150" s="1"/>
  <c r="E49" i="151"/>
  <c r="D49" i="151" s="1"/>
  <c r="G49" i="151" s="1"/>
  <c r="F50" i="151" s="1"/>
  <c r="E89" i="151"/>
  <c r="D89" i="151" s="1"/>
  <c r="G89" i="151" s="1"/>
  <c r="F90" i="151" s="1"/>
  <c r="E47" i="138"/>
  <c r="D47" i="138" s="1"/>
  <c r="G47" i="138" s="1"/>
  <c r="F48" i="138" s="1"/>
  <c r="E43" i="137"/>
  <c r="D43" i="137" s="1"/>
  <c r="G43" i="137" s="1"/>
  <c r="F44" i="137" s="1"/>
  <c r="E44" i="137" s="1"/>
  <c r="D44" i="137" s="1"/>
  <c r="G44" i="137" s="1"/>
  <c r="F45" i="137" s="1"/>
  <c r="E45" i="137" s="1"/>
  <c r="H19" i="138"/>
  <c r="E19" i="138"/>
  <c r="D19" i="138" s="1"/>
  <c r="G19" i="138" s="1"/>
  <c r="F20" i="138" s="1"/>
  <c r="H19" i="137"/>
  <c r="E19" i="137"/>
  <c r="D19" i="137" s="1"/>
  <c r="G19" i="137" s="1"/>
  <c r="F20" i="137" s="1"/>
  <c r="I18" i="137"/>
  <c r="I18" i="138"/>
  <c r="E90" i="156" l="1"/>
  <c r="D90" i="156" s="1"/>
  <c r="G90" i="156" s="1"/>
  <c r="F91" i="156" s="1"/>
  <c r="E50" i="156"/>
  <c r="D50" i="156" s="1"/>
  <c r="G50" i="156" s="1"/>
  <c r="F51" i="156" s="1"/>
  <c r="E68" i="153"/>
  <c r="D68" i="153" s="1"/>
  <c r="G68" i="153" s="1"/>
  <c r="F69" i="153" s="1"/>
  <c r="E49" i="152"/>
  <c r="D49" i="152" s="1"/>
  <c r="G49" i="152" s="1"/>
  <c r="F50" i="152" s="1"/>
  <c r="E49" i="153"/>
  <c r="D49" i="153" s="1"/>
  <c r="G49" i="153" s="1"/>
  <c r="F50" i="153" s="1"/>
  <c r="E68" i="152"/>
  <c r="D68" i="152" s="1"/>
  <c r="G68" i="152" s="1"/>
  <c r="F69" i="152" s="1"/>
  <c r="E90" i="151"/>
  <c r="D90" i="151" s="1"/>
  <c r="G90" i="151" s="1"/>
  <c r="F91" i="151" s="1"/>
  <c r="E50" i="151"/>
  <c r="D50" i="151" s="1"/>
  <c r="G50" i="151" s="1"/>
  <c r="F51" i="151" s="1"/>
  <c r="E89" i="150"/>
  <c r="D89" i="150" s="1"/>
  <c r="G89" i="150" s="1"/>
  <c r="F90" i="150" s="1"/>
  <c r="E49" i="150"/>
  <c r="D49" i="150" s="1"/>
  <c r="G49" i="150" s="1"/>
  <c r="F50" i="150" s="1"/>
  <c r="E48" i="138"/>
  <c r="D48" i="138" s="1"/>
  <c r="G48" i="138" s="1"/>
  <c r="F49" i="138" s="1"/>
  <c r="D45" i="137"/>
  <c r="G45" i="137" s="1"/>
  <c r="F46" i="137" s="1"/>
  <c r="E46" i="137" s="1"/>
  <c r="H20" i="137"/>
  <c r="E20" i="137"/>
  <c r="D20" i="137" s="1"/>
  <c r="G20" i="137" s="1"/>
  <c r="F21" i="137" s="1"/>
  <c r="H20" i="138"/>
  <c r="E20" i="138"/>
  <c r="D20" i="138" s="1"/>
  <c r="G20" i="138" s="1"/>
  <c r="F21" i="138" s="1"/>
  <c r="I19" i="137"/>
  <c r="I19" i="138"/>
  <c r="E51" i="156" l="1"/>
  <c r="D51" i="156" s="1"/>
  <c r="G51" i="156" s="1"/>
  <c r="F52" i="156" s="1"/>
  <c r="G52" i="156" s="1"/>
  <c r="E91" i="156"/>
  <c r="D91" i="156" s="1"/>
  <c r="G91" i="156" s="1"/>
  <c r="F92" i="156" s="1"/>
  <c r="E69" i="152"/>
  <c r="D69" i="152" s="1"/>
  <c r="G69" i="152" s="1"/>
  <c r="F70" i="152" s="1"/>
  <c r="E50" i="152"/>
  <c r="D50" i="152" s="1"/>
  <c r="G50" i="152" s="1"/>
  <c r="F51" i="152" s="1"/>
  <c r="E50" i="153"/>
  <c r="D50" i="153" s="1"/>
  <c r="G50" i="153" s="1"/>
  <c r="F51" i="153" s="1"/>
  <c r="E69" i="153"/>
  <c r="D69" i="153" s="1"/>
  <c r="G69" i="153" s="1"/>
  <c r="F70" i="153" s="1"/>
  <c r="E50" i="150"/>
  <c r="D50" i="150" s="1"/>
  <c r="G50" i="150" s="1"/>
  <c r="F51" i="150" s="1"/>
  <c r="E90" i="150"/>
  <c r="D90" i="150" s="1"/>
  <c r="G90" i="150" s="1"/>
  <c r="F91" i="150" s="1"/>
  <c r="E51" i="151"/>
  <c r="D51" i="151" s="1"/>
  <c r="G51" i="151" s="1"/>
  <c r="F52" i="151" s="1"/>
  <c r="G52" i="151" s="1"/>
  <c r="E91" i="151"/>
  <c r="D91" i="151" s="1"/>
  <c r="G91" i="151" s="1"/>
  <c r="F92" i="151" s="1"/>
  <c r="E49" i="138"/>
  <c r="D49" i="138" s="1"/>
  <c r="G49" i="138" s="1"/>
  <c r="F50" i="138" s="1"/>
  <c r="I20" i="138"/>
  <c r="D46" i="137"/>
  <c r="G46" i="137" s="1"/>
  <c r="F47" i="137" s="1"/>
  <c r="E47" i="137" s="1"/>
  <c r="H21" i="138"/>
  <c r="E21" i="138"/>
  <c r="D21" i="138" s="1"/>
  <c r="G21" i="138" s="1"/>
  <c r="F22" i="138" s="1"/>
  <c r="H21" i="137"/>
  <c r="E21" i="137"/>
  <c r="D21" i="137" s="1"/>
  <c r="G21" i="137" s="1"/>
  <c r="F22" i="137" s="1"/>
  <c r="I20" i="137"/>
  <c r="D92" i="156" l="1"/>
  <c r="G92" i="156" s="1"/>
  <c r="D92" i="151"/>
  <c r="G92" i="151" s="1"/>
  <c r="E70" i="153"/>
  <c r="D70" i="153" s="1"/>
  <c r="G70" i="153" s="1"/>
  <c r="F71" i="153" s="1"/>
  <c r="E51" i="152"/>
  <c r="D51" i="152" s="1"/>
  <c r="G51" i="152" s="1"/>
  <c r="F52" i="152" s="1"/>
  <c r="G52" i="152" s="1"/>
  <c r="E51" i="153"/>
  <c r="D51" i="153" s="1"/>
  <c r="G51" i="153" s="1"/>
  <c r="F52" i="153" s="1"/>
  <c r="G52" i="153" s="1"/>
  <c r="E70" i="152"/>
  <c r="D70" i="152" s="1"/>
  <c r="G70" i="152" s="1"/>
  <c r="F71" i="152" s="1"/>
  <c r="E91" i="150"/>
  <c r="D91" i="150" s="1"/>
  <c r="G91" i="150" s="1"/>
  <c r="F92" i="150" s="1"/>
  <c r="E51" i="150"/>
  <c r="D51" i="150" s="1"/>
  <c r="G51" i="150" s="1"/>
  <c r="F52" i="150" s="1"/>
  <c r="G52" i="150" s="1"/>
  <c r="E50" i="138"/>
  <c r="D50" i="138" s="1"/>
  <c r="G50" i="138" s="1"/>
  <c r="F51" i="138" s="1"/>
  <c r="D47" i="137"/>
  <c r="G47" i="137" s="1"/>
  <c r="F48" i="137" s="1"/>
  <c r="E48" i="137" s="1"/>
  <c r="H22" i="137"/>
  <c r="E22" i="137"/>
  <c r="D22" i="137" s="1"/>
  <c r="G22" i="137" s="1"/>
  <c r="F23" i="137" s="1"/>
  <c r="H22" i="138"/>
  <c r="E22" i="138"/>
  <c r="D22" i="138" s="1"/>
  <c r="G22" i="138" s="1"/>
  <c r="F23" i="138" s="1"/>
  <c r="I21" i="137"/>
  <c r="I21" i="138"/>
  <c r="D92" i="150" l="1"/>
  <c r="G92" i="150" s="1"/>
  <c r="D71" i="152"/>
  <c r="G71" i="152" s="1"/>
  <c r="D71" i="153"/>
  <c r="G71" i="153" s="1"/>
  <c r="E51" i="138"/>
  <c r="D51" i="138" s="1"/>
  <c r="G51" i="138" s="1"/>
  <c r="F52" i="138" s="1"/>
  <c r="E52" i="138" s="1"/>
  <c r="D52" i="138" s="1"/>
  <c r="G52" i="138" s="1"/>
  <c r="F53" i="138" s="1"/>
  <c r="E53" i="138" s="1"/>
  <c r="D53" i="138" s="1"/>
  <c r="G53" i="138" s="1"/>
  <c r="F54" i="138" s="1"/>
  <c r="E54" i="138" s="1"/>
  <c r="D54" i="138" s="1"/>
  <c r="G54" i="138" s="1"/>
  <c r="F55" i="138" s="1"/>
  <c r="E55" i="138" s="1"/>
  <c r="D55" i="138" s="1"/>
  <c r="G55" i="138" s="1"/>
  <c r="F56" i="138" s="1"/>
  <c r="E56" i="138" s="1"/>
  <c r="D56" i="138" s="1"/>
  <c r="G56" i="138" s="1"/>
  <c r="F57" i="138" s="1"/>
  <c r="E57" i="138" s="1"/>
  <c r="D57" i="138" s="1"/>
  <c r="G57" i="138" s="1"/>
  <c r="F58" i="138" s="1"/>
  <c r="E58" i="138" s="1"/>
  <c r="D58" i="138" s="1"/>
  <c r="G58" i="138" s="1"/>
  <c r="F59" i="138" s="1"/>
  <c r="E59" i="138" s="1"/>
  <c r="D59" i="138" s="1"/>
  <c r="G59" i="138" s="1"/>
  <c r="F60" i="138" s="1"/>
  <c r="E60" i="138" s="1"/>
  <c r="D60" i="138" s="1"/>
  <c r="G60" i="138" s="1"/>
  <c r="F61" i="138" s="1"/>
  <c r="E61" i="138" s="1"/>
  <c r="D61" i="138" s="1"/>
  <c r="G61" i="138" s="1"/>
  <c r="F62" i="138" s="1"/>
  <c r="E62" i="138" s="1"/>
  <c r="D62" i="138" s="1"/>
  <c r="G62" i="138" s="1"/>
  <c r="F63" i="138" s="1"/>
  <c r="D63" i="138" s="1"/>
  <c r="G63" i="138" s="1"/>
  <c r="I22" i="138"/>
  <c r="D48" i="137"/>
  <c r="G48" i="137" s="1"/>
  <c r="F49" i="137" s="1"/>
  <c r="E49" i="137" s="1"/>
  <c r="H23" i="138"/>
  <c r="E23" i="138"/>
  <c r="D23" i="138" s="1"/>
  <c r="G23" i="138" s="1"/>
  <c r="F24" i="138" s="1"/>
  <c r="H23" i="137"/>
  <c r="E23" i="137"/>
  <c r="D23" i="137" s="1"/>
  <c r="G23" i="137" s="1"/>
  <c r="F24" i="137" s="1"/>
  <c r="I22" i="137"/>
  <c r="D49" i="137" l="1"/>
  <c r="G49" i="137" s="1"/>
  <c r="F50" i="137" s="1"/>
  <c r="E50" i="137" s="1"/>
  <c r="H24" i="137"/>
  <c r="E24" i="137"/>
  <c r="D24" i="137" s="1"/>
  <c r="G24" i="137" s="1"/>
  <c r="F25" i="137" s="1"/>
  <c r="H24" i="138"/>
  <c r="E24" i="138"/>
  <c r="D24" i="138" s="1"/>
  <c r="G24" i="138" s="1"/>
  <c r="F25" i="138" s="1"/>
  <c r="I23" i="137"/>
  <c r="I23" i="138"/>
  <c r="I24" i="138" l="1"/>
  <c r="D50" i="137"/>
  <c r="G50" i="137" s="1"/>
  <c r="F51" i="137" s="1"/>
  <c r="E51" i="137" s="1"/>
  <c r="H25" i="138"/>
  <c r="E25" i="138"/>
  <c r="D25" i="138" s="1"/>
  <c r="G25" i="138" s="1"/>
  <c r="F26" i="138" s="1"/>
  <c r="H25" i="137"/>
  <c r="E25" i="137"/>
  <c r="D25" i="137" s="1"/>
  <c r="G25" i="137" s="1"/>
  <c r="F26" i="137" s="1"/>
  <c r="I24" i="137"/>
  <c r="D51" i="137" l="1"/>
  <c r="G51" i="137" s="1"/>
  <c r="F52" i="137" s="1"/>
  <c r="E52" i="137" s="1"/>
  <c r="D52" i="137" s="1"/>
  <c r="G52" i="137" s="1"/>
  <c r="F53" i="137" s="1"/>
  <c r="E53" i="137" s="1"/>
  <c r="D53" i="137" s="1"/>
  <c r="G53" i="137" s="1"/>
  <c r="F54" i="137" s="1"/>
  <c r="E54" i="137" s="1"/>
  <c r="D54" i="137" s="1"/>
  <c r="G54" i="137" s="1"/>
  <c r="F55" i="137" s="1"/>
  <c r="E55" i="137" s="1"/>
  <c r="D55" i="137" s="1"/>
  <c r="G55" i="137" s="1"/>
  <c r="F56" i="137" s="1"/>
  <c r="E56" i="137" s="1"/>
  <c r="D56" i="137" s="1"/>
  <c r="G56" i="137" s="1"/>
  <c r="F57" i="137" s="1"/>
  <c r="E57" i="137" s="1"/>
  <c r="D57" i="137" s="1"/>
  <c r="G57" i="137" s="1"/>
  <c r="F58" i="137" s="1"/>
  <c r="E58" i="137" s="1"/>
  <c r="D58" i="137" s="1"/>
  <c r="G58" i="137" s="1"/>
  <c r="F59" i="137" s="1"/>
  <c r="E59" i="137" s="1"/>
  <c r="D59" i="137" s="1"/>
  <c r="G59" i="137" s="1"/>
  <c r="F60" i="137" s="1"/>
  <c r="E60" i="137" s="1"/>
  <c r="D60" i="137" s="1"/>
  <c r="G60" i="137" s="1"/>
  <c r="F61" i="137" s="1"/>
  <c r="E61" i="137" s="1"/>
  <c r="D61" i="137" s="1"/>
  <c r="G61" i="137" s="1"/>
  <c r="F62" i="137" s="1"/>
  <c r="E62" i="137" s="1"/>
  <c r="D62" i="137" s="1"/>
  <c r="G62" i="137" s="1"/>
  <c r="F63" i="137" s="1"/>
  <c r="H26" i="137"/>
  <c r="E26" i="137"/>
  <c r="D26" i="137" s="1"/>
  <c r="G26" i="137" s="1"/>
  <c r="F27" i="137" s="1"/>
  <c r="H26" i="138"/>
  <c r="E26" i="138"/>
  <c r="D26" i="138" s="1"/>
  <c r="G26" i="138" s="1"/>
  <c r="F27" i="138" s="1"/>
  <c r="I25" i="137"/>
  <c r="I25" i="138"/>
  <c r="I26" i="138" l="1"/>
  <c r="D63" i="137"/>
  <c r="G63" i="137" s="1"/>
  <c r="H27" i="138"/>
  <c r="E27" i="138"/>
  <c r="D27" i="138" s="1"/>
  <c r="G27" i="138" s="1"/>
  <c r="F28" i="138" s="1"/>
  <c r="H27" i="137"/>
  <c r="E27" i="137"/>
  <c r="D27" i="137" s="1"/>
  <c r="G27" i="137" s="1"/>
  <c r="F28" i="137" s="1"/>
  <c r="I26" i="137"/>
  <c r="H28" i="137" l="1"/>
  <c r="E28" i="137"/>
  <c r="D28" i="137" s="1"/>
  <c r="G28" i="137" s="1"/>
  <c r="F29" i="137" s="1"/>
  <c r="H28" i="138"/>
  <c r="E28" i="138"/>
  <c r="D28" i="138" s="1"/>
  <c r="G28" i="138" s="1"/>
  <c r="F29" i="138" s="1"/>
  <c r="I27" i="137"/>
  <c r="I27" i="138"/>
  <c r="I28" i="138" l="1"/>
  <c r="H29" i="138"/>
  <c r="E29" i="138"/>
  <c r="D29" i="138" s="1"/>
  <c r="G29" i="138" s="1"/>
  <c r="F30" i="138" s="1"/>
  <c r="H29" i="137"/>
  <c r="E29" i="137"/>
  <c r="D29" i="137" s="1"/>
  <c r="G29" i="137" s="1"/>
  <c r="F30" i="137" s="1"/>
  <c r="I28" i="137"/>
  <c r="H30" i="137" l="1"/>
  <c r="E30" i="137"/>
  <c r="D30" i="137" s="1"/>
  <c r="G30" i="137" s="1"/>
  <c r="F31" i="137" s="1"/>
  <c r="H30" i="138"/>
  <c r="E30" i="138"/>
  <c r="D30" i="138" s="1"/>
  <c r="G30" i="138" s="1"/>
  <c r="F31" i="138" s="1"/>
  <c r="I29" i="137"/>
  <c r="I29" i="138"/>
  <c r="I30" i="138" l="1"/>
  <c r="H31" i="137"/>
  <c r="E31" i="137"/>
  <c r="D31" i="137" s="1"/>
  <c r="G31" i="137" s="1"/>
  <c r="F32" i="137" s="1"/>
  <c r="H31" i="138"/>
  <c r="E31" i="138"/>
  <c r="D31" i="138" s="1"/>
  <c r="G31" i="138" s="1"/>
  <c r="F32" i="138" s="1"/>
  <c r="I30" i="137"/>
  <c r="H32" i="138" l="1"/>
  <c r="E32" i="138"/>
  <c r="D32" i="138" s="1"/>
  <c r="G32" i="138" s="1"/>
  <c r="F33" i="138" s="1"/>
  <c r="H32" i="137"/>
  <c r="E32" i="137"/>
  <c r="D32" i="137" s="1"/>
  <c r="G32" i="137" s="1"/>
  <c r="F33" i="137" s="1"/>
  <c r="I31" i="138"/>
  <c r="I31" i="137"/>
  <c r="I32" i="137" l="1"/>
  <c r="H33" i="137"/>
  <c r="E33" i="137"/>
  <c r="D33" i="137" s="1"/>
  <c r="G33" i="137" s="1"/>
  <c r="F34" i="137" s="1"/>
  <c r="H33" i="138"/>
  <c r="E33" i="138"/>
  <c r="D33" i="138" s="1"/>
  <c r="G33" i="138" s="1"/>
  <c r="F34" i="138" s="1"/>
  <c r="I32" i="138"/>
  <c r="E34" i="138" l="1"/>
  <c r="D34" i="138" s="1"/>
  <c r="G34" i="138" s="1"/>
  <c r="F35" i="138" s="1"/>
  <c r="E34" i="137"/>
  <c r="D34" i="137" s="1"/>
  <c r="G34" i="137" s="1"/>
  <c r="F35" i="137" s="1"/>
  <c r="I33" i="138"/>
  <c r="I33" i="137"/>
  <c r="E35" i="137" l="1"/>
  <c r="D35" i="137" s="1"/>
  <c r="G35" i="137" s="1"/>
  <c r="F36" i="137" s="1"/>
  <c r="E35" i="138"/>
  <c r="D35" i="138" s="1"/>
  <c r="G35" i="138" s="1"/>
  <c r="F36" i="138" s="1"/>
  <c r="E36" i="138" l="1"/>
  <c r="D36" i="138" s="1"/>
  <c r="G36" i="138" s="1"/>
  <c r="F37" i="138" s="1"/>
  <c r="E36" i="137"/>
  <c r="D36" i="137" s="1"/>
  <c r="G36" i="137" s="1"/>
  <c r="F37" i="137" s="1"/>
  <c r="E37" i="137" l="1"/>
  <c r="D37" i="137" s="1"/>
  <c r="G37" i="137" s="1"/>
  <c r="F38" i="137" s="1"/>
  <c r="E37" i="138"/>
  <c r="D37" i="138" s="1"/>
  <c r="G37" i="138" s="1"/>
  <c r="F38" i="138" s="1"/>
  <c r="E38" i="138" l="1"/>
  <c r="D38" i="138" s="1"/>
  <c r="G38" i="138" s="1"/>
  <c r="F39" i="138" s="1"/>
  <c r="G39" i="138" s="1"/>
  <c r="E38" i="137"/>
  <c r="D38" i="137" s="1"/>
  <c r="G38" i="137" s="1"/>
  <c r="F39" i="137" s="1"/>
  <c r="G39" i="137" s="1"/>
  <c r="B51" i="134" l="1"/>
  <c r="B50" i="134"/>
  <c r="B49" i="134"/>
  <c r="B48" i="134"/>
  <c r="B47" i="134"/>
  <c r="B46" i="134"/>
  <c r="B45" i="134"/>
  <c r="B44" i="134"/>
  <c r="B43" i="134"/>
  <c r="B42" i="134"/>
  <c r="B41" i="134"/>
  <c r="B39" i="135"/>
  <c r="B38" i="135"/>
  <c r="B37" i="135"/>
  <c r="B36" i="135"/>
  <c r="B35" i="135"/>
  <c r="B34" i="135"/>
  <c r="B33" i="135"/>
  <c r="B32" i="135"/>
  <c r="B31" i="135"/>
  <c r="B30" i="135"/>
  <c r="B29" i="135"/>
  <c r="B28" i="135"/>
  <c r="B27" i="135"/>
  <c r="B26" i="135"/>
  <c r="B25" i="135"/>
  <c r="B24" i="135"/>
  <c r="B23" i="135"/>
  <c r="B22" i="135"/>
  <c r="B21" i="135"/>
  <c r="B20" i="135"/>
  <c r="B19" i="135"/>
  <c r="B18" i="135"/>
  <c r="B17" i="135"/>
  <c r="B16" i="135"/>
  <c r="B15" i="135"/>
  <c r="B14" i="135"/>
  <c r="B13" i="135"/>
  <c r="B12" i="135"/>
  <c r="B11" i="135"/>
  <c r="B10" i="135"/>
  <c r="B9" i="135"/>
  <c r="B8" i="135"/>
  <c r="B7" i="135"/>
  <c r="B6" i="135"/>
  <c r="B5" i="135"/>
  <c r="B4" i="135"/>
  <c r="H4" i="135" s="1"/>
  <c r="C2" i="135"/>
  <c r="C38" i="135" s="1"/>
  <c r="B39" i="134"/>
  <c r="B38" i="134"/>
  <c r="B37" i="134"/>
  <c r="B36" i="134"/>
  <c r="B35" i="134"/>
  <c r="B34" i="134"/>
  <c r="B33" i="134"/>
  <c r="B32" i="134"/>
  <c r="B31" i="134"/>
  <c r="B30" i="134"/>
  <c r="B29" i="134"/>
  <c r="B28" i="134"/>
  <c r="B27" i="134"/>
  <c r="B26" i="134"/>
  <c r="B25" i="134"/>
  <c r="B24" i="134"/>
  <c r="B23" i="134"/>
  <c r="B22" i="134"/>
  <c r="B21" i="134"/>
  <c r="B20" i="134"/>
  <c r="B19" i="134"/>
  <c r="B18" i="134"/>
  <c r="B17" i="134"/>
  <c r="B16" i="134"/>
  <c r="B15" i="134"/>
  <c r="B14" i="134"/>
  <c r="B13" i="134"/>
  <c r="B12" i="134"/>
  <c r="B11" i="134"/>
  <c r="B10" i="134"/>
  <c r="B9" i="134"/>
  <c r="B8" i="134"/>
  <c r="B7" i="134"/>
  <c r="B6" i="134"/>
  <c r="B5" i="134"/>
  <c r="B4" i="134"/>
  <c r="E4" i="134" s="1"/>
  <c r="C2" i="134"/>
  <c r="C40" i="134" s="1"/>
  <c r="H2" i="132"/>
  <c r="C57" i="132" s="1"/>
  <c r="E2" i="132"/>
  <c r="C43" i="132" s="1"/>
  <c r="M2" i="132"/>
  <c r="L2" i="132"/>
  <c r="J2" i="132"/>
  <c r="K2" i="132"/>
  <c r="K2" i="131"/>
  <c r="E40" i="131" s="1"/>
  <c r="B40" i="131"/>
  <c r="C28" i="135" l="1"/>
  <c r="C4" i="135"/>
  <c r="C16" i="135"/>
  <c r="E4" i="135"/>
  <c r="D4" i="135" s="1"/>
  <c r="G4" i="135" s="1"/>
  <c r="F5" i="135" s="1"/>
  <c r="C24" i="135"/>
  <c r="C12" i="135"/>
  <c r="C32" i="135"/>
  <c r="C20" i="135"/>
  <c r="C8" i="135"/>
  <c r="C37" i="135"/>
  <c r="C5" i="135"/>
  <c r="C9" i="135"/>
  <c r="C13" i="135"/>
  <c r="C17" i="135"/>
  <c r="C21" i="135"/>
  <c r="C25" i="135"/>
  <c r="C29" i="135"/>
  <c r="C33" i="135"/>
  <c r="C39" i="135"/>
  <c r="D39" i="135" s="1"/>
  <c r="C40" i="135"/>
  <c r="C6" i="135"/>
  <c r="C10" i="135"/>
  <c r="C14" i="135"/>
  <c r="C18" i="135"/>
  <c r="C22" i="135"/>
  <c r="C26" i="135"/>
  <c r="C30" i="135"/>
  <c r="C34" i="135"/>
  <c r="C7" i="135"/>
  <c r="C11" i="135"/>
  <c r="C15" i="135"/>
  <c r="C19" i="135"/>
  <c r="C23" i="135"/>
  <c r="C27" i="135"/>
  <c r="C31" i="135"/>
  <c r="C36" i="135"/>
  <c r="C38" i="134"/>
  <c r="C34" i="134"/>
  <c r="C33" i="134"/>
  <c r="C32" i="134"/>
  <c r="C31" i="134"/>
  <c r="C30" i="134"/>
  <c r="C29" i="134"/>
  <c r="C28" i="134"/>
  <c r="C27" i="134"/>
  <c r="C26" i="134"/>
  <c r="C25" i="134"/>
  <c r="C24" i="134"/>
  <c r="C23" i="134"/>
  <c r="C22" i="134"/>
  <c r="C21" i="134"/>
  <c r="C20" i="134"/>
  <c r="C19" i="134"/>
  <c r="C18" i="134"/>
  <c r="C17" i="134"/>
  <c r="C16" i="134"/>
  <c r="C15" i="134"/>
  <c r="H4" i="134"/>
  <c r="I4" i="134" s="1"/>
  <c r="C36" i="134"/>
  <c r="C39" i="134"/>
  <c r="D39" i="134" s="1"/>
  <c r="C5" i="134"/>
  <c r="C6" i="134"/>
  <c r="C7" i="134"/>
  <c r="C8" i="134"/>
  <c r="C9" i="134"/>
  <c r="C10" i="134"/>
  <c r="C11" i="134"/>
  <c r="C12" i="134"/>
  <c r="C13" i="134"/>
  <c r="C14" i="134"/>
  <c r="C4" i="134"/>
  <c r="D4" i="134" s="1"/>
  <c r="G4" i="134" s="1"/>
  <c r="F5" i="134" s="1"/>
  <c r="C35" i="134"/>
  <c r="I4" i="135"/>
  <c r="C37" i="134"/>
  <c r="C35" i="135"/>
  <c r="C53" i="132"/>
  <c r="C56" i="132"/>
  <c r="C55" i="132"/>
  <c r="C54" i="132"/>
  <c r="C52" i="132"/>
  <c r="C59" i="132"/>
  <c r="C58" i="132"/>
  <c r="C48" i="132"/>
  <c r="C47" i="132"/>
  <c r="C50" i="132"/>
  <c r="C49" i="132"/>
  <c r="C46" i="132"/>
  <c r="C45" i="132"/>
  <c r="C42" i="132"/>
  <c r="C44" i="132"/>
  <c r="C51" i="132"/>
  <c r="C40" i="132"/>
  <c r="H5" i="135" l="1"/>
  <c r="E5" i="135"/>
  <c r="D5" i="135" s="1"/>
  <c r="G5" i="135" s="1"/>
  <c r="F6" i="135" s="1"/>
  <c r="H6" i="135" s="1"/>
  <c r="E5" i="134"/>
  <c r="D5" i="134" s="1"/>
  <c r="G5" i="134" s="1"/>
  <c r="F6" i="134" s="1"/>
  <c r="H5" i="134"/>
  <c r="I5" i="135" l="1"/>
  <c r="E6" i="135"/>
  <c r="D6" i="135" s="1"/>
  <c r="G6" i="135" s="1"/>
  <c r="F7" i="135" s="1"/>
  <c r="H7" i="135" s="1"/>
  <c r="E6" i="134"/>
  <c r="D6" i="134" s="1"/>
  <c r="G6" i="134" s="1"/>
  <c r="F7" i="134" s="1"/>
  <c r="H6" i="134"/>
  <c r="I5" i="134"/>
  <c r="I6" i="135"/>
  <c r="E7" i="135" l="1"/>
  <c r="D7" i="135" s="1"/>
  <c r="G7" i="135" s="1"/>
  <c r="F8" i="135" s="1"/>
  <c r="H8" i="135" s="1"/>
  <c r="E7" i="134"/>
  <c r="D7" i="134" s="1"/>
  <c r="G7" i="134" s="1"/>
  <c r="F8" i="134" s="1"/>
  <c r="H7" i="134"/>
  <c r="I6" i="134"/>
  <c r="I7" i="135" l="1"/>
  <c r="E8" i="135"/>
  <c r="D8" i="135" s="1"/>
  <c r="G8" i="135" s="1"/>
  <c r="F9" i="135" s="1"/>
  <c r="H9" i="135" s="1"/>
  <c r="E8" i="134"/>
  <c r="D8" i="134" s="1"/>
  <c r="G8" i="134" s="1"/>
  <c r="F9" i="134" s="1"/>
  <c r="H8" i="134"/>
  <c r="I7" i="134"/>
  <c r="I8" i="135"/>
  <c r="E9" i="135" l="1"/>
  <c r="D9" i="135" s="1"/>
  <c r="G9" i="135" s="1"/>
  <c r="F10" i="135" s="1"/>
  <c r="H10" i="135" s="1"/>
  <c r="I8" i="134"/>
  <c r="E9" i="134"/>
  <c r="D9" i="134" s="1"/>
  <c r="G9" i="134" s="1"/>
  <c r="F10" i="134" s="1"/>
  <c r="H9" i="134"/>
  <c r="I9" i="135" l="1"/>
  <c r="E10" i="135"/>
  <c r="D10" i="135" s="1"/>
  <c r="G10" i="135" s="1"/>
  <c r="F11" i="135" s="1"/>
  <c r="H11" i="135" s="1"/>
  <c r="E10" i="134"/>
  <c r="D10" i="134" s="1"/>
  <c r="G10" i="134" s="1"/>
  <c r="F11" i="134" s="1"/>
  <c r="H10" i="134"/>
  <c r="I9" i="134"/>
  <c r="I10" i="135"/>
  <c r="E11" i="135" l="1"/>
  <c r="D11" i="135" s="1"/>
  <c r="G11" i="135" s="1"/>
  <c r="F12" i="135" s="1"/>
  <c r="H12" i="135" s="1"/>
  <c r="E11" i="134"/>
  <c r="D11" i="134" s="1"/>
  <c r="G11" i="134" s="1"/>
  <c r="F12" i="134" s="1"/>
  <c r="H11" i="134"/>
  <c r="I10" i="134"/>
  <c r="I11" i="135" l="1"/>
  <c r="E12" i="135"/>
  <c r="D12" i="135" s="1"/>
  <c r="G12" i="135" s="1"/>
  <c r="F13" i="135" s="1"/>
  <c r="H13" i="135" s="1"/>
  <c r="E12" i="134"/>
  <c r="D12" i="134" s="1"/>
  <c r="G12" i="134" s="1"/>
  <c r="F13" i="134" s="1"/>
  <c r="H12" i="134"/>
  <c r="I11" i="134"/>
  <c r="I12" i="135"/>
  <c r="E13" i="135" l="1"/>
  <c r="D13" i="135" s="1"/>
  <c r="G13" i="135" s="1"/>
  <c r="F14" i="135" s="1"/>
  <c r="H14" i="135" s="1"/>
  <c r="I12" i="134"/>
  <c r="E13" i="134"/>
  <c r="D13" i="134" s="1"/>
  <c r="G13" i="134" s="1"/>
  <c r="F14" i="134" s="1"/>
  <c r="H13" i="134"/>
  <c r="I13" i="135" l="1"/>
  <c r="E14" i="135"/>
  <c r="D14" i="135" s="1"/>
  <c r="G14" i="135" s="1"/>
  <c r="F15" i="135" s="1"/>
  <c r="H15" i="135" s="1"/>
  <c r="E14" i="134"/>
  <c r="D14" i="134" s="1"/>
  <c r="G14" i="134" s="1"/>
  <c r="H14" i="134"/>
  <c r="I13" i="134"/>
  <c r="I14" i="135"/>
  <c r="E15" i="135" l="1"/>
  <c r="D15" i="135" s="1"/>
  <c r="G15" i="135" s="1"/>
  <c r="F16" i="135" s="1"/>
  <c r="F15" i="134"/>
  <c r="I14" i="134"/>
  <c r="I15" i="135" l="1"/>
  <c r="F40" i="135"/>
  <c r="E40" i="135"/>
  <c r="D40" i="135" s="1"/>
  <c r="G40" i="135" s="1"/>
  <c r="F41" i="135" s="1"/>
  <c r="E41" i="135" s="1"/>
  <c r="D41" i="135" s="1"/>
  <c r="G41" i="135" s="1"/>
  <c r="F42" i="135" s="1"/>
  <c r="E42" i="135" s="1"/>
  <c r="D42" i="135" s="1"/>
  <c r="G42" i="135" s="1"/>
  <c r="F43" i="135" s="1"/>
  <c r="E43" i="135" s="1"/>
  <c r="D43" i="135" s="1"/>
  <c r="G43" i="135" s="1"/>
  <c r="F44" i="135" s="1"/>
  <c r="E44" i="135" s="1"/>
  <c r="D44" i="135" s="1"/>
  <c r="G44" i="135" s="1"/>
  <c r="F45" i="135" s="1"/>
  <c r="E45" i="135" s="1"/>
  <c r="D45" i="135" s="1"/>
  <c r="G45" i="135" s="1"/>
  <c r="F46" i="135" s="1"/>
  <c r="E46" i="135" s="1"/>
  <c r="D46" i="135" s="1"/>
  <c r="G46" i="135" s="1"/>
  <c r="F47" i="135" s="1"/>
  <c r="E47" i="135" s="1"/>
  <c r="D47" i="135" s="1"/>
  <c r="G47" i="135" s="1"/>
  <c r="F48" i="135" s="1"/>
  <c r="E48" i="135" s="1"/>
  <c r="D48" i="135" s="1"/>
  <c r="G48" i="135" s="1"/>
  <c r="F49" i="135" s="1"/>
  <c r="E49" i="135" s="1"/>
  <c r="D49" i="135" s="1"/>
  <c r="G49" i="135" s="1"/>
  <c r="F50" i="135" s="1"/>
  <c r="E50" i="135" s="1"/>
  <c r="D50" i="135" s="1"/>
  <c r="G50" i="135" s="1"/>
  <c r="F51" i="135" s="1"/>
  <c r="E16" i="135"/>
  <c r="D16" i="135" s="1"/>
  <c r="G16" i="135" s="1"/>
  <c r="F17" i="135" s="1"/>
  <c r="E17" i="135" s="1"/>
  <c r="D17" i="135" s="1"/>
  <c r="G17" i="135" s="1"/>
  <c r="F18" i="135" s="1"/>
  <c r="H16" i="135"/>
  <c r="E15" i="134"/>
  <c r="H15" i="134"/>
  <c r="I16" i="135"/>
  <c r="E51" i="135" l="1"/>
  <c r="D51" i="135" s="1"/>
  <c r="G51" i="135" s="1"/>
  <c r="F52" i="135" s="1"/>
  <c r="E52" i="135" s="1"/>
  <c r="D52" i="135" s="1"/>
  <c r="G52" i="135" s="1"/>
  <c r="F53" i="135" s="1"/>
  <c r="H17" i="135"/>
  <c r="I17" i="135" s="1"/>
  <c r="I15" i="134"/>
  <c r="D15" i="134"/>
  <c r="G15" i="134" s="1"/>
  <c r="H18" i="135"/>
  <c r="E18" i="135"/>
  <c r="D18" i="135" s="1"/>
  <c r="G18" i="135" s="1"/>
  <c r="F19" i="135" s="1"/>
  <c r="E53" i="135" l="1"/>
  <c r="D53" i="135" s="1"/>
  <c r="G53" i="135" s="1"/>
  <c r="F54" i="135" s="1"/>
  <c r="F16" i="134"/>
  <c r="E40" i="134" s="1"/>
  <c r="F40" i="134"/>
  <c r="H16" i="134"/>
  <c r="E16" i="134"/>
  <c r="D16" i="134" s="1"/>
  <c r="G16" i="134" s="1"/>
  <c r="F17" i="134" s="1"/>
  <c r="H19" i="135"/>
  <c r="E19" i="135"/>
  <c r="D19" i="135" s="1"/>
  <c r="G19" i="135" s="1"/>
  <c r="I18" i="135"/>
  <c r="E54" i="135" l="1"/>
  <c r="D54" i="135" s="1"/>
  <c r="G54" i="135" s="1"/>
  <c r="F55" i="135" s="1"/>
  <c r="E55" i="135" s="1"/>
  <c r="D55" i="135" s="1"/>
  <c r="G55" i="135" s="1"/>
  <c r="F56" i="135" s="1"/>
  <c r="I16" i="134"/>
  <c r="E17" i="134"/>
  <c r="D17" i="134" s="1"/>
  <c r="G17" i="134" s="1"/>
  <c r="F18" i="134" s="1"/>
  <c r="H17" i="134"/>
  <c r="F20" i="135"/>
  <c r="I19" i="135"/>
  <c r="E56" i="135" l="1"/>
  <c r="D56" i="135" s="1"/>
  <c r="G56" i="135" s="1"/>
  <c r="F57" i="135" s="1"/>
  <c r="H18" i="134"/>
  <c r="E18" i="134"/>
  <c r="D18" i="134" s="1"/>
  <c r="G18" i="134" s="1"/>
  <c r="F19" i="134" s="1"/>
  <c r="I17" i="134"/>
  <c r="H20" i="135"/>
  <c r="E20" i="135"/>
  <c r="D20" i="135" s="1"/>
  <c r="E57" i="135" l="1"/>
  <c r="D57" i="135" s="1"/>
  <c r="G57" i="135" s="1"/>
  <c r="F58" i="135" s="1"/>
  <c r="I18" i="134"/>
  <c r="H19" i="134"/>
  <c r="E19" i="134"/>
  <c r="D19" i="134" s="1"/>
  <c r="G19" i="134" s="1"/>
  <c r="F20" i="134" s="1"/>
  <c r="E20" i="134" s="1"/>
  <c r="D20" i="134" s="1"/>
  <c r="I20" i="135"/>
  <c r="G20" i="135"/>
  <c r="E58" i="135" l="1"/>
  <c r="D58" i="135" s="1"/>
  <c r="G58" i="135" s="1"/>
  <c r="F59" i="135" s="1"/>
  <c r="H20" i="134"/>
  <c r="I19" i="134"/>
  <c r="G20" i="134"/>
  <c r="I20" i="134"/>
  <c r="F21" i="135"/>
  <c r="E59" i="135" l="1"/>
  <c r="D59" i="135" s="1"/>
  <c r="G59" i="135" s="1"/>
  <c r="F60" i="135" s="1"/>
  <c r="D40" i="134"/>
  <c r="G40" i="134" s="1"/>
  <c r="F41" i="134" s="1"/>
  <c r="H21" i="135"/>
  <c r="E21" i="135"/>
  <c r="D21" i="135" s="1"/>
  <c r="G21" i="135" s="1"/>
  <c r="F22" i="135" s="1"/>
  <c r="F21" i="134"/>
  <c r="E60" i="135" l="1"/>
  <c r="D60" i="135" s="1"/>
  <c r="G60" i="135" s="1"/>
  <c r="F61" i="135" s="1"/>
  <c r="E41" i="134"/>
  <c r="D41" i="134" s="1"/>
  <c r="G41" i="134" s="1"/>
  <c r="F42" i="134" s="1"/>
  <c r="H22" i="135"/>
  <c r="E22" i="135"/>
  <c r="D22" i="135" s="1"/>
  <c r="G22" i="135" s="1"/>
  <c r="F23" i="135" s="1"/>
  <c r="E21" i="134"/>
  <c r="D21" i="134" s="1"/>
  <c r="G21" i="134" s="1"/>
  <c r="F22" i="134" s="1"/>
  <c r="H21" i="134"/>
  <c r="I21" i="135"/>
  <c r="E61" i="135" l="1"/>
  <c r="D61" i="135" s="1"/>
  <c r="G61" i="135" s="1"/>
  <c r="F62" i="135" s="1"/>
  <c r="E62" i="135" s="1"/>
  <c r="D62" i="135" s="1"/>
  <c r="G62" i="135" s="1"/>
  <c r="F63" i="135" s="1"/>
  <c r="E42" i="134"/>
  <c r="D42" i="134" s="1"/>
  <c r="G42" i="134" s="1"/>
  <c r="F43" i="134" s="1"/>
  <c r="E22" i="134"/>
  <c r="D22" i="134" s="1"/>
  <c r="G22" i="134" s="1"/>
  <c r="F23" i="134" s="1"/>
  <c r="H22" i="134"/>
  <c r="H23" i="135"/>
  <c r="E23" i="135"/>
  <c r="D23" i="135" s="1"/>
  <c r="G23" i="135" s="1"/>
  <c r="F24" i="135" s="1"/>
  <c r="I21" i="134"/>
  <c r="I22" i="135"/>
  <c r="D63" i="135" l="1"/>
  <c r="G63" i="135" s="1"/>
  <c r="I23" i="135"/>
  <c r="E43" i="134"/>
  <c r="D43" i="134" s="1"/>
  <c r="G43" i="134" s="1"/>
  <c r="F44" i="134" s="1"/>
  <c r="H23" i="134"/>
  <c r="E23" i="134"/>
  <c r="D23" i="134" s="1"/>
  <c r="G23" i="134" s="1"/>
  <c r="F24" i="134" s="1"/>
  <c r="I22" i="134"/>
  <c r="H24" i="135"/>
  <c r="E24" i="135"/>
  <c r="D24" i="135" s="1"/>
  <c r="G24" i="135" s="1"/>
  <c r="F25" i="135" s="1"/>
  <c r="E44" i="134" l="1"/>
  <c r="D44" i="134" s="1"/>
  <c r="G44" i="134" s="1"/>
  <c r="F45" i="134" s="1"/>
  <c r="H25" i="135"/>
  <c r="E25" i="135"/>
  <c r="D25" i="135" s="1"/>
  <c r="G25" i="135" s="1"/>
  <c r="F26" i="135" s="1"/>
  <c r="H24" i="134"/>
  <c r="E24" i="134"/>
  <c r="D24" i="134" s="1"/>
  <c r="G24" i="134" s="1"/>
  <c r="F25" i="134" s="1"/>
  <c r="I24" i="135"/>
  <c r="I23" i="134"/>
  <c r="E45" i="134" l="1"/>
  <c r="D45" i="134" s="1"/>
  <c r="G45" i="134" s="1"/>
  <c r="F46" i="134" s="1"/>
  <c r="I24" i="134"/>
  <c r="H26" i="135"/>
  <c r="E26" i="135"/>
  <c r="D26" i="135" s="1"/>
  <c r="G26" i="135" s="1"/>
  <c r="F27" i="135" s="1"/>
  <c r="H25" i="134"/>
  <c r="E25" i="134"/>
  <c r="D25" i="134" s="1"/>
  <c r="G25" i="134" s="1"/>
  <c r="F26" i="134" s="1"/>
  <c r="I25" i="135"/>
  <c r="E46" i="134" l="1"/>
  <c r="D46" i="134" s="1"/>
  <c r="G46" i="134" s="1"/>
  <c r="F47" i="134" s="1"/>
  <c r="H26" i="134"/>
  <c r="E26" i="134"/>
  <c r="D26" i="134" s="1"/>
  <c r="G26" i="134" s="1"/>
  <c r="F27" i="134" s="1"/>
  <c r="H27" i="135"/>
  <c r="E27" i="135"/>
  <c r="D27" i="135" s="1"/>
  <c r="G27" i="135" s="1"/>
  <c r="F28" i="135" s="1"/>
  <c r="I25" i="134"/>
  <c r="I26" i="135"/>
  <c r="E47" i="134" l="1"/>
  <c r="D47" i="134" s="1"/>
  <c r="G47" i="134" s="1"/>
  <c r="F48" i="134" s="1"/>
  <c r="H27" i="134"/>
  <c r="E27" i="134"/>
  <c r="D27" i="134" s="1"/>
  <c r="G27" i="134" s="1"/>
  <c r="F28" i="134" s="1"/>
  <c r="H28" i="135"/>
  <c r="E28" i="135"/>
  <c r="D28" i="135" s="1"/>
  <c r="G28" i="135" s="1"/>
  <c r="F29" i="135" s="1"/>
  <c r="I27" i="135"/>
  <c r="I26" i="134"/>
  <c r="E48" i="134" l="1"/>
  <c r="D48" i="134" s="1"/>
  <c r="G48" i="134" s="1"/>
  <c r="F49" i="134" s="1"/>
  <c r="H29" i="135"/>
  <c r="E29" i="135"/>
  <c r="D29" i="135" s="1"/>
  <c r="G29" i="135" s="1"/>
  <c r="F30" i="135" s="1"/>
  <c r="E28" i="134"/>
  <c r="D28" i="134" s="1"/>
  <c r="G28" i="134" s="1"/>
  <c r="F29" i="134" s="1"/>
  <c r="H28" i="134"/>
  <c r="I28" i="135"/>
  <c r="I27" i="134"/>
  <c r="E49" i="134" l="1"/>
  <c r="D49" i="134" s="1"/>
  <c r="G49" i="134" s="1"/>
  <c r="F50" i="134" s="1"/>
  <c r="H30" i="135"/>
  <c r="E30" i="135"/>
  <c r="D30" i="135" s="1"/>
  <c r="G30" i="135" s="1"/>
  <c r="F31" i="135" s="1"/>
  <c r="E29" i="134"/>
  <c r="D29" i="134" s="1"/>
  <c r="G29" i="134" s="1"/>
  <c r="F30" i="134" s="1"/>
  <c r="H29" i="134"/>
  <c r="I29" i="135"/>
  <c r="I28" i="134"/>
  <c r="E50" i="134" l="1"/>
  <c r="D50" i="134" s="1"/>
  <c r="G50" i="134" s="1"/>
  <c r="F51" i="134" s="1"/>
  <c r="E51" i="134" s="1"/>
  <c r="D51" i="134" s="1"/>
  <c r="G51" i="134" s="1"/>
  <c r="F52" i="134" s="1"/>
  <c r="I29" i="134"/>
  <c r="E30" i="134"/>
  <c r="D30" i="134" s="1"/>
  <c r="G30" i="134" s="1"/>
  <c r="F31" i="134" s="1"/>
  <c r="H30" i="134"/>
  <c r="H31" i="135"/>
  <c r="E31" i="135"/>
  <c r="D31" i="135" s="1"/>
  <c r="G31" i="135" s="1"/>
  <c r="F32" i="135" s="1"/>
  <c r="I30" i="135"/>
  <c r="I31" i="135" l="1"/>
  <c r="E52" i="134"/>
  <c r="D52" i="134" s="1"/>
  <c r="G52" i="134" s="1"/>
  <c r="F53" i="134" s="1"/>
  <c r="H32" i="135"/>
  <c r="E32" i="135"/>
  <c r="D32" i="135" s="1"/>
  <c r="G32" i="135" s="1"/>
  <c r="F33" i="135" s="1"/>
  <c r="H31" i="134"/>
  <c r="E31" i="134"/>
  <c r="D31" i="134" s="1"/>
  <c r="G31" i="134" s="1"/>
  <c r="F32" i="134" s="1"/>
  <c r="I30" i="134"/>
  <c r="E53" i="134" l="1"/>
  <c r="D53" i="134" s="1"/>
  <c r="G53" i="134" s="1"/>
  <c r="F54" i="134" s="1"/>
  <c r="E54" i="134" s="1"/>
  <c r="D54" i="134" s="1"/>
  <c r="G54" i="134" s="1"/>
  <c r="F55" i="134" s="1"/>
  <c r="H32" i="134"/>
  <c r="E32" i="134"/>
  <c r="D32" i="134" s="1"/>
  <c r="G32" i="134" s="1"/>
  <c r="F33" i="134" s="1"/>
  <c r="H33" i="135"/>
  <c r="E33" i="135"/>
  <c r="D33" i="135" s="1"/>
  <c r="G33" i="135" s="1"/>
  <c r="F34" i="135" s="1"/>
  <c r="I31" i="134"/>
  <c r="I32" i="135"/>
  <c r="I33" i="135" l="1"/>
  <c r="E55" i="134"/>
  <c r="D55" i="134" s="1"/>
  <c r="G55" i="134" s="1"/>
  <c r="F56" i="134" s="1"/>
  <c r="E34" i="135"/>
  <c r="D34" i="135" s="1"/>
  <c r="G34" i="135" s="1"/>
  <c r="F35" i="135" s="1"/>
  <c r="H33" i="134"/>
  <c r="E33" i="134"/>
  <c r="D33" i="134" s="1"/>
  <c r="G33" i="134" s="1"/>
  <c r="F34" i="134" s="1"/>
  <c r="I32" i="134"/>
  <c r="E56" i="134" l="1"/>
  <c r="D56" i="134" s="1"/>
  <c r="G56" i="134" s="1"/>
  <c r="F57" i="134" s="1"/>
  <c r="I33" i="134"/>
  <c r="E35" i="135"/>
  <c r="D35" i="135" s="1"/>
  <c r="G35" i="135" s="1"/>
  <c r="F36" i="135" s="1"/>
  <c r="E34" i="134"/>
  <c r="D34" i="134" s="1"/>
  <c r="G34" i="134" s="1"/>
  <c r="F35" i="134" s="1"/>
  <c r="E57" i="134" l="1"/>
  <c r="D57" i="134" s="1"/>
  <c r="G57" i="134" s="1"/>
  <c r="F58" i="134" s="1"/>
  <c r="E58" i="134" s="1"/>
  <c r="D58" i="134" s="1"/>
  <c r="G58" i="134" s="1"/>
  <c r="F59" i="134" s="1"/>
  <c r="E35" i="134"/>
  <c r="D35" i="134" s="1"/>
  <c r="G35" i="134" s="1"/>
  <c r="F36" i="134" s="1"/>
  <c r="E36" i="135"/>
  <c r="D36" i="135" s="1"/>
  <c r="G36" i="135" s="1"/>
  <c r="F37" i="135" s="1"/>
  <c r="E59" i="134" l="1"/>
  <c r="D59" i="134" s="1"/>
  <c r="G59" i="134" s="1"/>
  <c r="F60" i="134" s="1"/>
  <c r="E60" i="134" s="1"/>
  <c r="D60" i="134" s="1"/>
  <c r="G60" i="134" s="1"/>
  <c r="F61" i="134" s="1"/>
  <c r="E37" i="135"/>
  <c r="D37" i="135" s="1"/>
  <c r="G37" i="135" s="1"/>
  <c r="F38" i="135" s="1"/>
  <c r="E36" i="134"/>
  <c r="D36" i="134" s="1"/>
  <c r="G36" i="134" s="1"/>
  <c r="F37" i="134" s="1"/>
  <c r="E61" i="134" l="1"/>
  <c r="D61" i="134" s="1"/>
  <c r="G61" i="134" s="1"/>
  <c r="F62" i="134" s="1"/>
  <c r="E37" i="134"/>
  <c r="D37" i="134" s="1"/>
  <c r="G37" i="134" s="1"/>
  <c r="F38" i="134" s="1"/>
  <c r="E38" i="135"/>
  <c r="D38" i="135" s="1"/>
  <c r="G38" i="135" s="1"/>
  <c r="F39" i="135" s="1"/>
  <c r="G39" i="135" s="1"/>
  <c r="E62" i="134" l="1"/>
  <c r="D62" i="134" s="1"/>
  <c r="G62" i="134" s="1"/>
  <c r="F63" i="134" s="1"/>
  <c r="E38" i="134"/>
  <c r="D38" i="134" s="1"/>
  <c r="G38" i="134" s="1"/>
  <c r="F39" i="134" s="1"/>
  <c r="G39" i="134" s="1"/>
  <c r="D63" i="134" l="1"/>
  <c r="G63" i="134" s="1"/>
  <c r="H2" i="131"/>
  <c r="C58" i="131" s="1"/>
  <c r="M2" i="131"/>
  <c r="L2" i="131"/>
  <c r="E2" i="131"/>
  <c r="C42" i="131" s="1"/>
  <c r="J2" i="131"/>
  <c r="B59" i="132"/>
  <c r="B58" i="132"/>
  <c r="B57" i="132"/>
  <c r="B56" i="132"/>
  <c r="B55" i="132"/>
  <c r="B54" i="132"/>
  <c r="B53" i="132"/>
  <c r="B52" i="132"/>
  <c r="B51" i="132"/>
  <c r="B50" i="132"/>
  <c r="B49" i="132"/>
  <c r="B48" i="132"/>
  <c r="B47" i="132"/>
  <c r="B46" i="132"/>
  <c r="B45" i="132"/>
  <c r="B44" i="132"/>
  <c r="B43" i="132"/>
  <c r="B42" i="132"/>
  <c r="B41" i="132"/>
  <c r="B40" i="132"/>
  <c r="C39" i="132"/>
  <c r="D39" i="132" s="1"/>
  <c r="B39" i="132"/>
  <c r="B38" i="132"/>
  <c r="B37" i="132"/>
  <c r="B36" i="132"/>
  <c r="B35" i="132"/>
  <c r="B34" i="132"/>
  <c r="B33" i="132"/>
  <c r="B32" i="132"/>
  <c r="B31" i="132"/>
  <c r="B30" i="132"/>
  <c r="B29" i="132"/>
  <c r="B28" i="132"/>
  <c r="B27" i="132"/>
  <c r="B26" i="132"/>
  <c r="B25" i="132"/>
  <c r="B24" i="132"/>
  <c r="B23" i="132"/>
  <c r="B22" i="132"/>
  <c r="B21" i="132"/>
  <c r="B20" i="132"/>
  <c r="B19" i="132"/>
  <c r="B18" i="132"/>
  <c r="B17" i="132"/>
  <c r="B16" i="132"/>
  <c r="B15" i="132"/>
  <c r="B14" i="132"/>
  <c r="B13" i="132"/>
  <c r="B12" i="132"/>
  <c r="B11" i="132"/>
  <c r="B10" i="132"/>
  <c r="B9" i="132"/>
  <c r="C8" i="132"/>
  <c r="B8" i="132"/>
  <c r="B7" i="132"/>
  <c r="B6" i="132"/>
  <c r="B5" i="132"/>
  <c r="C4" i="132"/>
  <c r="B4" i="132"/>
  <c r="C2" i="132"/>
  <c r="C36" i="132" s="1"/>
  <c r="B59" i="131"/>
  <c r="B58" i="131"/>
  <c r="B57" i="131"/>
  <c r="B56" i="131"/>
  <c r="B55" i="131"/>
  <c r="B54" i="131"/>
  <c r="B53" i="131"/>
  <c r="B52" i="131"/>
  <c r="B51" i="131"/>
  <c r="B50" i="131"/>
  <c r="B49" i="131"/>
  <c r="B48" i="131"/>
  <c r="B47" i="131"/>
  <c r="B46" i="131"/>
  <c r="B45" i="131"/>
  <c r="B44" i="131"/>
  <c r="B43" i="131"/>
  <c r="B42" i="131"/>
  <c r="B41" i="131"/>
  <c r="B39" i="131"/>
  <c r="B38" i="131"/>
  <c r="B37" i="131"/>
  <c r="B36" i="131"/>
  <c r="B35" i="131"/>
  <c r="B34" i="131"/>
  <c r="B33" i="131"/>
  <c r="B32" i="131"/>
  <c r="B31" i="131"/>
  <c r="B30" i="131"/>
  <c r="B29" i="131"/>
  <c r="B28" i="131"/>
  <c r="B27" i="131"/>
  <c r="B26" i="131"/>
  <c r="B25" i="131"/>
  <c r="B24" i="131"/>
  <c r="B23" i="131"/>
  <c r="B22" i="131"/>
  <c r="B21" i="131"/>
  <c r="B20" i="131"/>
  <c r="B19" i="131"/>
  <c r="B18" i="131"/>
  <c r="B17" i="131"/>
  <c r="B16" i="131"/>
  <c r="B15" i="131"/>
  <c r="B14" i="131"/>
  <c r="B13" i="131"/>
  <c r="B12" i="131"/>
  <c r="B11" i="131"/>
  <c r="B10" i="131"/>
  <c r="B9" i="131"/>
  <c r="B8" i="131"/>
  <c r="B7" i="131"/>
  <c r="B6" i="131"/>
  <c r="B5" i="131"/>
  <c r="B4" i="131"/>
  <c r="E4" i="131" s="1"/>
  <c r="C2" i="131"/>
  <c r="C12" i="132" l="1"/>
  <c r="C16" i="132"/>
  <c r="C20" i="132"/>
  <c r="C24" i="132"/>
  <c r="C28" i="132"/>
  <c r="C32" i="132"/>
  <c r="C37" i="132"/>
  <c r="C5" i="132"/>
  <c r="C9" i="132"/>
  <c r="C13" i="132"/>
  <c r="C17" i="132"/>
  <c r="C21" i="132"/>
  <c r="C25" i="132"/>
  <c r="C29" i="132"/>
  <c r="C33" i="132"/>
  <c r="C38" i="132"/>
  <c r="C6" i="132"/>
  <c r="C10" i="132"/>
  <c r="C14" i="132"/>
  <c r="C18" i="132"/>
  <c r="C22" i="132"/>
  <c r="C26" i="132"/>
  <c r="C30" i="132"/>
  <c r="C34" i="132"/>
  <c r="C7" i="132"/>
  <c r="C11" i="132"/>
  <c r="C15" i="132"/>
  <c r="C19" i="132"/>
  <c r="C23" i="132"/>
  <c r="C27" i="132"/>
  <c r="C31" i="132"/>
  <c r="C35" i="132"/>
  <c r="C31" i="131"/>
  <c r="C12" i="131"/>
  <c r="C34" i="131"/>
  <c r="C28" i="131"/>
  <c r="C8" i="131"/>
  <c r="C53" i="131"/>
  <c r="C59" i="131"/>
  <c r="C23" i="131"/>
  <c r="C9" i="131"/>
  <c r="C4" i="131"/>
  <c r="D4" i="131" s="1"/>
  <c r="G4" i="131" s="1"/>
  <c r="F5" i="131" s="1"/>
  <c r="C36" i="131"/>
  <c r="C18" i="131"/>
  <c r="C10" i="131"/>
  <c r="C15" i="131"/>
  <c r="C20" i="131"/>
  <c r="C26" i="131"/>
  <c r="C32" i="131"/>
  <c r="C37" i="131"/>
  <c r="C49" i="131"/>
  <c r="C11" i="131"/>
  <c r="C16" i="131"/>
  <c r="C27" i="131"/>
  <c r="C41" i="131"/>
  <c r="C57" i="131"/>
  <c r="C56" i="131"/>
  <c r="C55" i="131"/>
  <c r="C54" i="131"/>
  <c r="C52" i="131"/>
  <c r="C46" i="131"/>
  <c r="C45" i="131"/>
  <c r="C40" i="131"/>
  <c r="C48" i="131"/>
  <c r="C47" i="131"/>
  <c r="C44" i="131"/>
  <c r="C51" i="131"/>
  <c r="C43" i="131"/>
  <c r="C50" i="131"/>
  <c r="E5" i="131"/>
  <c r="H5" i="131"/>
  <c r="H4" i="131"/>
  <c r="I4" i="131" s="1"/>
  <c r="C7" i="131"/>
  <c r="C14" i="131"/>
  <c r="C6" i="131"/>
  <c r="C19" i="131"/>
  <c r="C39" i="131"/>
  <c r="D39" i="131" s="1"/>
  <c r="C35" i="131"/>
  <c r="C33" i="131"/>
  <c r="C25" i="131"/>
  <c r="C17" i="131"/>
  <c r="C38" i="131"/>
  <c r="C29" i="131"/>
  <c r="C21" i="131"/>
  <c r="C30" i="131"/>
  <c r="C22" i="131"/>
  <c r="C5" i="131"/>
  <c r="C13" i="131"/>
  <c r="C24" i="131"/>
  <c r="C41" i="132"/>
  <c r="H4" i="132"/>
  <c r="E4" i="132"/>
  <c r="D4" i="132" s="1"/>
  <c r="G4" i="132" s="1"/>
  <c r="F5" i="132" s="1"/>
  <c r="I5" i="131" l="1"/>
  <c r="D5" i="131"/>
  <c r="G5" i="131" s="1"/>
  <c r="F6" i="131" s="1"/>
  <c r="H6" i="131" s="1"/>
  <c r="I4" i="132"/>
  <c r="H5" i="132"/>
  <c r="E5" i="132"/>
  <c r="D5" i="132" s="1"/>
  <c r="G5" i="132" s="1"/>
  <c r="F6" i="132" s="1"/>
  <c r="E6" i="131" l="1"/>
  <c r="D6" i="131" s="1"/>
  <c r="G6" i="131" s="1"/>
  <c r="F7" i="131" s="1"/>
  <c r="H7" i="131" s="1"/>
  <c r="H6" i="132"/>
  <c r="E6" i="132"/>
  <c r="D6" i="132" s="1"/>
  <c r="G6" i="132" s="1"/>
  <c r="F7" i="132" s="1"/>
  <c r="I5" i="132"/>
  <c r="I6" i="131" l="1"/>
  <c r="E7" i="131"/>
  <c r="D7" i="131" s="1"/>
  <c r="G7" i="131" s="1"/>
  <c r="F8" i="131" s="1"/>
  <c r="H8" i="131" s="1"/>
  <c r="H7" i="132"/>
  <c r="E7" i="132"/>
  <c r="D7" i="132" s="1"/>
  <c r="G7" i="132" s="1"/>
  <c r="F8" i="132" s="1"/>
  <c r="I6" i="132"/>
  <c r="I7" i="132" l="1"/>
  <c r="I7" i="131"/>
  <c r="E8" i="131"/>
  <c r="D8" i="131" s="1"/>
  <c r="G8" i="131" s="1"/>
  <c r="F9" i="131" s="1"/>
  <c r="H9" i="131" s="1"/>
  <c r="H8" i="132"/>
  <c r="E8" i="132"/>
  <c r="D8" i="132" s="1"/>
  <c r="G8" i="132" s="1"/>
  <c r="F9" i="132" s="1"/>
  <c r="I8" i="131" l="1"/>
  <c r="E9" i="131"/>
  <c r="D9" i="131" s="1"/>
  <c r="G9" i="131" s="1"/>
  <c r="F10" i="131" s="1"/>
  <c r="H10" i="131" s="1"/>
  <c r="H9" i="132"/>
  <c r="E9" i="132"/>
  <c r="D9" i="132" s="1"/>
  <c r="G9" i="132" s="1"/>
  <c r="F10" i="132" s="1"/>
  <c r="I8" i="132"/>
  <c r="I9" i="131"/>
  <c r="E10" i="131" l="1"/>
  <c r="D10" i="131" s="1"/>
  <c r="G10" i="131" s="1"/>
  <c r="F11" i="131" s="1"/>
  <c r="E11" i="131" s="1"/>
  <c r="D11" i="131" s="1"/>
  <c r="G11" i="131" s="1"/>
  <c r="F12" i="131" s="1"/>
  <c r="H10" i="132"/>
  <c r="E10" i="132"/>
  <c r="D10" i="132" s="1"/>
  <c r="G10" i="132" s="1"/>
  <c r="F11" i="132" s="1"/>
  <c r="I9" i="132"/>
  <c r="I10" i="132" l="1"/>
  <c r="H11" i="131"/>
  <c r="I10" i="131"/>
  <c r="E12" i="131"/>
  <c r="D12" i="131" s="1"/>
  <c r="G12" i="131" s="1"/>
  <c r="F13" i="131" s="1"/>
  <c r="H12" i="131"/>
  <c r="H11" i="132"/>
  <c r="E11" i="132"/>
  <c r="D11" i="132" s="1"/>
  <c r="G11" i="132" s="1"/>
  <c r="F12" i="132" s="1"/>
  <c r="I11" i="131"/>
  <c r="I12" i="131" l="1"/>
  <c r="E13" i="131"/>
  <c r="D13" i="131" s="1"/>
  <c r="G13" i="131" s="1"/>
  <c r="F14" i="131" s="1"/>
  <c r="H13" i="131"/>
  <c r="H12" i="132"/>
  <c r="E12" i="132"/>
  <c r="D12" i="132" s="1"/>
  <c r="G12" i="132" s="1"/>
  <c r="F13" i="132" s="1"/>
  <c r="I11" i="132"/>
  <c r="H13" i="132" l="1"/>
  <c r="E13" i="132"/>
  <c r="D13" i="132" s="1"/>
  <c r="G13" i="132" s="1"/>
  <c r="F14" i="132" s="1"/>
  <c r="E14" i="131"/>
  <c r="D14" i="131" s="1"/>
  <c r="G14" i="131" s="1"/>
  <c r="F15" i="131" s="1"/>
  <c r="H14" i="131"/>
  <c r="I12" i="132"/>
  <c r="I13" i="131"/>
  <c r="E15" i="131" l="1"/>
  <c r="D15" i="131" s="1"/>
  <c r="G15" i="131" s="1"/>
  <c r="F16" i="131" s="1"/>
  <c r="H15" i="131"/>
  <c r="H14" i="132"/>
  <c r="E14" i="132"/>
  <c r="D14" i="132" s="1"/>
  <c r="G14" i="132" s="1"/>
  <c r="F15" i="132" s="1"/>
  <c r="I14" i="131"/>
  <c r="I13" i="132"/>
  <c r="H15" i="132" l="1"/>
  <c r="E15" i="132"/>
  <c r="D15" i="132" s="1"/>
  <c r="G15" i="132" s="1"/>
  <c r="F16" i="132" s="1"/>
  <c r="E16" i="131"/>
  <c r="D16" i="131" s="1"/>
  <c r="G16" i="131" s="1"/>
  <c r="F17" i="131" s="1"/>
  <c r="H16" i="131"/>
  <c r="I14" i="132"/>
  <c r="I15" i="131"/>
  <c r="I16" i="131" l="1"/>
  <c r="H17" i="131"/>
  <c r="E17" i="131"/>
  <c r="D17" i="131" s="1"/>
  <c r="G17" i="131" s="1"/>
  <c r="F18" i="131" s="1"/>
  <c r="H16" i="132"/>
  <c r="E16" i="132"/>
  <c r="D16" i="132" s="1"/>
  <c r="G16" i="132" s="1"/>
  <c r="F17" i="132" s="1"/>
  <c r="I15" i="132"/>
  <c r="H17" i="132" l="1"/>
  <c r="E17" i="132"/>
  <c r="D17" i="132" s="1"/>
  <c r="G17" i="132" s="1"/>
  <c r="F18" i="132" s="1"/>
  <c r="H18" i="131"/>
  <c r="E18" i="131"/>
  <c r="D18" i="131" s="1"/>
  <c r="G18" i="131" s="1"/>
  <c r="I16" i="132"/>
  <c r="I17" i="131"/>
  <c r="F19" i="131" l="1"/>
  <c r="H19" i="131"/>
  <c r="E19" i="131"/>
  <c r="H18" i="132"/>
  <c r="E18" i="132"/>
  <c r="D18" i="132" s="1"/>
  <c r="G18" i="132" s="1"/>
  <c r="F19" i="132" s="1"/>
  <c r="I18" i="131"/>
  <c r="I17" i="132"/>
  <c r="D19" i="131" l="1"/>
  <c r="G19" i="131" s="1"/>
  <c r="H19" i="132"/>
  <c r="E19" i="132"/>
  <c r="D19" i="132" s="1"/>
  <c r="G19" i="132" s="1"/>
  <c r="F40" i="131"/>
  <c r="F20" i="131"/>
  <c r="I18" i="132"/>
  <c r="I19" i="131"/>
  <c r="F20" i="132" l="1"/>
  <c r="F40" i="132"/>
  <c r="E40" i="132" s="1"/>
  <c r="H20" i="131"/>
  <c r="D40" i="131"/>
  <c r="G40" i="131" s="1"/>
  <c r="F41" i="131" s="1"/>
  <c r="E41" i="131" s="1"/>
  <c r="D41" i="131" s="1"/>
  <c r="G41" i="131" s="1"/>
  <c r="F42" i="131" s="1"/>
  <c r="E20" i="131"/>
  <c r="D20" i="131" s="1"/>
  <c r="I19" i="132"/>
  <c r="E42" i="131" l="1"/>
  <c r="D42" i="131" s="1"/>
  <c r="G42" i="131" s="1"/>
  <c r="F43" i="131" s="1"/>
  <c r="E43" i="131" s="1"/>
  <c r="D43" i="131" s="1"/>
  <c r="G43" i="131" s="1"/>
  <c r="F44" i="131" s="1"/>
  <c r="E44" i="131" s="1"/>
  <c r="D44" i="131" s="1"/>
  <c r="G44" i="131" s="1"/>
  <c r="F45" i="131" s="1"/>
  <c r="E45" i="131" s="1"/>
  <c r="D45" i="131" s="1"/>
  <c r="G45" i="131" s="1"/>
  <c r="F46" i="131" s="1"/>
  <c r="E46" i="131" s="1"/>
  <c r="D46" i="131" s="1"/>
  <c r="G46" i="131" s="1"/>
  <c r="F47" i="131" s="1"/>
  <c r="E47" i="131" s="1"/>
  <c r="D47" i="131" s="1"/>
  <c r="G47" i="131" s="1"/>
  <c r="F48" i="131" s="1"/>
  <c r="E48" i="131" s="1"/>
  <c r="D48" i="131" s="1"/>
  <c r="G48" i="131" s="1"/>
  <c r="F49" i="131" s="1"/>
  <c r="E49" i="131" s="1"/>
  <c r="D49" i="131" s="1"/>
  <c r="G49" i="131" s="1"/>
  <c r="F50" i="131" s="1"/>
  <c r="E50" i="131" s="1"/>
  <c r="D50" i="131" s="1"/>
  <c r="G50" i="131" s="1"/>
  <c r="F51" i="131" s="1"/>
  <c r="E51" i="131" s="1"/>
  <c r="D51" i="131" s="1"/>
  <c r="G51" i="131" s="1"/>
  <c r="F52" i="131" s="1"/>
  <c r="I20" i="131"/>
  <c r="G20" i="131"/>
  <c r="D40" i="132"/>
  <c r="G40" i="132" s="1"/>
  <c r="F41" i="132" s="1"/>
  <c r="H20" i="132"/>
  <c r="E20" i="132"/>
  <c r="D20" i="132" s="1"/>
  <c r="E52" i="131" l="1"/>
  <c r="D52" i="131" s="1"/>
  <c r="G52" i="131" s="1"/>
  <c r="F53" i="131" s="1"/>
  <c r="E53" i="131" s="1"/>
  <c r="D53" i="131" s="1"/>
  <c r="G53" i="131" s="1"/>
  <c r="F54" i="131" s="1"/>
  <c r="E54" i="131" s="1"/>
  <c r="G20" i="132"/>
  <c r="F21" i="131"/>
  <c r="I20" i="132"/>
  <c r="D54" i="131" l="1"/>
  <c r="G54" i="131" s="1"/>
  <c r="F55" i="131" s="1"/>
  <c r="E21" i="131"/>
  <c r="D21" i="131" s="1"/>
  <c r="G21" i="131" s="1"/>
  <c r="F22" i="131" s="1"/>
  <c r="H21" i="131"/>
  <c r="F21" i="132"/>
  <c r="I21" i="131" l="1"/>
  <c r="E55" i="131"/>
  <c r="D55" i="131" s="1"/>
  <c r="G55" i="131" s="1"/>
  <c r="F56" i="131" s="1"/>
  <c r="H22" i="131"/>
  <c r="E22" i="131"/>
  <c r="D22" i="131" s="1"/>
  <c r="G22" i="131" s="1"/>
  <c r="F23" i="131" s="1"/>
  <c r="H21" i="132"/>
  <c r="E21" i="132"/>
  <c r="D21" i="132" s="1"/>
  <c r="G21" i="132" s="1"/>
  <c r="F22" i="132" s="1"/>
  <c r="E41" i="132"/>
  <c r="D41" i="132" s="1"/>
  <c r="G41" i="132" s="1"/>
  <c r="F42" i="132" s="1"/>
  <c r="E42" i="132" l="1"/>
  <c r="D42" i="132" s="1"/>
  <c r="G42" i="132" s="1"/>
  <c r="F43" i="132" s="1"/>
  <c r="E43" i="132" s="1"/>
  <c r="D43" i="132" s="1"/>
  <c r="G43" i="132" s="1"/>
  <c r="F44" i="132" s="1"/>
  <c r="E44" i="132" s="1"/>
  <c r="D44" i="132" s="1"/>
  <c r="G44" i="132" s="1"/>
  <c r="F45" i="132" s="1"/>
  <c r="E45" i="132" s="1"/>
  <c r="D45" i="132" s="1"/>
  <c r="G45" i="132" s="1"/>
  <c r="F46" i="132" s="1"/>
  <c r="E46" i="132" s="1"/>
  <c r="D46" i="132" s="1"/>
  <c r="G46" i="132" s="1"/>
  <c r="F47" i="132" s="1"/>
  <c r="E47" i="132" s="1"/>
  <c r="D47" i="132" s="1"/>
  <c r="G47" i="132" s="1"/>
  <c r="F48" i="132" s="1"/>
  <c r="E48" i="132" s="1"/>
  <c r="D48" i="132" s="1"/>
  <c r="G48" i="132" s="1"/>
  <c r="F49" i="132" s="1"/>
  <c r="E49" i="132" s="1"/>
  <c r="D49" i="132" s="1"/>
  <c r="G49" i="132" s="1"/>
  <c r="F50" i="132" s="1"/>
  <c r="E56" i="131"/>
  <c r="D56" i="131" s="1"/>
  <c r="G56" i="131" s="1"/>
  <c r="F57" i="131" s="1"/>
  <c r="E57" i="131" s="1"/>
  <c r="D57" i="131" s="1"/>
  <c r="G57" i="131" s="1"/>
  <c r="F58" i="131" s="1"/>
  <c r="E58" i="131" s="1"/>
  <c r="D58" i="131" s="1"/>
  <c r="G58" i="131" s="1"/>
  <c r="F59" i="131" s="1"/>
  <c r="H22" i="132"/>
  <c r="E22" i="132"/>
  <c r="D22" i="132" s="1"/>
  <c r="G22" i="132" s="1"/>
  <c r="F23" i="132" s="1"/>
  <c r="E23" i="131"/>
  <c r="D23" i="131" s="1"/>
  <c r="G23" i="131" s="1"/>
  <c r="F24" i="131" s="1"/>
  <c r="H23" i="131"/>
  <c r="I21" i="132"/>
  <c r="I22" i="131"/>
  <c r="E50" i="132" l="1"/>
  <c r="D50" i="132" s="1"/>
  <c r="G50" i="132" s="1"/>
  <c r="F51" i="132" s="1"/>
  <c r="E51" i="132" s="1"/>
  <c r="D51" i="132" s="1"/>
  <c r="G51" i="132" s="1"/>
  <c r="F52" i="132" s="1"/>
  <c r="D59" i="131"/>
  <c r="G59" i="131" s="1"/>
  <c r="E24" i="131"/>
  <c r="D24" i="131" s="1"/>
  <c r="G24" i="131" s="1"/>
  <c r="F25" i="131" s="1"/>
  <c r="H24" i="131"/>
  <c r="H23" i="132"/>
  <c r="E23" i="132"/>
  <c r="D23" i="132" s="1"/>
  <c r="G23" i="132" s="1"/>
  <c r="F24" i="132" s="1"/>
  <c r="I22" i="132"/>
  <c r="I23" i="131"/>
  <c r="E52" i="132" l="1"/>
  <c r="D52" i="132" s="1"/>
  <c r="G52" i="132" s="1"/>
  <c r="F53" i="132" s="1"/>
  <c r="E53" i="132" s="1"/>
  <c r="D53" i="132" s="1"/>
  <c r="G53" i="132" s="1"/>
  <c r="F54" i="132" s="1"/>
  <c r="H24" i="132"/>
  <c r="E24" i="132"/>
  <c r="D24" i="132" s="1"/>
  <c r="G24" i="132" s="1"/>
  <c r="F25" i="132" s="1"/>
  <c r="I23" i="132"/>
  <c r="E25" i="131"/>
  <c r="D25" i="131" s="1"/>
  <c r="G25" i="131" s="1"/>
  <c r="F26" i="131" s="1"/>
  <c r="H25" i="131"/>
  <c r="I24" i="131"/>
  <c r="E54" i="132" l="1"/>
  <c r="D54" i="132" s="1"/>
  <c r="G54" i="132" s="1"/>
  <c r="F55" i="132" s="1"/>
  <c r="E55" i="132" s="1"/>
  <c r="D55" i="132" s="1"/>
  <c r="G55" i="132" s="1"/>
  <c r="F56" i="132" s="1"/>
  <c r="E56" i="132" s="1"/>
  <c r="D56" i="132" s="1"/>
  <c r="G56" i="132" s="1"/>
  <c r="F57" i="132" s="1"/>
  <c r="I25" i="131"/>
  <c r="H26" i="131"/>
  <c r="E26" i="131"/>
  <c r="D26" i="131" s="1"/>
  <c r="G26" i="131" s="1"/>
  <c r="F27" i="131" s="1"/>
  <c r="H25" i="132"/>
  <c r="E25" i="132"/>
  <c r="D25" i="132" s="1"/>
  <c r="G25" i="132" s="1"/>
  <c r="F26" i="132" s="1"/>
  <c r="I24" i="132"/>
  <c r="E57" i="132" l="1"/>
  <c r="D57" i="132" s="1"/>
  <c r="G57" i="132" s="1"/>
  <c r="F58" i="132" s="1"/>
  <c r="H26" i="132"/>
  <c r="E26" i="132"/>
  <c r="D26" i="132" s="1"/>
  <c r="G26" i="132" s="1"/>
  <c r="F27" i="132" s="1"/>
  <c r="E27" i="131"/>
  <c r="D27" i="131" s="1"/>
  <c r="G27" i="131" s="1"/>
  <c r="F28" i="131" s="1"/>
  <c r="H27" i="131"/>
  <c r="I25" i="132"/>
  <c r="I26" i="131"/>
  <c r="E58" i="132" l="1"/>
  <c r="D58" i="132" s="1"/>
  <c r="G58" i="132" s="1"/>
  <c r="F59" i="132" s="1"/>
  <c r="E28" i="131"/>
  <c r="D28" i="131" s="1"/>
  <c r="G28" i="131" s="1"/>
  <c r="F29" i="131" s="1"/>
  <c r="H28" i="131"/>
  <c r="H27" i="132"/>
  <c r="E27" i="132"/>
  <c r="D27" i="132" s="1"/>
  <c r="G27" i="132" s="1"/>
  <c r="F28" i="132" s="1"/>
  <c r="I26" i="132"/>
  <c r="I27" i="131"/>
  <c r="D59" i="132" l="1"/>
  <c r="G59" i="132" s="1"/>
  <c r="I28" i="131"/>
  <c r="H28" i="132"/>
  <c r="E28" i="132"/>
  <c r="D28" i="132" s="1"/>
  <c r="G28" i="132" s="1"/>
  <c r="F29" i="132" s="1"/>
  <c r="I27" i="132"/>
  <c r="H29" i="131"/>
  <c r="E29" i="131"/>
  <c r="D29" i="131" s="1"/>
  <c r="G29" i="131" s="1"/>
  <c r="F30" i="131" s="1"/>
  <c r="H30" i="131" l="1"/>
  <c r="E30" i="131"/>
  <c r="D30" i="131" s="1"/>
  <c r="G30" i="131" s="1"/>
  <c r="F31" i="131" s="1"/>
  <c r="H29" i="132"/>
  <c r="E29" i="132"/>
  <c r="D29" i="132" s="1"/>
  <c r="G29" i="132" s="1"/>
  <c r="F30" i="132" s="1"/>
  <c r="I28" i="132"/>
  <c r="I29" i="131"/>
  <c r="H30" i="132" l="1"/>
  <c r="E30" i="132"/>
  <c r="D30" i="132" s="1"/>
  <c r="G30" i="132" s="1"/>
  <c r="F31" i="132" s="1"/>
  <c r="E31" i="131"/>
  <c r="D31" i="131" s="1"/>
  <c r="G31" i="131" s="1"/>
  <c r="F32" i="131" s="1"/>
  <c r="H31" i="131"/>
  <c r="I29" i="132"/>
  <c r="I30" i="131"/>
  <c r="E32" i="131" l="1"/>
  <c r="D32" i="131" s="1"/>
  <c r="G32" i="131" s="1"/>
  <c r="F33" i="131" s="1"/>
  <c r="H32" i="131"/>
  <c r="H31" i="132"/>
  <c r="E31" i="132"/>
  <c r="D31" i="132" s="1"/>
  <c r="G31" i="132" s="1"/>
  <c r="F32" i="132" s="1"/>
  <c r="I31" i="131"/>
  <c r="I30" i="132"/>
  <c r="I31" i="132" l="1"/>
  <c r="I32" i="131"/>
  <c r="H32" i="132"/>
  <c r="E32" i="132"/>
  <c r="D32" i="132" s="1"/>
  <c r="G32" i="132" s="1"/>
  <c r="F33" i="132" s="1"/>
  <c r="H33" i="131"/>
  <c r="E33" i="131"/>
  <c r="D33" i="131" s="1"/>
  <c r="G33" i="131" s="1"/>
  <c r="F34" i="131" s="1"/>
  <c r="I33" i="131" l="1"/>
  <c r="E34" i="131"/>
  <c r="D34" i="131" s="1"/>
  <c r="G34" i="131" s="1"/>
  <c r="F35" i="131" s="1"/>
  <c r="H33" i="132"/>
  <c r="E33" i="132"/>
  <c r="D33" i="132" s="1"/>
  <c r="G33" i="132" s="1"/>
  <c r="F34" i="132" s="1"/>
  <c r="I32" i="132"/>
  <c r="I33" i="132" l="1"/>
  <c r="E35" i="131"/>
  <c r="D35" i="131" s="1"/>
  <c r="G35" i="131" s="1"/>
  <c r="F36" i="131" s="1"/>
  <c r="E34" i="132"/>
  <c r="D34" i="132" s="1"/>
  <c r="G34" i="132" s="1"/>
  <c r="F35" i="132" s="1"/>
  <c r="E35" i="132" l="1"/>
  <c r="D35" i="132" s="1"/>
  <c r="G35" i="132" s="1"/>
  <c r="F36" i="132" s="1"/>
  <c r="E36" i="131"/>
  <c r="D36" i="131" s="1"/>
  <c r="G36" i="131" s="1"/>
  <c r="F37" i="131" s="1"/>
  <c r="E37" i="131" l="1"/>
  <c r="D37" i="131" s="1"/>
  <c r="G37" i="131" s="1"/>
  <c r="F38" i="131" s="1"/>
  <c r="E36" i="132"/>
  <c r="D36" i="132" s="1"/>
  <c r="G36" i="132" s="1"/>
  <c r="F37" i="132" s="1"/>
  <c r="E37" i="132" l="1"/>
  <c r="D37" i="132" s="1"/>
  <c r="G37" i="132" s="1"/>
  <c r="F38" i="132" s="1"/>
  <c r="E38" i="131"/>
  <c r="D38" i="131" s="1"/>
  <c r="G38" i="131" s="1"/>
  <c r="F39" i="131" s="1"/>
  <c r="G39" i="131" s="1"/>
  <c r="E38" i="132" l="1"/>
  <c r="D38" i="132" s="1"/>
  <c r="G38" i="132" s="1"/>
  <c r="F39" i="132" s="1"/>
  <c r="G39" i="132" s="1"/>
  <c r="H2" i="129" l="1"/>
  <c r="C56" i="129" s="1"/>
  <c r="E2" i="129"/>
  <c r="C52" i="129" s="1"/>
  <c r="H2" i="128"/>
  <c r="C54" i="128" s="1"/>
  <c r="B59" i="129"/>
  <c r="B58" i="129"/>
  <c r="B57" i="129"/>
  <c r="B56" i="129"/>
  <c r="B55" i="129"/>
  <c r="B54" i="129"/>
  <c r="B53" i="129"/>
  <c r="B52" i="129"/>
  <c r="B51" i="129"/>
  <c r="B50" i="129"/>
  <c r="B49" i="129"/>
  <c r="B48" i="129"/>
  <c r="B47" i="129"/>
  <c r="B46" i="129"/>
  <c r="B45" i="129"/>
  <c r="B44" i="129"/>
  <c r="B43" i="129"/>
  <c r="B42" i="129"/>
  <c r="B41" i="129"/>
  <c r="B40" i="129"/>
  <c r="B39" i="129"/>
  <c r="B38" i="129"/>
  <c r="B37" i="129"/>
  <c r="B36" i="129"/>
  <c r="B35" i="129"/>
  <c r="B34" i="129"/>
  <c r="B33" i="129"/>
  <c r="B32" i="129"/>
  <c r="B31" i="129"/>
  <c r="B30" i="129"/>
  <c r="B29" i="129"/>
  <c r="B28" i="129"/>
  <c r="B27" i="129"/>
  <c r="B26" i="129"/>
  <c r="B25" i="129"/>
  <c r="B24" i="129"/>
  <c r="B23" i="129"/>
  <c r="B22" i="129"/>
  <c r="B21" i="129"/>
  <c r="B20" i="129"/>
  <c r="B19" i="129"/>
  <c r="B18" i="129"/>
  <c r="B17" i="129"/>
  <c r="B16" i="129"/>
  <c r="B15" i="129"/>
  <c r="B14" i="129"/>
  <c r="B13" i="129"/>
  <c r="B12" i="129"/>
  <c r="B11" i="129"/>
  <c r="B10" i="129"/>
  <c r="B9" i="129"/>
  <c r="B8" i="129"/>
  <c r="B7" i="129"/>
  <c r="B6" i="129"/>
  <c r="B5" i="129"/>
  <c r="B4" i="129"/>
  <c r="C2" i="129"/>
  <c r="C20" i="129" s="1"/>
  <c r="B59" i="128"/>
  <c r="B58" i="128"/>
  <c r="B57" i="128"/>
  <c r="B56" i="128"/>
  <c r="B55" i="128"/>
  <c r="B54" i="128"/>
  <c r="B53" i="128"/>
  <c r="B52" i="128"/>
  <c r="B51" i="128"/>
  <c r="B50" i="128"/>
  <c r="B49" i="128"/>
  <c r="B48" i="128"/>
  <c r="B47" i="128"/>
  <c r="B46" i="128"/>
  <c r="B45" i="128"/>
  <c r="B44" i="128"/>
  <c r="B43" i="128"/>
  <c r="B42" i="128"/>
  <c r="B41" i="128"/>
  <c r="B39" i="128"/>
  <c r="B38" i="128"/>
  <c r="B37" i="128"/>
  <c r="B36" i="128"/>
  <c r="B35" i="128"/>
  <c r="B34" i="128"/>
  <c r="B33" i="128"/>
  <c r="B32" i="128"/>
  <c r="B31" i="128"/>
  <c r="B30" i="128"/>
  <c r="B29" i="128"/>
  <c r="B28" i="128"/>
  <c r="B27" i="128"/>
  <c r="B26" i="128"/>
  <c r="B25" i="128"/>
  <c r="B24" i="128"/>
  <c r="B23" i="128"/>
  <c r="B22" i="128"/>
  <c r="B21" i="128"/>
  <c r="B20" i="128"/>
  <c r="B19" i="128"/>
  <c r="B18" i="128"/>
  <c r="B17" i="128"/>
  <c r="B16" i="128"/>
  <c r="B15" i="128"/>
  <c r="B14" i="128"/>
  <c r="B13" i="128"/>
  <c r="B12" i="128"/>
  <c r="B11" i="128"/>
  <c r="B10" i="128"/>
  <c r="B9" i="128"/>
  <c r="B8" i="128"/>
  <c r="B7" i="128"/>
  <c r="B6" i="128"/>
  <c r="B5" i="128"/>
  <c r="E4" i="128"/>
  <c r="B4" i="128"/>
  <c r="H4" i="128" s="1"/>
  <c r="E2" i="128"/>
  <c r="C52" i="128" s="1"/>
  <c r="C2" i="128"/>
  <c r="C31" i="128" s="1"/>
  <c r="C55" i="129" l="1"/>
  <c r="C54" i="129"/>
  <c r="C53" i="129"/>
  <c r="C59" i="129"/>
  <c r="C58" i="129"/>
  <c r="C57" i="129"/>
  <c r="C47" i="129"/>
  <c r="C48" i="129"/>
  <c r="C46" i="129"/>
  <c r="C41" i="129"/>
  <c r="C49" i="129"/>
  <c r="C42" i="129"/>
  <c r="C50" i="129"/>
  <c r="C43" i="129"/>
  <c r="C51" i="129"/>
  <c r="C45" i="129"/>
  <c r="C44" i="129"/>
  <c r="C28" i="129"/>
  <c r="C12" i="129"/>
  <c r="C48" i="128"/>
  <c r="C56" i="128"/>
  <c r="C19" i="128"/>
  <c r="C33" i="128"/>
  <c r="C41" i="128"/>
  <c r="C27" i="128"/>
  <c r="C49" i="128"/>
  <c r="I4" i="128"/>
  <c r="C17" i="128"/>
  <c r="C44" i="128"/>
  <c r="C55" i="128"/>
  <c r="C4" i="128"/>
  <c r="C25" i="128"/>
  <c r="C53" i="128"/>
  <c r="C59" i="128"/>
  <c r="C58" i="128"/>
  <c r="C57" i="128"/>
  <c r="H4" i="129"/>
  <c r="E4" i="129"/>
  <c r="D4" i="128"/>
  <c r="G4" i="128" s="1"/>
  <c r="F5" i="128" s="1"/>
  <c r="C36" i="129"/>
  <c r="C40" i="129"/>
  <c r="C37" i="129"/>
  <c r="C4" i="129"/>
  <c r="C6" i="129"/>
  <c r="C14" i="129"/>
  <c r="C22" i="129"/>
  <c r="C30" i="129"/>
  <c r="C39" i="129"/>
  <c r="D39" i="129" s="1"/>
  <c r="C18" i="128"/>
  <c r="C26" i="128"/>
  <c r="C34" i="128"/>
  <c r="C45" i="128"/>
  <c r="C9" i="129"/>
  <c r="C17" i="129"/>
  <c r="C25" i="129"/>
  <c r="C33" i="129"/>
  <c r="C24" i="128"/>
  <c r="C32" i="128"/>
  <c r="C38" i="128"/>
  <c r="C40" i="128"/>
  <c r="C7" i="129"/>
  <c r="C15" i="129"/>
  <c r="C23" i="129"/>
  <c r="C31" i="129"/>
  <c r="C15" i="128"/>
  <c r="C23" i="128"/>
  <c r="C10" i="129"/>
  <c r="C18" i="129"/>
  <c r="C26" i="129"/>
  <c r="C34" i="129"/>
  <c r="C39" i="128"/>
  <c r="D39" i="128" s="1"/>
  <c r="C35" i="128"/>
  <c r="C36" i="128"/>
  <c r="C14" i="128"/>
  <c r="C5" i="129"/>
  <c r="C13" i="129"/>
  <c r="C29" i="129"/>
  <c r="C16" i="128"/>
  <c r="C22" i="128"/>
  <c r="C30" i="128"/>
  <c r="C21" i="129"/>
  <c r="C50" i="128"/>
  <c r="C46" i="128"/>
  <c r="C42" i="128"/>
  <c r="C51" i="128"/>
  <c r="C47" i="128"/>
  <c r="C43" i="128"/>
  <c r="C13" i="128"/>
  <c r="C21" i="128"/>
  <c r="C29" i="128"/>
  <c r="C8" i="129"/>
  <c r="C16" i="129"/>
  <c r="C24" i="129"/>
  <c r="C32" i="129"/>
  <c r="C35" i="129"/>
  <c r="C38" i="129"/>
  <c r="C5" i="128"/>
  <c r="C6" i="128"/>
  <c r="C7" i="128"/>
  <c r="C8" i="128"/>
  <c r="C9" i="128"/>
  <c r="C10" i="128"/>
  <c r="C11" i="128"/>
  <c r="C12" i="128"/>
  <c r="C20" i="128"/>
  <c r="C28" i="128"/>
  <c r="C37" i="128"/>
  <c r="C11" i="129"/>
  <c r="C19" i="129"/>
  <c r="C27" i="129"/>
  <c r="I4" i="129" l="1"/>
  <c r="H5" i="128"/>
  <c r="E5" i="128"/>
  <c r="D5" i="128" s="1"/>
  <c r="G5" i="128" s="1"/>
  <c r="F6" i="128" s="1"/>
  <c r="D4" i="129"/>
  <c r="G4" i="129" s="1"/>
  <c r="F5" i="129" s="1"/>
  <c r="H6" i="128" l="1"/>
  <c r="E6" i="128"/>
  <c r="D6" i="128" s="1"/>
  <c r="G6" i="128" s="1"/>
  <c r="F7" i="128" s="1"/>
  <c r="H5" i="129"/>
  <c r="E5" i="129"/>
  <c r="D5" i="129" s="1"/>
  <c r="G5" i="129" s="1"/>
  <c r="F6" i="129" s="1"/>
  <c r="I5" i="128"/>
  <c r="H6" i="129" l="1"/>
  <c r="E6" i="129"/>
  <c r="D6" i="129" s="1"/>
  <c r="G6" i="129" s="1"/>
  <c r="F7" i="129" s="1"/>
  <c r="H7" i="128"/>
  <c r="E7" i="128"/>
  <c r="D7" i="128" s="1"/>
  <c r="G7" i="128" s="1"/>
  <c r="F8" i="128" s="1"/>
  <c r="I5" i="129"/>
  <c r="I6" i="128"/>
  <c r="H8" i="128" l="1"/>
  <c r="E8" i="128"/>
  <c r="D8" i="128" s="1"/>
  <c r="G8" i="128" s="1"/>
  <c r="F9" i="128" s="1"/>
  <c r="H7" i="129"/>
  <c r="E7" i="129"/>
  <c r="D7" i="129" s="1"/>
  <c r="G7" i="129" s="1"/>
  <c r="F8" i="129" s="1"/>
  <c r="I7" i="128"/>
  <c r="I6" i="129"/>
  <c r="H8" i="129" l="1"/>
  <c r="E8" i="129"/>
  <c r="D8" i="129" s="1"/>
  <c r="G8" i="129" s="1"/>
  <c r="F9" i="129" s="1"/>
  <c r="H9" i="128"/>
  <c r="E9" i="128"/>
  <c r="D9" i="128" s="1"/>
  <c r="G9" i="128" s="1"/>
  <c r="F10" i="128" s="1"/>
  <c r="I7" i="129"/>
  <c r="I8" i="128"/>
  <c r="H10" i="128" l="1"/>
  <c r="E10" i="128"/>
  <c r="D10" i="128" s="1"/>
  <c r="G10" i="128" s="1"/>
  <c r="F11" i="128" s="1"/>
  <c r="H9" i="129"/>
  <c r="E9" i="129"/>
  <c r="D9" i="129" s="1"/>
  <c r="G9" i="129" s="1"/>
  <c r="F10" i="129" s="1"/>
  <c r="I9" i="128"/>
  <c r="I8" i="129"/>
  <c r="H10" i="129" l="1"/>
  <c r="E10" i="129"/>
  <c r="D10" i="129" s="1"/>
  <c r="G10" i="129" s="1"/>
  <c r="F11" i="129" s="1"/>
  <c r="H11" i="128"/>
  <c r="E11" i="128"/>
  <c r="D11" i="128" s="1"/>
  <c r="G11" i="128" s="1"/>
  <c r="F12" i="128" s="1"/>
  <c r="I9" i="129"/>
  <c r="I10" i="128"/>
  <c r="H12" i="128" l="1"/>
  <c r="E12" i="128"/>
  <c r="D12" i="128" s="1"/>
  <c r="G12" i="128" s="1"/>
  <c r="F13" i="128" s="1"/>
  <c r="H11" i="129"/>
  <c r="E11" i="129"/>
  <c r="D11" i="129" s="1"/>
  <c r="G11" i="129" s="1"/>
  <c r="F12" i="129" s="1"/>
  <c r="I11" i="128"/>
  <c r="I10" i="129"/>
  <c r="H12" i="129" l="1"/>
  <c r="E12" i="129"/>
  <c r="D12" i="129" s="1"/>
  <c r="G12" i="129" s="1"/>
  <c r="F13" i="129" s="1"/>
  <c r="H13" i="128"/>
  <c r="E13" i="128"/>
  <c r="D13" i="128" s="1"/>
  <c r="G13" i="128" s="1"/>
  <c r="F14" i="128" s="1"/>
  <c r="I11" i="129"/>
  <c r="I12" i="128"/>
  <c r="E14" i="128" l="1"/>
  <c r="D14" i="128" s="1"/>
  <c r="G14" i="128" s="1"/>
  <c r="F15" i="128" s="1"/>
  <c r="H14" i="128"/>
  <c r="H13" i="129"/>
  <c r="E13" i="129"/>
  <c r="D13" i="129" s="1"/>
  <c r="G13" i="129" s="1"/>
  <c r="F14" i="129" s="1"/>
  <c r="I13" i="128"/>
  <c r="I12" i="129"/>
  <c r="I14" i="128" l="1"/>
  <c r="H14" i="129"/>
  <c r="E14" i="129"/>
  <c r="D14" i="129" s="1"/>
  <c r="G14" i="129" s="1"/>
  <c r="F15" i="129" s="1"/>
  <c r="E15" i="128"/>
  <c r="D15" i="128" s="1"/>
  <c r="G15" i="128" s="1"/>
  <c r="F16" i="128" s="1"/>
  <c r="H15" i="128"/>
  <c r="I13" i="129"/>
  <c r="I15" i="128" l="1"/>
  <c r="H15" i="129"/>
  <c r="E15" i="129"/>
  <c r="D15" i="129" s="1"/>
  <c r="G15" i="129" s="1"/>
  <c r="F16" i="129" s="1"/>
  <c r="H16" i="128"/>
  <c r="E16" i="128"/>
  <c r="D16" i="128" s="1"/>
  <c r="G16" i="128" s="1"/>
  <c r="F17" i="128" s="1"/>
  <c r="I14" i="129"/>
  <c r="H17" i="128" l="1"/>
  <c r="E17" i="128"/>
  <c r="D17" i="128" s="1"/>
  <c r="G17" i="128" s="1"/>
  <c r="F18" i="128" s="1"/>
  <c r="H16" i="129"/>
  <c r="E16" i="129"/>
  <c r="D16" i="129" s="1"/>
  <c r="G16" i="129" s="1"/>
  <c r="F17" i="129" s="1"/>
  <c r="I16" i="128"/>
  <c r="I15" i="129"/>
  <c r="H17" i="129" l="1"/>
  <c r="E17" i="129"/>
  <c r="D17" i="129" s="1"/>
  <c r="G17" i="129" s="1"/>
  <c r="F18" i="129" s="1"/>
  <c r="H18" i="128"/>
  <c r="E18" i="128"/>
  <c r="D18" i="128" s="1"/>
  <c r="G18" i="128" s="1"/>
  <c r="F19" i="128" s="1"/>
  <c r="I16" i="129"/>
  <c r="I17" i="128"/>
  <c r="H19" i="128" l="1"/>
  <c r="E19" i="128"/>
  <c r="D19" i="128" s="1"/>
  <c r="G19" i="128" s="1"/>
  <c r="H18" i="129"/>
  <c r="E18" i="129"/>
  <c r="D18" i="129" s="1"/>
  <c r="G18" i="129" s="1"/>
  <c r="F19" i="129" s="1"/>
  <c r="I18" i="128"/>
  <c r="I17" i="129"/>
  <c r="I18" i="129" l="1"/>
  <c r="I19" i="128"/>
  <c r="H19" i="129"/>
  <c r="E19" i="129"/>
  <c r="D19" i="129" s="1"/>
  <c r="G19" i="129" s="1"/>
  <c r="F40" i="128"/>
  <c r="F20" i="128"/>
  <c r="F20" i="129" l="1"/>
  <c r="F40" i="129"/>
  <c r="E40" i="128"/>
  <c r="D40" i="128" s="1"/>
  <c r="H20" i="128"/>
  <c r="E20" i="128"/>
  <c r="D20" i="128" s="1"/>
  <c r="G40" i="128" s="1"/>
  <c r="I19" i="129"/>
  <c r="G20" i="128" l="1"/>
  <c r="I20" i="128"/>
  <c r="E40" i="129"/>
  <c r="D40" i="129" s="1"/>
  <c r="H20" i="129"/>
  <c r="E20" i="129"/>
  <c r="D20" i="129" s="1"/>
  <c r="G40" i="129" s="1"/>
  <c r="G20" i="129" l="1"/>
  <c r="I20" i="129"/>
  <c r="F21" i="128"/>
  <c r="F41" i="128"/>
  <c r="E21" i="128" l="1"/>
  <c r="D21" i="128" s="1"/>
  <c r="G21" i="128" s="1"/>
  <c r="F22" i="128" s="1"/>
  <c r="H21" i="128"/>
  <c r="E41" i="128"/>
  <c r="D41" i="128" s="1"/>
  <c r="G41" i="128" s="1"/>
  <c r="F42" i="128" s="1"/>
  <c r="F41" i="129"/>
  <c r="E41" i="129" s="1"/>
  <c r="F21" i="129"/>
  <c r="E22" i="128" l="1"/>
  <c r="D22" i="128" s="1"/>
  <c r="G22" i="128" s="1"/>
  <c r="F23" i="128" s="1"/>
  <c r="H22" i="128"/>
  <c r="E42" i="128"/>
  <c r="D42" i="128" s="1"/>
  <c r="G42" i="128" s="1"/>
  <c r="F43" i="128" s="1"/>
  <c r="H21" i="129"/>
  <c r="E21" i="129"/>
  <c r="D21" i="129" s="1"/>
  <c r="G21" i="129" s="1"/>
  <c r="F22" i="129" s="1"/>
  <c r="D41" i="129"/>
  <c r="G41" i="129" s="1"/>
  <c r="F42" i="129" s="1"/>
  <c r="E42" i="129" s="1"/>
  <c r="I21" i="128"/>
  <c r="E43" i="128" l="1"/>
  <c r="D43" i="128" s="1"/>
  <c r="G43" i="128" s="1"/>
  <c r="F44" i="128" s="1"/>
  <c r="D42" i="129"/>
  <c r="G42" i="129" s="1"/>
  <c r="F43" i="129" s="1"/>
  <c r="E43" i="129" s="1"/>
  <c r="H22" i="129"/>
  <c r="E22" i="129"/>
  <c r="D22" i="129" s="1"/>
  <c r="G22" i="129" s="1"/>
  <c r="F23" i="129" s="1"/>
  <c r="E23" i="128"/>
  <c r="D23" i="128" s="1"/>
  <c r="G23" i="128" s="1"/>
  <c r="F24" i="128" s="1"/>
  <c r="H23" i="128"/>
  <c r="I21" i="129"/>
  <c r="I22" i="128"/>
  <c r="D43" i="129" l="1"/>
  <c r="G43" i="129" s="1"/>
  <c r="F44" i="129" s="1"/>
  <c r="E44" i="129" s="1"/>
  <c r="H23" i="129"/>
  <c r="E23" i="129"/>
  <c r="D23" i="129" s="1"/>
  <c r="G23" i="129" s="1"/>
  <c r="F24" i="129" s="1"/>
  <c r="E44" i="128"/>
  <c r="D44" i="128" s="1"/>
  <c r="G44" i="128" s="1"/>
  <c r="F45" i="128" s="1"/>
  <c r="H24" i="128"/>
  <c r="E24" i="128"/>
  <c r="D24" i="128" s="1"/>
  <c r="G24" i="128" s="1"/>
  <c r="F25" i="128" s="1"/>
  <c r="I23" i="128"/>
  <c r="I22" i="129"/>
  <c r="H24" i="129" l="1"/>
  <c r="E24" i="129"/>
  <c r="D24" i="129" s="1"/>
  <c r="G24" i="129" s="1"/>
  <c r="F25" i="129" s="1"/>
  <c r="E45" i="128"/>
  <c r="D45" i="128" s="1"/>
  <c r="G45" i="128" s="1"/>
  <c r="F46" i="128" s="1"/>
  <c r="D44" i="129"/>
  <c r="G44" i="129" s="1"/>
  <c r="F45" i="129" s="1"/>
  <c r="E45" i="129" s="1"/>
  <c r="H25" i="128"/>
  <c r="E25" i="128"/>
  <c r="D25" i="128" s="1"/>
  <c r="G25" i="128" s="1"/>
  <c r="F26" i="128" s="1"/>
  <c r="I23" i="129"/>
  <c r="I24" i="128"/>
  <c r="D45" i="129" l="1"/>
  <c r="G45" i="129" s="1"/>
  <c r="F46" i="129" s="1"/>
  <c r="E46" i="129" s="1"/>
  <c r="H25" i="129"/>
  <c r="E25" i="129"/>
  <c r="D25" i="129" s="1"/>
  <c r="G25" i="129" s="1"/>
  <c r="F26" i="129" s="1"/>
  <c r="E46" i="128"/>
  <c r="D46" i="128" s="1"/>
  <c r="G46" i="128" s="1"/>
  <c r="F47" i="128" s="1"/>
  <c r="H26" i="128"/>
  <c r="E26" i="128"/>
  <c r="D26" i="128" s="1"/>
  <c r="G26" i="128" s="1"/>
  <c r="F27" i="128" s="1"/>
  <c r="I25" i="128"/>
  <c r="I24" i="129"/>
  <c r="E47" i="128" l="1"/>
  <c r="D47" i="128" s="1"/>
  <c r="G47" i="128" s="1"/>
  <c r="F48" i="128" s="1"/>
  <c r="H26" i="129"/>
  <c r="E26" i="129"/>
  <c r="D26" i="129" s="1"/>
  <c r="G26" i="129" s="1"/>
  <c r="F27" i="129" s="1"/>
  <c r="D46" i="129"/>
  <c r="G46" i="129" s="1"/>
  <c r="F47" i="129" s="1"/>
  <c r="E47" i="129" s="1"/>
  <c r="I25" i="129"/>
  <c r="H27" i="128"/>
  <c r="E27" i="128"/>
  <c r="D27" i="128" s="1"/>
  <c r="G27" i="128" s="1"/>
  <c r="F28" i="128" s="1"/>
  <c r="I26" i="128"/>
  <c r="H28" i="128" l="1"/>
  <c r="E28" i="128"/>
  <c r="D28" i="128" s="1"/>
  <c r="G28" i="128" s="1"/>
  <c r="F29" i="128" s="1"/>
  <c r="H27" i="129"/>
  <c r="E27" i="129"/>
  <c r="D27" i="129" s="1"/>
  <c r="G27" i="129" s="1"/>
  <c r="F28" i="129" s="1"/>
  <c r="D47" i="129"/>
  <c r="G47" i="129" s="1"/>
  <c r="F48" i="129" s="1"/>
  <c r="E48" i="129" s="1"/>
  <c r="E48" i="128"/>
  <c r="D48" i="128" s="1"/>
  <c r="G48" i="128" s="1"/>
  <c r="F49" i="128" s="1"/>
  <c r="I26" i="129"/>
  <c r="I27" i="128"/>
  <c r="D48" i="129" l="1"/>
  <c r="G48" i="129" s="1"/>
  <c r="F49" i="129" s="1"/>
  <c r="E49" i="129" s="1"/>
  <c r="E29" i="128"/>
  <c r="D29" i="128" s="1"/>
  <c r="G29" i="128" s="1"/>
  <c r="F30" i="128" s="1"/>
  <c r="H29" i="128"/>
  <c r="E49" i="128"/>
  <c r="D49" i="128" s="1"/>
  <c r="G49" i="128" s="1"/>
  <c r="F50" i="128" s="1"/>
  <c r="H28" i="129"/>
  <c r="E28" i="129"/>
  <c r="D28" i="129" s="1"/>
  <c r="G28" i="129" s="1"/>
  <c r="F29" i="129" s="1"/>
  <c r="I27" i="129"/>
  <c r="I28" i="128"/>
  <c r="I28" i="129" l="1"/>
  <c r="E50" i="128"/>
  <c r="D50" i="128" s="1"/>
  <c r="G50" i="128" s="1"/>
  <c r="F51" i="128" s="1"/>
  <c r="E30" i="128"/>
  <c r="D30" i="128" s="1"/>
  <c r="G30" i="128" s="1"/>
  <c r="F31" i="128" s="1"/>
  <c r="H30" i="128"/>
  <c r="H29" i="129"/>
  <c r="E29" i="129"/>
  <c r="D29" i="129" s="1"/>
  <c r="G29" i="129" s="1"/>
  <c r="F30" i="129" s="1"/>
  <c r="D49" i="129"/>
  <c r="G49" i="129" s="1"/>
  <c r="F50" i="129" s="1"/>
  <c r="E50" i="129" s="1"/>
  <c r="I29" i="128"/>
  <c r="D50" i="129" l="1"/>
  <c r="G50" i="129" s="1"/>
  <c r="F51" i="129" s="1"/>
  <c r="E51" i="129" s="1"/>
  <c r="H30" i="129"/>
  <c r="E30" i="129"/>
  <c r="D30" i="129" s="1"/>
  <c r="G30" i="129" s="1"/>
  <c r="F31" i="129" s="1"/>
  <c r="E31" i="128"/>
  <c r="D31" i="128" s="1"/>
  <c r="G31" i="128" s="1"/>
  <c r="F32" i="128" s="1"/>
  <c r="H31" i="128"/>
  <c r="E51" i="128"/>
  <c r="D51" i="128" s="1"/>
  <c r="G51" i="128" s="1"/>
  <c r="F52" i="128" s="1"/>
  <c r="I30" i="128"/>
  <c r="I29" i="129"/>
  <c r="H32" i="128" l="1"/>
  <c r="E32" i="128"/>
  <c r="D32" i="128" s="1"/>
  <c r="G32" i="128" s="1"/>
  <c r="F33" i="128" s="1"/>
  <c r="H31" i="129"/>
  <c r="E31" i="129"/>
  <c r="D31" i="129" s="1"/>
  <c r="G31" i="129" s="1"/>
  <c r="F32" i="129" s="1"/>
  <c r="D51" i="129"/>
  <c r="G51" i="129" s="1"/>
  <c r="F52" i="129" s="1"/>
  <c r="E52" i="129" s="1"/>
  <c r="E52" i="128"/>
  <c r="D52" i="128" s="1"/>
  <c r="G52" i="128" s="1"/>
  <c r="F53" i="128" s="1"/>
  <c r="E53" i="128" s="1"/>
  <c r="I31" i="128"/>
  <c r="I30" i="129"/>
  <c r="D53" i="128" l="1"/>
  <c r="G53" i="128" s="1"/>
  <c r="F54" i="128" s="1"/>
  <c r="E54" i="128" s="1"/>
  <c r="H32" i="129"/>
  <c r="E32" i="129"/>
  <c r="D32" i="129" s="1"/>
  <c r="G32" i="129" s="1"/>
  <c r="F33" i="129" s="1"/>
  <c r="H33" i="128"/>
  <c r="E33" i="128"/>
  <c r="D33" i="128" s="1"/>
  <c r="G33" i="128" s="1"/>
  <c r="F34" i="128" s="1"/>
  <c r="D52" i="129"/>
  <c r="G52" i="129" s="1"/>
  <c r="F53" i="129" s="1"/>
  <c r="E53" i="129" s="1"/>
  <c r="I31" i="129"/>
  <c r="I32" i="128"/>
  <c r="D53" i="129" l="1"/>
  <c r="G53" i="129" s="1"/>
  <c r="F54" i="129" s="1"/>
  <c r="E54" i="129" s="1"/>
  <c r="E34" i="128"/>
  <c r="D34" i="128" s="1"/>
  <c r="G34" i="128" s="1"/>
  <c r="F35" i="128" s="1"/>
  <c r="H33" i="129"/>
  <c r="E33" i="129"/>
  <c r="D33" i="129" s="1"/>
  <c r="G33" i="129" s="1"/>
  <c r="F34" i="129" s="1"/>
  <c r="D54" i="128"/>
  <c r="G54" i="128" s="1"/>
  <c r="F55" i="128" s="1"/>
  <c r="E55" i="128" s="1"/>
  <c r="I32" i="129"/>
  <c r="I33" i="128"/>
  <c r="E34" i="129" l="1"/>
  <c r="D34" i="129" s="1"/>
  <c r="G34" i="129" s="1"/>
  <c r="F35" i="129" s="1"/>
  <c r="E35" i="128"/>
  <c r="D35" i="128" s="1"/>
  <c r="G35" i="128" s="1"/>
  <c r="F36" i="128" s="1"/>
  <c r="D54" i="129"/>
  <c r="G54" i="129" s="1"/>
  <c r="F55" i="129" s="1"/>
  <c r="E55" i="129" s="1"/>
  <c r="D55" i="128"/>
  <c r="G55" i="128" s="1"/>
  <c r="F56" i="128" s="1"/>
  <c r="E56" i="128" s="1"/>
  <c r="I33" i="129"/>
  <c r="D56" i="128" l="1"/>
  <c r="G56" i="128" s="1"/>
  <c r="F57" i="128" s="1"/>
  <c r="E57" i="128" s="1"/>
  <c r="D55" i="129"/>
  <c r="G55" i="129" s="1"/>
  <c r="F56" i="129" s="1"/>
  <c r="E56" i="129" s="1"/>
  <c r="E35" i="129"/>
  <c r="D35" i="129" s="1"/>
  <c r="G35" i="129" s="1"/>
  <c r="F36" i="129" s="1"/>
  <c r="E36" i="128"/>
  <c r="D36" i="128" s="1"/>
  <c r="G36" i="128" s="1"/>
  <c r="F37" i="128" s="1"/>
  <c r="E36" i="129" l="1"/>
  <c r="D36" i="129" s="1"/>
  <c r="G36" i="129" s="1"/>
  <c r="F37" i="129" s="1"/>
  <c r="E37" i="128"/>
  <c r="D37" i="128" s="1"/>
  <c r="G37" i="128" s="1"/>
  <c r="F38" i="128" s="1"/>
  <c r="D57" i="128"/>
  <c r="G57" i="128" s="1"/>
  <c r="F58" i="128" s="1"/>
  <c r="E58" i="128" s="1"/>
  <c r="D56" i="129"/>
  <c r="G56" i="129" s="1"/>
  <c r="F57" i="129" s="1"/>
  <c r="E57" i="129" s="1"/>
  <c r="D57" i="129" l="1"/>
  <c r="G57" i="129" s="1"/>
  <c r="F58" i="129" s="1"/>
  <c r="E58" i="129" s="1"/>
  <c r="E38" i="128"/>
  <c r="D38" i="128" s="1"/>
  <c r="G38" i="128" s="1"/>
  <c r="F39" i="128" s="1"/>
  <c r="G39" i="128" s="1"/>
  <c r="D58" i="128"/>
  <c r="G58" i="128" s="1"/>
  <c r="F59" i="128" s="1"/>
  <c r="E37" i="129"/>
  <c r="D37" i="129" s="1"/>
  <c r="G37" i="129" s="1"/>
  <c r="F38" i="129" s="1"/>
  <c r="D59" i="128" l="1"/>
  <c r="G59" i="128" s="1"/>
  <c r="E38" i="129"/>
  <c r="D38" i="129" s="1"/>
  <c r="G38" i="129" s="1"/>
  <c r="F39" i="129" s="1"/>
  <c r="G39" i="129" s="1"/>
  <c r="D58" i="129"/>
  <c r="G58" i="129" s="1"/>
  <c r="F59" i="129" s="1"/>
  <c r="D59" i="129" l="1"/>
  <c r="G59" i="129" s="1"/>
  <c r="J2" i="126" l="1"/>
  <c r="C58" i="126" s="1"/>
  <c r="E2" i="126"/>
  <c r="C47" i="126" s="1"/>
  <c r="C45" i="126"/>
  <c r="M2" i="126"/>
  <c r="L2" i="126"/>
  <c r="H2" i="126"/>
  <c r="G2" i="126"/>
  <c r="B43" i="126"/>
  <c r="B44" i="126"/>
  <c r="B45" i="126"/>
  <c r="B46" i="126"/>
  <c r="B47" i="126"/>
  <c r="B48" i="126"/>
  <c r="B49" i="126"/>
  <c r="B50" i="126"/>
  <c r="B51" i="126"/>
  <c r="B52" i="126"/>
  <c r="B53" i="126"/>
  <c r="B54" i="126"/>
  <c r="B55" i="126"/>
  <c r="B56" i="126"/>
  <c r="B57" i="126"/>
  <c r="B58" i="126"/>
  <c r="B59" i="126"/>
  <c r="B42" i="126"/>
  <c r="B41" i="126"/>
  <c r="J2" i="125"/>
  <c r="C57" i="125" s="1"/>
  <c r="M2" i="125"/>
  <c r="L2" i="125"/>
  <c r="C2" i="125"/>
  <c r="C6" i="125" s="1"/>
  <c r="E2" i="125"/>
  <c r="C45" i="125" s="1"/>
  <c r="H2" i="125"/>
  <c r="G2" i="125"/>
  <c r="B41" i="125"/>
  <c r="B59" i="125"/>
  <c r="B58" i="125"/>
  <c r="B57" i="125"/>
  <c r="B56" i="125"/>
  <c r="B55" i="125"/>
  <c r="B54" i="125"/>
  <c r="B53" i="125"/>
  <c r="B52" i="125"/>
  <c r="B51" i="125"/>
  <c r="B50" i="125"/>
  <c r="B49" i="125"/>
  <c r="B48" i="125"/>
  <c r="B47" i="125"/>
  <c r="B46" i="125"/>
  <c r="B45" i="125"/>
  <c r="B44" i="125"/>
  <c r="B43" i="125"/>
  <c r="B42" i="125"/>
  <c r="B40" i="126"/>
  <c r="B39" i="126"/>
  <c r="B38" i="126"/>
  <c r="B37" i="126"/>
  <c r="B36" i="126"/>
  <c r="B35" i="126"/>
  <c r="B34" i="126"/>
  <c r="B33" i="126"/>
  <c r="B32" i="126"/>
  <c r="B31" i="126"/>
  <c r="B30" i="126"/>
  <c r="B29" i="126"/>
  <c r="B28" i="126"/>
  <c r="B27" i="126"/>
  <c r="B26" i="126"/>
  <c r="B25" i="126"/>
  <c r="B24" i="126"/>
  <c r="B23" i="126"/>
  <c r="B22" i="126"/>
  <c r="B21" i="126"/>
  <c r="B20" i="126"/>
  <c r="B19" i="126"/>
  <c r="B18" i="126"/>
  <c r="B17" i="126"/>
  <c r="B16" i="126"/>
  <c r="B15" i="126"/>
  <c r="B14" i="126"/>
  <c r="B13" i="126"/>
  <c r="B12" i="126"/>
  <c r="B11" i="126"/>
  <c r="B10" i="126"/>
  <c r="B9" i="126"/>
  <c r="B8" i="126"/>
  <c r="B7" i="126"/>
  <c r="B6" i="126"/>
  <c r="B5" i="126"/>
  <c r="G4" i="126"/>
  <c r="F5" i="126" s="1"/>
  <c r="B4" i="126"/>
  <c r="E4" i="126" s="1"/>
  <c r="C2" i="126"/>
  <c r="C38" i="126" s="1"/>
  <c r="B40" i="125"/>
  <c r="B39" i="125"/>
  <c r="B38" i="125"/>
  <c r="B37" i="125"/>
  <c r="B36" i="125"/>
  <c r="B35" i="125"/>
  <c r="B34" i="125"/>
  <c r="B33" i="125"/>
  <c r="B32" i="125"/>
  <c r="B31" i="125"/>
  <c r="B30" i="125"/>
  <c r="B29" i="125"/>
  <c r="B28" i="125"/>
  <c r="B27" i="125"/>
  <c r="B26" i="125"/>
  <c r="B25" i="125"/>
  <c r="B24" i="125"/>
  <c r="B23" i="125"/>
  <c r="B22" i="125"/>
  <c r="B21" i="125"/>
  <c r="B20" i="125"/>
  <c r="B19" i="125"/>
  <c r="B18" i="125"/>
  <c r="B17" i="125"/>
  <c r="B16" i="125"/>
  <c r="B15" i="125"/>
  <c r="B14" i="125"/>
  <c r="B13" i="125"/>
  <c r="B12" i="125"/>
  <c r="B11" i="125"/>
  <c r="B10" i="125"/>
  <c r="B9" i="125"/>
  <c r="B8" i="125"/>
  <c r="B7" i="125"/>
  <c r="B6" i="125"/>
  <c r="B5" i="125"/>
  <c r="G4" i="125"/>
  <c r="F5" i="125" s="1"/>
  <c r="B4" i="125"/>
  <c r="H4" i="125" s="1"/>
  <c r="D2" i="123"/>
  <c r="C56" i="123" s="1"/>
  <c r="D2" i="122"/>
  <c r="C60" i="122" s="1"/>
  <c r="B67" i="123"/>
  <c r="B66" i="123"/>
  <c r="B65" i="123"/>
  <c r="B64" i="123"/>
  <c r="B63" i="123"/>
  <c r="B62" i="123"/>
  <c r="B61" i="123"/>
  <c r="B60" i="123"/>
  <c r="B59" i="123"/>
  <c r="B58" i="123"/>
  <c r="B57" i="123"/>
  <c r="B56" i="123"/>
  <c r="B55" i="123"/>
  <c r="B54" i="123"/>
  <c r="B53" i="123"/>
  <c r="B52" i="123"/>
  <c r="B51" i="123"/>
  <c r="B50" i="123"/>
  <c r="B49" i="123"/>
  <c r="B48" i="123"/>
  <c r="B47" i="123"/>
  <c r="B46" i="123"/>
  <c r="B45" i="123"/>
  <c r="B44" i="123"/>
  <c r="B43" i="123"/>
  <c r="B42" i="123"/>
  <c r="B40" i="123"/>
  <c r="B39" i="123"/>
  <c r="B38" i="123"/>
  <c r="B37" i="123"/>
  <c r="B36" i="123"/>
  <c r="B35" i="123"/>
  <c r="B34" i="123"/>
  <c r="B33" i="123"/>
  <c r="B32" i="123"/>
  <c r="B31" i="123"/>
  <c r="B30" i="123"/>
  <c r="B29" i="123"/>
  <c r="B28" i="123"/>
  <c r="B27" i="123"/>
  <c r="B26" i="123"/>
  <c r="B25" i="123"/>
  <c r="B24" i="123"/>
  <c r="B23" i="123"/>
  <c r="B22" i="123"/>
  <c r="B21" i="123"/>
  <c r="B20" i="123"/>
  <c r="B19" i="123"/>
  <c r="B18" i="123"/>
  <c r="B17" i="123"/>
  <c r="B16" i="123"/>
  <c r="B15" i="123"/>
  <c r="B14" i="123"/>
  <c r="B13" i="123"/>
  <c r="B12" i="123"/>
  <c r="B11" i="123"/>
  <c r="B10" i="123"/>
  <c r="B9" i="123"/>
  <c r="B8" i="123"/>
  <c r="B7" i="123"/>
  <c r="B6" i="123"/>
  <c r="F5" i="123"/>
  <c r="H5" i="123" s="1"/>
  <c r="B5" i="123"/>
  <c r="G4" i="123"/>
  <c r="B4" i="123"/>
  <c r="E4" i="123" s="1"/>
  <c r="F1" i="123"/>
  <c r="D1" i="123"/>
  <c r="C8" i="123" s="1"/>
  <c r="B67" i="122"/>
  <c r="B66" i="122"/>
  <c r="B65" i="122"/>
  <c r="B64" i="122"/>
  <c r="B63" i="122"/>
  <c r="B62" i="122"/>
  <c r="B61" i="122"/>
  <c r="B60" i="122"/>
  <c r="B59" i="122"/>
  <c r="B58" i="122"/>
  <c r="B57" i="122"/>
  <c r="B56" i="122"/>
  <c r="B55" i="122"/>
  <c r="B54" i="122"/>
  <c r="B53" i="122"/>
  <c r="B52" i="122"/>
  <c r="B51" i="122"/>
  <c r="B50" i="122"/>
  <c r="B49" i="122"/>
  <c r="B48" i="122"/>
  <c r="B47" i="122"/>
  <c r="B46" i="122"/>
  <c r="B45" i="122"/>
  <c r="B44" i="122"/>
  <c r="B43" i="122"/>
  <c r="B42" i="122"/>
  <c r="B40" i="122"/>
  <c r="B39" i="122"/>
  <c r="B38" i="122"/>
  <c r="B37" i="122"/>
  <c r="B36" i="122"/>
  <c r="B35" i="122"/>
  <c r="B34" i="122"/>
  <c r="B33" i="122"/>
  <c r="B32" i="122"/>
  <c r="B31" i="122"/>
  <c r="B30" i="122"/>
  <c r="B29" i="122"/>
  <c r="B28" i="122"/>
  <c r="B27" i="122"/>
  <c r="B26" i="122"/>
  <c r="B25" i="122"/>
  <c r="B24" i="122"/>
  <c r="B23" i="122"/>
  <c r="B22" i="122"/>
  <c r="B21" i="122"/>
  <c r="B20" i="122"/>
  <c r="B19" i="122"/>
  <c r="B18" i="122"/>
  <c r="B17" i="122"/>
  <c r="B16" i="122"/>
  <c r="B15" i="122"/>
  <c r="B14" i="122"/>
  <c r="B13" i="122"/>
  <c r="B12" i="122"/>
  <c r="B11" i="122"/>
  <c r="B10" i="122"/>
  <c r="B9" i="122"/>
  <c r="B8" i="122"/>
  <c r="B7" i="122"/>
  <c r="B6" i="122"/>
  <c r="B5" i="122"/>
  <c r="G4" i="122"/>
  <c r="F5" i="122" s="1"/>
  <c r="B4" i="122"/>
  <c r="H4" i="122" s="1"/>
  <c r="F1" i="122"/>
  <c r="C52" i="122" s="1"/>
  <c r="D1" i="122"/>
  <c r="C37" i="122" s="1"/>
  <c r="C53" i="126" l="1"/>
  <c r="C52" i="126"/>
  <c r="C44" i="126"/>
  <c r="C54" i="126"/>
  <c r="C46" i="126"/>
  <c r="C55" i="126"/>
  <c r="C59" i="126"/>
  <c r="C57" i="126"/>
  <c r="C56" i="126"/>
  <c r="C50" i="126"/>
  <c r="C51" i="126"/>
  <c r="C49" i="126"/>
  <c r="C48" i="126"/>
  <c r="C43" i="126"/>
  <c r="C41" i="126"/>
  <c r="C42" i="126"/>
  <c r="C56" i="125"/>
  <c r="C59" i="125"/>
  <c r="C58" i="125"/>
  <c r="C55" i="125"/>
  <c r="C36" i="125"/>
  <c r="C32" i="125"/>
  <c r="C31" i="125"/>
  <c r="C44" i="125"/>
  <c r="C20" i="125"/>
  <c r="C16" i="125"/>
  <c r="C15" i="125"/>
  <c r="C29" i="125"/>
  <c r="C13" i="125"/>
  <c r="C28" i="125"/>
  <c r="C12" i="125"/>
  <c r="C40" i="125"/>
  <c r="C24" i="125"/>
  <c r="C8" i="125"/>
  <c r="C39" i="125"/>
  <c r="C23" i="125"/>
  <c r="C7" i="125"/>
  <c r="C50" i="125"/>
  <c r="C37" i="125"/>
  <c r="C21" i="125"/>
  <c r="C35" i="125"/>
  <c r="C27" i="125"/>
  <c r="C19" i="125"/>
  <c r="C11" i="125"/>
  <c r="C5" i="125"/>
  <c r="C34" i="125"/>
  <c r="C26" i="125"/>
  <c r="C18" i="125"/>
  <c r="C10" i="125"/>
  <c r="C51" i="125"/>
  <c r="C41" i="125"/>
  <c r="C33" i="125"/>
  <c r="C25" i="125"/>
  <c r="C17" i="125"/>
  <c r="C9" i="125"/>
  <c r="C38" i="125"/>
  <c r="C30" i="125"/>
  <c r="C22" i="125"/>
  <c r="C14" i="125"/>
  <c r="C43" i="125"/>
  <c r="C42" i="125"/>
  <c r="C52" i="125"/>
  <c r="C48" i="125"/>
  <c r="C49" i="125"/>
  <c r="C47" i="125"/>
  <c r="C54" i="125"/>
  <c r="C46" i="125"/>
  <c r="C53" i="125"/>
  <c r="E4" i="125"/>
  <c r="I4" i="125" s="1"/>
  <c r="H5" i="125"/>
  <c r="E5" i="126"/>
  <c r="C37" i="126"/>
  <c r="C36" i="126"/>
  <c r="C40" i="126"/>
  <c r="D40" i="126" s="1"/>
  <c r="E5" i="125"/>
  <c r="C35" i="126"/>
  <c r="C39" i="126"/>
  <c r="C5" i="126"/>
  <c r="C6" i="126"/>
  <c r="C7" i="126"/>
  <c r="C8" i="126"/>
  <c r="C9" i="126"/>
  <c r="C10" i="126"/>
  <c r="C11" i="126"/>
  <c r="C12" i="126"/>
  <c r="C13" i="126"/>
  <c r="C14" i="126"/>
  <c r="C15" i="126"/>
  <c r="C16" i="126"/>
  <c r="C17" i="126"/>
  <c r="C18" i="126"/>
  <c r="C19" i="126"/>
  <c r="C20" i="126"/>
  <c r="C21" i="126"/>
  <c r="C22" i="126"/>
  <c r="C23" i="126"/>
  <c r="C24" i="126"/>
  <c r="C25" i="126"/>
  <c r="C26" i="126"/>
  <c r="C27" i="126"/>
  <c r="C28" i="126"/>
  <c r="C29" i="126"/>
  <c r="C30" i="126"/>
  <c r="C31" i="126"/>
  <c r="C32" i="126"/>
  <c r="C33" i="126"/>
  <c r="C34" i="126"/>
  <c r="H4" i="123"/>
  <c r="C7" i="123"/>
  <c r="C9" i="123"/>
  <c r="C5" i="123"/>
  <c r="C61" i="123"/>
  <c r="C54" i="123"/>
  <c r="C60" i="123"/>
  <c r="C55" i="123"/>
  <c r="C62" i="123"/>
  <c r="C67" i="123"/>
  <c r="C59" i="123"/>
  <c r="C66" i="123"/>
  <c r="C58" i="123"/>
  <c r="C63" i="123"/>
  <c r="C65" i="123"/>
  <c r="C57" i="123"/>
  <c r="C64" i="123"/>
  <c r="C59" i="122"/>
  <c r="C61" i="122"/>
  <c r="C64" i="122"/>
  <c r="C58" i="122"/>
  <c r="C56" i="122"/>
  <c r="C67" i="122"/>
  <c r="C55" i="122"/>
  <c r="C66" i="122"/>
  <c r="C41" i="122"/>
  <c r="C30" i="122"/>
  <c r="C63" i="122"/>
  <c r="C65" i="122"/>
  <c r="C57" i="122"/>
  <c r="C62" i="122"/>
  <c r="C54" i="122"/>
  <c r="D5" i="123"/>
  <c r="G5" i="123" s="1"/>
  <c r="F6" i="123" s="1"/>
  <c r="H5" i="122"/>
  <c r="E5" i="122"/>
  <c r="C29" i="122"/>
  <c r="C35" i="122"/>
  <c r="C38" i="122"/>
  <c r="C46" i="122"/>
  <c r="C49" i="122"/>
  <c r="E5" i="123"/>
  <c r="I5" i="123" s="1"/>
  <c r="C5" i="122"/>
  <c r="C7" i="122"/>
  <c r="C8" i="122"/>
  <c r="C9" i="122"/>
  <c r="C10" i="122"/>
  <c r="C11" i="122"/>
  <c r="C12" i="122"/>
  <c r="C13" i="122"/>
  <c r="C14" i="122"/>
  <c r="C15" i="122"/>
  <c r="C16" i="122"/>
  <c r="C17" i="122"/>
  <c r="C18" i="122"/>
  <c r="C19" i="122"/>
  <c r="C20" i="122"/>
  <c r="C21" i="122"/>
  <c r="C22" i="122"/>
  <c r="C23" i="122"/>
  <c r="C24" i="122"/>
  <c r="C25" i="122"/>
  <c r="C26" i="122"/>
  <c r="C27" i="122"/>
  <c r="C28" i="122"/>
  <c r="C51" i="122"/>
  <c r="C47" i="122"/>
  <c r="C43" i="122"/>
  <c r="C6" i="123"/>
  <c r="C50" i="123"/>
  <c r="C46" i="123"/>
  <c r="C42" i="123"/>
  <c r="C51" i="123"/>
  <c r="C47" i="123"/>
  <c r="C43" i="123"/>
  <c r="C52" i="123"/>
  <c r="C48" i="123"/>
  <c r="C44" i="123"/>
  <c r="C53" i="123"/>
  <c r="C49" i="123"/>
  <c r="C45" i="123"/>
  <c r="C34" i="122"/>
  <c r="C42" i="122"/>
  <c r="C45" i="122"/>
  <c r="C48" i="122"/>
  <c r="I4" i="123"/>
  <c r="C11" i="123"/>
  <c r="C40" i="122"/>
  <c r="D40" i="122" s="1"/>
  <c r="C36" i="122"/>
  <c r="C6" i="122"/>
  <c r="E4" i="122"/>
  <c r="I4" i="122" s="1"/>
  <c r="C33" i="122"/>
  <c r="C32" i="122"/>
  <c r="C39" i="122"/>
  <c r="C50" i="122"/>
  <c r="C53" i="122"/>
  <c r="C31" i="122"/>
  <c r="C44" i="122"/>
  <c r="C39" i="123"/>
  <c r="C35" i="123"/>
  <c r="C40" i="123"/>
  <c r="D40" i="123" s="1"/>
  <c r="C36" i="123"/>
  <c r="C37" i="123"/>
  <c r="C41" i="123"/>
  <c r="C38" i="123"/>
  <c r="C34" i="123"/>
  <c r="C33" i="123"/>
  <c r="C32" i="123"/>
  <c r="C31" i="123"/>
  <c r="C30" i="123"/>
  <c r="C29" i="123"/>
  <c r="C28" i="123"/>
  <c r="C27" i="123"/>
  <c r="C26" i="123"/>
  <c r="C25" i="123"/>
  <c r="C24" i="123"/>
  <c r="C23" i="123"/>
  <c r="C22" i="123"/>
  <c r="C21" i="123"/>
  <c r="C20" i="123"/>
  <c r="C19" i="123"/>
  <c r="C18" i="123"/>
  <c r="C17" i="123"/>
  <c r="C16" i="123"/>
  <c r="C15" i="123"/>
  <c r="C14" i="123"/>
  <c r="C13" i="123"/>
  <c r="C12" i="123"/>
  <c r="C10" i="123"/>
  <c r="D5" i="125" l="1"/>
  <c r="G5" i="125" s="1"/>
  <c r="F6" i="125" s="1"/>
  <c r="H6" i="125" s="1"/>
  <c r="D5" i="126"/>
  <c r="G5" i="126" s="1"/>
  <c r="F6" i="126" s="1"/>
  <c r="I5" i="125"/>
  <c r="D5" i="122"/>
  <c r="G5" i="122" s="1"/>
  <c r="F6" i="122" s="1"/>
  <c r="E6" i="123"/>
  <c r="D6" i="123" s="1"/>
  <c r="G6" i="123" s="1"/>
  <c r="F7" i="123" s="1"/>
  <c r="H6" i="123"/>
  <c r="I5" i="122"/>
  <c r="E6" i="125" l="1"/>
  <c r="D6" i="125" s="1"/>
  <c r="G6" i="125" s="1"/>
  <c r="F7" i="125" s="1"/>
  <c r="E7" i="125" s="1"/>
  <c r="D7" i="125" s="1"/>
  <c r="G7" i="125" s="1"/>
  <c r="F8" i="125" s="1"/>
  <c r="E6" i="126"/>
  <c r="D6" i="126" s="1"/>
  <c r="G6" i="126" s="1"/>
  <c r="F7" i="126" s="1"/>
  <c r="I6" i="123"/>
  <c r="E7" i="123"/>
  <c r="D7" i="123" s="1"/>
  <c r="G7" i="123" s="1"/>
  <c r="F8" i="123" s="1"/>
  <c r="H7" i="123"/>
  <c r="H6" i="122"/>
  <c r="E6" i="122"/>
  <c r="D6" i="122" s="1"/>
  <c r="G6" i="122" s="1"/>
  <c r="F7" i="122" s="1"/>
  <c r="I6" i="125" l="1"/>
  <c r="H7" i="125"/>
  <c r="I7" i="125" s="1"/>
  <c r="E7" i="126"/>
  <c r="D7" i="126" s="1"/>
  <c r="G7" i="126" s="1"/>
  <c r="F8" i="126" s="1"/>
  <c r="E8" i="125"/>
  <c r="D8" i="125" s="1"/>
  <c r="G8" i="125" s="1"/>
  <c r="F9" i="125" s="1"/>
  <c r="H8" i="125"/>
  <c r="H7" i="122"/>
  <c r="E7" i="122"/>
  <c r="D7" i="122" s="1"/>
  <c r="G7" i="122" s="1"/>
  <c r="F8" i="122" s="1"/>
  <c r="E8" i="123"/>
  <c r="D8" i="123" s="1"/>
  <c r="G8" i="123" s="1"/>
  <c r="F9" i="123" s="1"/>
  <c r="H8" i="123"/>
  <c r="I6" i="122"/>
  <c r="I7" i="123"/>
  <c r="E8" i="126" l="1"/>
  <c r="D8" i="126" s="1"/>
  <c r="G8" i="126" s="1"/>
  <c r="F9" i="126" s="1"/>
  <c r="E9" i="125"/>
  <c r="D9" i="125" s="1"/>
  <c r="G9" i="125" s="1"/>
  <c r="F10" i="125" s="1"/>
  <c r="H9" i="125"/>
  <c r="I8" i="125"/>
  <c r="I7" i="122"/>
  <c r="E9" i="123"/>
  <c r="D9" i="123" s="1"/>
  <c r="G9" i="123" s="1"/>
  <c r="F10" i="123" s="1"/>
  <c r="H9" i="123"/>
  <c r="H8" i="122"/>
  <c r="E8" i="122"/>
  <c r="D8" i="122" s="1"/>
  <c r="G8" i="122" s="1"/>
  <c r="F9" i="122" s="1"/>
  <c r="I8" i="123"/>
  <c r="I9" i="125" l="1"/>
  <c r="E10" i="125"/>
  <c r="D10" i="125" s="1"/>
  <c r="G10" i="125" s="1"/>
  <c r="F11" i="125" s="1"/>
  <c r="H10" i="125"/>
  <c r="E9" i="126"/>
  <c r="D9" i="126" s="1"/>
  <c r="G9" i="126" s="1"/>
  <c r="F10" i="126" s="1"/>
  <c r="E10" i="123"/>
  <c r="D10" i="123" s="1"/>
  <c r="G10" i="123" s="1"/>
  <c r="F11" i="123" s="1"/>
  <c r="H10" i="123"/>
  <c r="H9" i="122"/>
  <c r="E9" i="122"/>
  <c r="D9" i="122" s="1"/>
  <c r="G9" i="122" s="1"/>
  <c r="F10" i="122" s="1"/>
  <c r="I9" i="123"/>
  <c r="I8" i="122"/>
  <c r="E10" i="126" l="1"/>
  <c r="D10" i="126" s="1"/>
  <c r="G10" i="126" s="1"/>
  <c r="F11" i="126" s="1"/>
  <c r="E11" i="125"/>
  <c r="D11" i="125" s="1"/>
  <c r="G11" i="125" s="1"/>
  <c r="F12" i="125" s="1"/>
  <c r="H11" i="125"/>
  <c r="I10" i="125"/>
  <c r="E11" i="123"/>
  <c r="D11" i="123" s="1"/>
  <c r="G11" i="123" s="1"/>
  <c r="F12" i="123" s="1"/>
  <c r="H11" i="123"/>
  <c r="H10" i="122"/>
  <c r="E10" i="122"/>
  <c r="D10" i="122" s="1"/>
  <c r="G10" i="122" s="1"/>
  <c r="F11" i="122" s="1"/>
  <c r="I10" i="123"/>
  <c r="I9" i="122"/>
  <c r="E12" i="125" l="1"/>
  <c r="D12" i="125" s="1"/>
  <c r="G12" i="125" s="1"/>
  <c r="F13" i="125" s="1"/>
  <c r="H12" i="125"/>
  <c r="E11" i="126"/>
  <c r="D11" i="126" s="1"/>
  <c r="G11" i="126" s="1"/>
  <c r="F12" i="126" s="1"/>
  <c r="I11" i="125"/>
  <c r="E12" i="123"/>
  <c r="D12" i="123" s="1"/>
  <c r="G12" i="123" s="1"/>
  <c r="F13" i="123" s="1"/>
  <c r="H12" i="123"/>
  <c r="H11" i="122"/>
  <c r="E11" i="122"/>
  <c r="D11" i="122" s="1"/>
  <c r="G11" i="122" s="1"/>
  <c r="F12" i="122" s="1"/>
  <c r="I10" i="122"/>
  <c r="I11" i="123"/>
  <c r="E12" i="126" l="1"/>
  <c r="D12" i="126" s="1"/>
  <c r="G12" i="126" s="1"/>
  <c r="F13" i="126" s="1"/>
  <c r="E13" i="125"/>
  <c r="D13" i="125" s="1"/>
  <c r="G13" i="125" s="1"/>
  <c r="F14" i="125" s="1"/>
  <c r="H13" i="125"/>
  <c r="I12" i="125"/>
  <c r="E13" i="123"/>
  <c r="D13" i="123" s="1"/>
  <c r="G13" i="123" s="1"/>
  <c r="H13" i="123"/>
  <c r="H12" i="122"/>
  <c r="E12" i="122"/>
  <c r="D12" i="122" s="1"/>
  <c r="G12" i="122" s="1"/>
  <c r="F13" i="122" s="1"/>
  <c r="I11" i="122"/>
  <c r="I12" i="123"/>
  <c r="E13" i="126" l="1"/>
  <c r="D13" i="126" s="1"/>
  <c r="G13" i="126" s="1"/>
  <c r="F14" i="126" s="1"/>
  <c r="E14" i="125"/>
  <c r="D14" i="125" s="1"/>
  <c r="G14" i="125" s="1"/>
  <c r="F15" i="125" s="1"/>
  <c r="H14" i="125"/>
  <c r="I13" i="125"/>
  <c r="F41" i="123"/>
  <c r="F14" i="123"/>
  <c r="H13" i="122"/>
  <c r="E13" i="122"/>
  <c r="D13" i="122" s="1"/>
  <c r="G13" i="122" s="1"/>
  <c r="I13" i="123"/>
  <c r="I12" i="122"/>
  <c r="E15" i="125" l="1"/>
  <c r="D15" i="125" s="1"/>
  <c r="G15" i="125" s="1"/>
  <c r="F16" i="125" s="1"/>
  <c r="H15" i="125"/>
  <c r="E14" i="126"/>
  <c r="D14" i="126" s="1"/>
  <c r="G14" i="126" s="1"/>
  <c r="F15" i="126" s="1"/>
  <c r="I14" i="125"/>
  <c r="F14" i="122"/>
  <c r="F41" i="122"/>
  <c r="I13" i="122"/>
  <c r="E41" i="123"/>
  <c r="D41" i="123" s="1"/>
  <c r="E14" i="123"/>
  <c r="D14" i="123" s="1"/>
  <c r="G41" i="123" s="1"/>
  <c r="H14" i="123"/>
  <c r="E15" i="126" l="1"/>
  <c r="D15" i="126" s="1"/>
  <c r="G15" i="126" s="1"/>
  <c r="F16" i="126" s="1"/>
  <c r="E16" i="125"/>
  <c r="D16" i="125" s="1"/>
  <c r="G16" i="125" s="1"/>
  <c r="F17" i="125" s="1"/>
  <c r="H16" i="125"/>
  <c r="I15" i="125"/>
  <c r="I14" i="123"/>
  <c r="G14" i="123"/>
  <c r="F42" i="123" s="1"/>
  <c r="H14" i="122"/>
  <c r="E14" i="122"/>
  <c r="D14" i="122" s="1"/>
  <c r="G14" i="122" s="1"/>
  <c r="F42" i="122" s="1"/>
  <c r="E41" i="122"/>
  <c r="D41" i="122" s="1"/>
  <c r="I16" i="125" l="1"/>
  <c r="E17" i="125"/>
  <c r="D17" i="125" s="1"/>
  <c r="G17" i="125" s="1"/>
  <c r="F18" i="125" s="1"/>
  <c r="H17" i="125"/>
  <c r="E16" i="126"/>
  <c r="D16" i="126" s="1"/>
  <c r="G16" i="126" s="1"/>
  <c r="F17" i="126" s="1"/>
  <c r="F15" i="123"/>
  <c r="H15" i="123" s="1"/>
  <c r="I14" i="122"/>
  <c r="G41" i="122"/>
  <c r="F15" i="122"/>
  <c r="E42" i="123"/>
  <c r="D42" i="123" s="1"/>
  <c r="G42" i="123" s="1"/>
  <c r="F43" i="123" s="1"/>
  <c r="I17" i="125" l="1"/>
  <c r="E17" i="126"/>
  <c r="D17" i="126" s="1"/>
  <c r="G17" i="126" s="1"/>
  <c r="F18" i="126" s="1"/>
  <c r="E18" i="125"/>
  <c r="D18" i="125" s="1"/>
  <c r="G18" i="125" s="1"/>
  <c r="F19" i="125" s="1"/>
  <c r="H18" i="125"/>
  <c r="I15" i="123"/>
  <c r="E15" i="123"/>
  <c r="D15" i="123" s="1"/>
  <c r="G15" i="123" s="1"/>
  <c r="F16" i="123" s="1"/>
  <c r="E43" i="123"/>
  <c r="D43" i="123" s="1"/>
  <c r="G43" i="123" s="1"/>
  <c r="F44" i="123" s="1"/>
  <c r="E16" i="123"/>
  <c r="D16" i="123" s="1"/>
  <c r="G16" i="123" s="1"/>
  <c r="F17" i="123" s="1"/>
  <c r="H16" i="123"/>
  <c r="E42" i="122"/>
  <c r="D42" i="122" s="1"/>
  <c r="G42" i="122" s="1"/>
  <c r="F43" i="122" s="1"/>
  <c r="H15" i="122"/>
  <c r="E15" i="122"/>
  <c r="D15" i="122" s="1"/>
  <c r="G15" i="122" s="1"/>
  <c r="F16" i="122" s="1"/>
  <c r="I18" i="125" l="1"/>
  <c r="D40" i="125"/>
  <c r="E19" i="125"/>
  <c r="D19" i="125" s="1"/>
  <c r="G19" i="125" s="1"/>
  <c r="F20" i="125" s="1"/>
  <c r="H19" i="125"/>
  <c r="E18" i="126"/>
  <c r="D18" i="126" s="1"/>
  <c r="G18" i="126" s="1"/>
  <c r="F19" i="126" s="1"/>
  <c r="H16" i="122"/>
  <c r="E16" i="122"/>
  <c r="D16" i="122" s="1"/>
  <c r="G16" i="122" s="1"/>
  <c r="F17" i="122" s="1"/>
  <c r="E17" i="123"/>
  <c r="D17" i="123" s="1"/>
  <c r="G17" i="123" s="1"/>
  <c r="F18" i="123" s="1"/>
  <c r="H17" i="123"/>
  <c r="E44" i="123"/>
  <c r="D44" i="123" s="1"/>
  <c r="G44" i="123" s="1"/>
  <c r="F45" i="123" s="1"/>
  <c r="E43" i="122"/>
  <c r="D43" i="122" s="1"/>
  <c r="G43" i="122" s="1"/>
  <c r="F44" i="122" s="1"/>
  <c r="I15" i="122"/>
  <c r="I16" i="123"/>
  <c r="E19" i="126" l="1"/>
  <c r="D19" i="126" s="1"/>
  <c r="G19" i="126" s="1"/>
  <c r="F20" i="126" s="1"/>
  <c r="E20" i="125"/>
  <c r="D20" i="125" s="1"/>
  <c r="G20" i="125" s="1"/>
  <c r="F21" i="125" s="1"/>
  <c r="H20" i="125"/>
  <c r="I19" i="125"/>
  <c r="I16" i="122"/>
  <c r="E44" i="122"/>
  <c r="D44" i="122" s="1"/>
  <c r="G44" i="122" s="1"/>
  <c r="F45" i="122" s="1"/>
  <c r="E18" i="123"/>
  <c r="D18" i="123" s="1"/>
  <c r="G18" i="123" s="1"/>
  <c r="F19" i="123" s="1"/>
  <c r="H18" i="123"/>
  <c r="I18" i="123" s="1"/>
  <c r="E45" i="123"/>
  <c r="D45" i="123" s="1"/>
  <c r="G45" i="123" s="1"/>
  <c r="F46" i="123" s="1"/>
  <c r="I17" i="123"/>
  <c r="H17" i="122"/>
  <c r="E17" i="122"/>
  <c r="D17" i="122" s="1"/>
  <c r="G17" i="122" s="1"/>
  <c r="F18" i="122" s="1"/>
  <c r="I20" i="125" l="1"/>
  <c r="E21" i="125"/>
  <c r="D21" i="125" s="1"/>
  <c r="G21" i="125" s="1"/>
  <c r="H21" i="125"/>
  <c r="E20" i="126"/>
  <c r="D20" i="126" s="1"/>
  <c r="G20" i="126" s="1"/>
  <c r="F21" i="126" s="1"/>
  <c r="H18" i="122"/>
  <c r="E18" i="122"/>
  <c r="D18" i="122" s="1"/>
  <c r="G18" i="122" s="1"/>
  <c r="F19" i="122" s="1"/>
  <c r="E46" i="123"/>
  <c r="D46" i="123" s="1"/>
  <c r="G46" i="123" s="1"/>
  <c r="F47" i="123" s="1"/>
  <c r="E19" i="123"/>
  <c r="D19" i="123" s="1"/>
  <c r="G19" i="123" s="1"/>
  <c r="F20" i="123" s="1"/>
  <c r="H19" i="123"/>
  <c r="E45" i="122"/>
  <c r="D45" i="122" s="1"/>
  <c r="G45" i="122" s="1"/>
  <c r="F46" i="122" s="1"/>
  <c r="I17" i="122"/>
  <c r="F22" i="125" l="1"/>
  <c r="E41" i="125" s="1"/>
  <c r="F41" i="125"/>
  <c r="E21" i="126"/>
  <c r="D21" i="126" s="1"/>
  <c r="G21" i="126" s="1"/>
  <c r="I21" i="125"/>
  <c r="E47" i="123"/>
  <c r="D47" i="123" s="1"/>
  <c r="G47" i="123" s="1"/>
  <c r="F48" i="123" s="1"/>
  <c r="E46" i="122"/>
  <c r="D46" i="122" s="1"/>
  <c r="G46" i="122" s="1"/>
  <c r="F47" i="122" s="1"/>
  <c r="E20" i="123"/>
  <c r="D20" i="123" s="1"/>
  <c r="G20" i="123" s="1"/>
  <c r="F21" i="123" s="1"/>
  <c r="H20" i="123"/>
  <c r="I20" i="123" s="1"/>
  <c r="H19" i="122"/>
  <c r="E19" i="122"/>
  <c r="D19" i="122" s="1"/>
  <c r="G19" i="122" s="1"/>
  <c r="F20" i="122" s="1"/>
  <c r="I18" i="122"/>
  <c r="I19" i="123"/>
  <c r="F22" i="126" l="1"/>
  <c r="E41" i="126" s="1"/>
  <c r="F41" i="126"/>
  <c r="E22" i="125"/>
  <c r="H22" i="125"/>
  <c r="H20" i="122"/>
  <c r="E20" i="122"/>
  <c r="D20" i="122" s="1"/>
  <c r="G20" i="122" s="1"/>
  <c r="F21" i="122" s="1"/>
  <c r="E21" i="123"/>
  <c r="D21" i="123" s="1"/>
  <c r="G21" i="123" s="1"/>
  <c r="F22" i="123" s="1"/>
  <c r="H21" i="123"/>
  <c r="E48" i="123"/>
  <c r="D48" i="123" s="1"/>
  <c r="G48" i="123" s="1"/>
  <c r="F49" i="123" s="1"/>
  <c r="I19" i="122"/>
  <c r="E47" i="122"/>
  <c r="D47" i="122" s="1"/>
  <c r="G47" i="122" s="1"/>
  <c r="F48" i="122" s="1"/>
  <c r="E22" i="126" l="1"/>
  <c r="I22" i="125"/>
  <c r="D22" i="125"/>
  <c r="G22" i="125" s="1"/>
  <c r="F23" i="125" s="1"/>
  <c r="D41" i="125"/>
  <c r="G41" i="125" s="1"/>
  <c r="I21" i="123"/>
  <c r="E22" i="123"/>
  <c r="D22" i="123" s="1"/>
  <c r="G22" i="123" s="1"/>
  <c r="F23" i="123" s="1"/>
  <c r="H22" i="123"/>
  <c r="H21" i="122"/>
  <c r="E21" i="122"/>
  <c r="D21" i="122" s="1"/>
  <c r="G21" i="122" s="1"/>
  <c r="F22" i="122" s="1"/>
  <c r="I20" i="122"/>
  <c r="E48" i="122"/>
  <c r="D48" i="122" s="1"/>
  <c r="G48" i="122" s="1"/>
  <c r="F49" i="122" s="1"/>
  <c r="E49" i="123"/>
  <c r="D49" i="123" s="1"/>
  <c r="G49" i="123" s="1"/>
  <c r="F50" i="123" s="1"/>
  <c r="D22" i="126" l="1"/>
  <c r="G22" i="126" s="1"/>
  <c r="F23" i="126" s="1"/>
  <c r="E23" i="126" s="1"/>
  <c r="D23" i="126" s="1"/>
  <c r="G23" i="126" s="1"/>
  <c r="F24" i="126" s="1"/>
  <c r="E24" i="126" s="1"/>
  <c r="D24" i="126" s="1"/>
  <c r="G24" i="126" s="1"/>
  <c r="F25" i="126" s="1"/>
  <c r="D41" i="126"/>
  <c r="G41" i="126" s="1"/>
  <c r="F42" i="125"/>
  <c r="E42" i="125" s="1"/>
  <c r="E23" i="125"/>
  <c r="D23" i="125" s="1"/>
  <c r="G23" i="125" s="1"/>
  <c r="F24" i="125" s="1"/>
  <c r="H23" i="125"/>
  <c r="E23" i="123"/>
  <c r="D23" i="123" s="1"/>
  <c r="G23" i="123" s="1"/>
  <c r="F24" i="123" s="1"/>
  <c r="H23" i="123"/>
  <c r="E50" i="123"/>
  <c r="D50" i="123" s="1"/>
  <c r="G50" i="123" s="1"/>
  <c r="F51" i="123" s="1"/>
  <c r="H22" i="122"/>
  <c r="E22" i="122"/>
  <c r="D22" i="122" s="1"/>
  <c r="G22" i="122" s="1"/>
  <c r="F23" i="122" s="1"/>
  <c r="E49" i="122"/>
  <c r="D49" i="122" s="1"/>
  <c r="G49" i="122" s="1"/>
  <c r="F50" i="122" s="1"/>
  <c r="I21" i="122"/>
  <c r="I22" i="123"/>
  <c r="F42" i="126" l="1"/>
  <c r="D42" i="125"/>
  <c r="G42" i="125" s="1"/>
  <c r="F43" i="125" s="1"/>
  <c r="E43" i="125" s="1"/>
  <c r="D43" i="125" s="1"/>
  <c r="G43" i="125" s="1"/>
  <c r="F44" i="125" s="1"/>
  <c r="E44" i="125" s="1"/>
  <c r="D44" i="125" s="1"/>
  <c r="G44" i="125" s="1"/>
  <c r="F45" i="125" s="1"/>
  <c r="E45" i="125" s="1"/>
  <c r="D45" i="125" s="1"/>
  <c r="G45" i="125" s="1"/>
  <c r="F46" i="125" s="1"/>
  <c r="E46" i="125" s="1"/>
  <c r="D46" i="125" s="1"/>
  <c r="G46" i="125" s="1"/>
  <c r="F47" i="125" s="1"/>
  <c r="E47" i="125" s="1"/>
  <c r="D47" i="125" s="1"/>
  <c r="G47" i="125" s="1"/>
  <c r="F48" i="125" s="1"/>
  <c r="E48" i="125" s="1"/>
  <c r="D48" i="125" s="1"/>
  <c r="G48" i="125" s="1"/>
  <c r="F49" i="125" s="1"/>
  <c r="E49" i="125" s="1"/>
  <c r="D49" i="125" s="1"/>
  <c r="G49" i="125" s="1"/>
  <c r="F50" i="125" s="1"/>
  <c r="E50" i="125" s="1"/>
  <c r="D50" i="125" s="1"/>
  <c r="G50" i="125" s="1"/>
  <c r="F51" i="125" s="1"/>
  <c r="E51" i="125" s="1"/>
  <c r="D51" i="125" s="1"/>
  <c r="G51" i="125" s="1"/>
  <c r="F52" i="125" s="1"/>
  <c r="E52" i="125" s="1"/>
  <c r="D52" i="125" s="1"/>
  <c r="G52" i="125" s="1"/>
  <c r="F53" i="125" s="1"/>
  <c r="E53" i="125" s="1"/>
  <c r="D53" i="125" s="1"/>
  <c r="G53" i="125" s="1"/>
  <c r="F54" i="125" s="1"/>
  <c r="E54" i="125" s="1"/>
  <c r="D54" i="125" s="1"/>
  <c r="G54" i="125" s="1"/>
  <c r="I23" i="125"/>
  <c r="E24" i="125"/>
  <c r="D24" i="125" s="1"/>
  <c r="G24" i="125" s="1"/>
  <c r="F25" i="125" s="1"/>
  <c r="H24" i="125"/>
  <c r="E25" i="126"/>
  <c r="D25" i="126" s="1"/>
  <c r="G25" i="126" s="1"/>
  <c r="F26" i="126" s="1"/>
  <c r="E50" i="122"/>
  <c r="D50" i="122" s="1"/>
  <c r="G50" i="122" s="1"/>
  <c r="F51" i="122" s="1"/>
  <c r="H23" i="122"/>
  <c r="E23" i="122"/>
  <c r="D23" i="122" s="1"/>
  <c r="G23" i="122" s="1"/>
  <c r="F24" i="122" s="1"/>
  <c r="E51" i="123"/>
  <c r="D51" i="123" s="1"/>
  <c r="G51" i="123" s="1"/>
  <c r="F52" i="123" s="1"/>
  <c r="E24" i="123"/>
  <c r="D24" i="123" s="1"/>
  <c r="G24" i="123" s="1"/>
  <c r="F25" i="123" s="1"/>
  <c r="H24" i="123"/>
  <c r="I22" i="122"/>
  <c r="I23" i="123"/>
  <c r="E42" i="126" l="1"/>
  <c r="D42" i="126" s="1"/>
  <c r="G42" i="126" s="1"/>
  <c r="F43" i="126" s="1"/>
  <c r="E43" i="126" s="1"/>
  <c r="D43" i="126" s="1"/>
  <c r="G43" i="126" s="1"/>
  <c r="F44" i="126" s="1"/>
  <c r="F55" i="125"/>
  <c r="E55" i="125" s="1"/>
  <c r="I24" i="125"/>
  <c r="E25" i="125"/>
  <c r="D25" i="125" s="1"/>
  <c r="G25" i="125" s="1"/>
  <c r="F26" i="125" s="1"/>
  <c r="H25" i="125"/>
  <c r="E26" i="126"/>
  <c r="D26" i="126" s="1"/>
  <c r="G26" i="126" s="1"/>
  <c r="F27" i="126" s="1"/>
  <c r="I24" i="123"/>
  <c r="I23" i="122"/>
  <c r="E25" i="123"/>
  <c r="D25" i="123" s="1"/>
  <c r="G25" i="123" s="1"/>
  <c r="F26" i="123" s="1"/>
  <c r="H25" i="123"/>
  <c r="E52" i="123"/>
  <c r="D52" i="123" s="1"/>
  <c r="G52" i="123" s="1"/>
  <c r="F53" i="123" s="1"/>
  <c r="H24" i="122"/>
  <c r="E24" i="122"/>
  <c r="D24" i="122" s="1"/>
  <c r="G24" i="122" s="1"/>
  <c r="F25" i="122" s="1"/>
  <c r="E51" i="122"/>
  <c r="D51" i="122" s="1"/>
  <c r="G51" i="122" s="1"/>
  <c r="F52" i="122" s="1"/>
  <c r="E44" i="126" l="1"/>
  <c r="D44" i="126" s="1"/>
  <c r="G44" i="126" s="1"/>
  <c r="F45" i="126" s="1"/>
  <c r="E45" i="126" s="1"/>
  <c r="D45" i="126" s="1"/>
  <c r="G45" i="126" s="1"/>
  <c r="F46" i="126" s="1"/>
  <c r="E46" i="126" s="1"/>
  <c r="D46" i="126" s="1"/>
  <c r="G46" i="126" s="1"/>
  <c r="F47" i="126" s="1"/>
  <c r="E47" i="126" s="1"/>
  <c r="D47" i="126" s="1"/>
  <c r="G47" i="126" s="1"/>
  <c r="F48" i="126" s="1"/>
  <c r="E48" i="126" s="1"/>
  <c r="D48" i="126" s="1"/>
  <c r="G48" i="126" s="1"/>
  <c r="F49" i="126" s="1"/>
  <c r="E49" i="126" s="1"/>
  <c r="D49" i="126" s="1"/>
  <c r="G49" i="126" s="1"/>
  <c r="F50" i="126" s="1"/>
  <c r="E50" i="126" s="1"/>
  <c r="D50" i="126" s="1"/>
  <c r="G50" i="126" s="1"/>
  <c r="F51" i="126" s="1"/>
  <c r="D55" i="125"/>
  <c r="G55" i="125" s="1"/>
  <c r="F56" i="125" s="1"/>
  <c r="E56" i="125" s="1"/>
  <c r="D56" i="125" s="1"/>
  <c r="G56" i="125" s="1"/>
  <c r="F57" i="125" s="1"/>
  <c r="E57" i="125" s="1"/>
  <c r="D57" i="125" s="1"/>
  <c r="G57" i="125" s="1"/>
  <c r="F58" i="125" s="1"/>
  <c r="E58" i="125" s="1"/>
  <c r="D58" i="125" s="1"/>
  <c r="G58" i="125" s="1"/>
  <c r="F59" i="125" s="1"/>
  <c r="D59" i="125" s="1"/>
  <c r="G59" i="125" s="1"/>
  <c r="I25" i="125"/>
  <c r="E26" i="125"/>
  <c r="D26" i="125" s="1"/>
  <c r="G26" i="125" s="1"/>
  <c r="F27" i="125" s="1"/>
  <c r="H26" i="125"/>
  <c r="E27" i="126"/>
  <c r="D27" i="126" s="1"/>
  <c r="G27" i="126" s="1"/>
  <c r="F28" i="126" s="1"/>
  <c r="I25" i="123"/>
  <c r="E26" i="123"/>
  <c r="D26" i="123" s="1"/>
  <c r="G26" i="123" s="1"/>
  <c r="F27" i="123" s="1"/>
  <c r="H26" i="123"/>
  <c r="E53" i="123"/>
  <c r="D53" i="123" s="1"/>
  <c r="G53" i="123" s="1"/>
  <c r="F54" i="123" s="1"/>
  <c r="E52" i="122"/>
  <c r="D52" i="122" s="1"/>
  <c r="G52" i="122" s="1"/>
  <c r="F53" i="122" s="1"/>
  <c r="H25" i="122"/>
  <c r="E25" i="122"/>
  <c r="D25" i="122" s="1"/>
  <c r="G25" i="122" s="1"/>
  <c r="F26" i="122" s="1"/>
  <c r="I24" i="122"/>
  <c r="E51" i="126" l="1"/>
  <c r="D51" i="126" s="1"/>
  <c r="G51" i="126" s="1"/>
  <c r="F52" i="126" s="1"/>
  <c r="E52" i="126" s="1"/>
  <c r="D52" i="126" s="1"/>
  <c r="G52" i="126" s="1"/>
  <c r="F53" i="126" s="1"/>
  <c r="E53" i="126" s="1"/>
  <c r="D53" i="126" s="1"/>
  <c r="G53" i="126" s="1"/>
  <c r="F54" i="126" s="1"/>
  <c r="E54" i="126" s="1"/>
  <c r="D54" i="126" s="1"/>
  <c r="G54" i="126" s="1"/>
  <c r="I26" i="125"/>
  <c r="E27" i="125"/>
  <c r="D27" i="125" s="1"/>
  <c r="G27" i="125" s="1"/>
  <c r="F28" i="125" s="1"/>
  <c r="H27" i="125"/>
  <c r="E28" i="126"/>
  <c r="D28" i="126" s="1"/>
  <c r="G28" i="126" s="1"/>
  <c r="F29" i="126" s="1"/>
  <c r="I26" i="123"/>
  <c r="E27" i="123"/>
  <c r="D27" i="123" s="1"/>
  <c r="G27" i="123" s="1"/>
  <c r="F28" i="123" s="1"/>
  <c r="H27" i="123"/>
  <c r="H26" i="122"/>
  <c r="E26" i="122"/>
  <c r="D26" i="122" s="1"/>
  <c r="G26" i="122" s="1"/>
  <c r="F27" i="122" s="1"/>
  <c r="E53" i="122"/>
  <c r="D53" i="122" s="1"/>
  <c r="G53" i="122" s="1"/>
  <c r="F54" i="122" s="1"/>
  <c r="E54" i="123"/>
  <c r="D54" i="123" s="1"/>
  <c r="G54" i="123" s="1"/>
  <c r="F55" i="123" s="1"/>
  <c r="I25" i="122"/>
  <c r="E55" i="126" l="1"/>
  <c r="F55" i="126"/>
  <c r="I27" i="125"/>
  <c r="E28" i="125"/>
  <c r="D28" i="125" s="1"/>
  <c r="G28" i="125" s="1"/>
  <c r="F29" i="125" s="1"/>
  <c r="H28" i="125"/>
  <c r="E29" i="126"/>
  <c r="D29" i="126" s="1"/>
  <c r="G29" i="126" s="1"/>
  <c r="F30" i="126" s="1"/>
  <c r="E28" i="123"/>
  <c r="D28" i="123" s="1"/>
  <c r="G28" i="123" s="1"/>
  <c r="F29" i="123" s="1"/>
  <c r="H28" i="123"/>
  <c r="E55" i="123"/>
  <c r="D55" i="123" s="1"/>
  <c r="G55" i="123" s="1"/>
  <c r="F56" i="123" s="1"/>
  <c r="E54" i="122"/>
  <c r="D54" i="122" s="1"/>
  <c r="G54" i="122" s="1"/>
  <c r="F55" i="122" s="1"/>
  <c r="H27" i="122"/>
  <c r="E27" i="122"/>
  <c r="D27" i="122" s="1"/>
  <c r="G27" i="122" s="1"/>
  <c r="F28" i="122" s="1"/>
  <c r="I26" i="122"/>
  <c r="I27" i="123"/>
  <c r="D55" i="126" l="1"/>
  <c r="G55" i="126" s="1"/>
  <c r="F56" i="126" s="1"/>
  <c r="E56" i="126" s="1"/>
  <c r="D56" i="126" s="1"/>
  <c r="G56" i="126" s="1"/>
  <c r="F57" i="126" s="1"/>
  <c r="E57" i="126" s="1"/>
  <c r="D57" i="126" s="1"/>
  <c r="G57" i="126" s="1"/>
  <c r="F58" i="126" s="1"/>
  <c r="E58" i="126" s="1"/>
  <c r="D58" i="126" s="1"/>
  <c r="G58" i="126" s="1"/>
  <c r="F59" i="126" s="1"/>
  <c r="D59" i="126"/>
  <c r="I28" i="125"/>
  <c r="E29" i="125"/>
  <c r="D29" i="125" s="1"/>
  <c r="G29" i="125" s="1"/>
  <c r="F30" i="125" s="1"/>
  <c r="H29" i="125"/>
  <c r="E30" i="126"/>
  <c r="D30" i="126" s="1"/>
  <c r="G30" i="126" s="1"/>
  <c r="F31" i="126" s="1"/>
  <c r="I28" i="123"/>
  <c r="I27" i="122"/>
  <c r="H28" i="122"/>
  <c r="E28" i="122"/>
  <c r="D28" i="122" s="1"/>
  <c r="G28" i="122" s="1"/>
  <c r="F29" i="122" s="1"/>
  <c r="E55" i="122"/>
  <c r="D55" i="122" s="1"/>
  <c r="G55" i="122" s="1"/>
  <c r="F56" i="122" s="1"/>
  <c r="E56" i="123"/>
  <c r="D56" i="123" s="1"/>
  <c r="G56" i="123" s="1"/>
  <c r="F57" i="123" s="1"/>
  <c r="E29" i="123"/>
  <c r="D29" i="123" s="1"/>
  <c r="G29" i="123" s="1"/>
  <c r="F30" i="123" s="1"/>
  <c r="H29" i="123"/>
  <c r="G59" i="126" l="1"/>
  <c r="I29" i="125"/>
  <c r="E30" i="125"/>
  <c r="D30" i="125" s="1"/>
  <c r="G30" i="125" s="1"/>
  <c r="F31" i="125" s="1"/>
  <c r="H30" i="125"/>
  <c r="E31" i="126"/>
  <c r="D31" i="126" s="1"/>
  <c r="G31" i="126" s="1"/>
  <c r="F32" i="126" s="1"/>
  <c r="I29" i="123"/>
  <c r="E56" i="122"/>
  <c r="D56" i="122" s="1"/>
  <c r="G56" i="122" s="1"/>
  <c r="F57" i="122" s="1"/>
  <c r="H29" i="122"/>
  <c r="E29" i="122"/>
  <c r="D29" i="122" s="1"/>
  <c r="G29" i="122" s="1"/>
  <c r="F30" i="122" s="1"/>
  <c r="E57" i="123"/>
  <c r="D57" i="123" s="1"/>
  <c r="G57" i="123" s="1"/>
  <c r="F58" i="123" s="1"/>
  <c r="E30" i="123"/>
  <c r="D30" i="123" s="1"/>
  <c r="G30" i="123" s="1"/>
  <c r="F31" i="123" s="1"/>
  <c r="H30" i="123"/>
  <c r="I28" i="122"/>
  <c r="E31" i="125" l="1"/>
  <c r="D31" i="125" s="1"/>
  <c r="G31" i="125" s="1"/>
  <c r="F32" i="125" s="1"/>
  <c r="H31" i="125"/>
  <c r="I30" i="125"/>
  <c r="E32" i="126"/>
  <c r="D32" i="126" s="1"/>
  <c r="G32" i="126" s="1"/>
  <c r="F33" i="126" s="1"/>
  <c r="I30" i="123"/>
  <c r="E31" i="123"/>
  <c r="D31" i="123" s="1"/>
  <c r="G31" i="123" s="1"/>
  <c r="F32" i="123" s="1"/>
  <c r="H31" i="123"/>
  <c r="E58" i="123"/>
  <c r="D58" i="123" s="1"/>
  <c r="G58" i="123" s="1"/>
  <c r="F59" i="123" s="1"/>
  <c r="H30" i="122"/>
  <c r="E30" i="122"/>
  <c r="D30" i="122" s="1"/>
  <c r="G30" i="122" s="1"/>
  <c r="F31" i="122" s="1"/>
  <c r="E57" i="122"/>
  <c r="D57" i="122" s="1"/>
  <c r="G57" i="122" s="1"/>
  <c r="F58" i="122" s="1"/>
  <c r="I29" i="122"/>
  <c r="I31" i="125" l="1"/>
  <c r="E32" i="125"/>
  <c r="D32" i="125" s="1"/>
  <c r="G32" i="125" s="1"/>
  <c r="F33" i="125" s="1"/>
  <c r="H32" i="125"/>
  <c r="E33" i="126"/>
  <c r="D33" i="126" s="1"/>
  <c r="G33" i="126" s="1"/>
  <c r="H31" i="122"/>
  <c r="E31" i="122"/>
  <c r="D31" i="122" s="1"/>
  <c r="G31" i="122" s="1"/>
  <c r="F32" i="122" s="1"/>
  <c r="E58" i="122"/>
  <c r="D58" i="122" s="1"/>
  <c r="G58" i="122" s="1"/>
  <c r="F59" i="122" s="1"/>
  <c r="E59" i="123"/>
  <c r="D59" i="123" s="1"/>
  <c r="G59" i="123" s="1"/>
  <c r="F60" i="123" s="1"/>
  <c r="H32" i="123"/>
  <c r="E32" i="123"/>
  <c r="D32" i="123" s="1"/>
  <c r="G32" i="123" s="1"/>
  <c r="F33" i="123" s="1"/>
  <c r="I30" i="122"/>
  <c r="I31" i="123"/>
  <c r="I32" i="125" l="1"/>
  <c r="E33" i="125"/>
  <c r="D33" i="125" s="1"/>
  <c r="G33" i="125" s="1"/>
  <c r="F34" i="125" s="1"/>
  <c r="E34" i="125" s="1"/>
  <c r="D34" i="125" s="1"/>
  <c r="G34" i="125" s="1"/>
  <c r="F35" i="125" s="1"/>
  <c r="E35" i="125" s="1"/>
  <c r="D35" i="125" s="1"/>
  <c r="G35" i="125" s="1"/>
  <c r="F36" i="125" s="1"/>
  <c r="E36" i="125" s="1"/>
  <c r="D36" i="125" s="1"/>
  <c r="G36" i="125" s="1"/>
  <c r="F37" i="125" s="1"/>
  <c r="E37" i="125" s="1"/>
  <c r="D37" i="125" s="1"/>
  <c r="G37" i="125" s="1"/>
  <c r="F38" i="125" s="1"/>
  <c r="E38" i="125" s="1"/>
  <c r="D38" i="125" s="1"/>
  <c r="G38" i="125" s="1"/>
  <c r="F39" i="125" s="1"/>
  <c r="E39" i="125" s="1"/>
  <c r="D39" i="125" s="1"/>
  <c r="G39" i="125" s="1"/>
  <c r="F40" i="125" s="1"/>
  <c r="G40" i="125" s="1"/>
  <c r="H33" i="125"/>
  <c r="F34" i="126"/>
  <c r="I32" i="123"/>
  <c r="E60" i="123"/>
  <c r="D60" i="123" s="1"/>
  <c r="G60" i="123" s="1"/>
  <c r="F61" i="123" s="1"/>
  <c r="E59" i="122"/>
  <c r="D59" i="122" s="1"/>
  <c r="G59" i="122" s="1"/>
  <c r="F60" i="122" s="1"/>
  <c r="H33" i="123"/>
  <c r="E33" i="123"/>
  <c r="D33" i="123" s="1"/>
  <c r="G33" i="123" s="1"/>
  <c r="F34" i="123" s="1"/>
  <c r="E32" i="122"/>
  <c r="D32" i="122" s="1"/>
  <c r="G32" i="122" s="1"/>
  <c r="F33" i="122" s="1"/>
  <c r="H32" i="122"/>
  <c r="I31" i="122"/>
  <c r="I33" i="125" l="1"/>
  <c r="E34" i="126"/>
  <c r="D34" i="126" s="1"/>
  <c r="G34" i="126" s="1"/>
  <c r="F35" i="126" s="1"/>
  <c r="E61" i="123"/>
  <c r="D61" i="123" s="1"/>
  <c r="G61" i="123" s="1"/>
  <c r="F62" i="123" s="1"/>
  <c r="E60" i="122"/>
  <c r="D60" i="122" s="1"/>
  <c r="G60" i="122" s="1"/>
  <c r="F61" i="122" s="1"/>
  <c r="E33" i="122"/>
  <c r="D33" i="122" s="1"/>
  <c r="G33" i="122" s="1"/>
  <c r="F34" i="122" s="1"/>
  <c r="H33" i="122"/>
  <c r="E34" i="123"/>
  <c r="D34" i="123" s="1"/>
  <c r="G34" i="123" s="1"/>
  <c r="F35" i="123" s="1"/>
  <c r="I32" i="122"/>
  <c r="I33" i="123"/>
  <c r="E35" i="126" l="1"/>
  <c r="D35" i="126" s="1"/>
  <c r="G35" i="126" s="1"/>
  <c r="F36" i="126" s="1"/>
  <c r="E35" i="123"/>
  <c r="D35" i="123" s="1"/>
  <c r="G35" i="123" s="1"/>
  <c r="F36" i="123" s="1"/>
  <c r="E62" i="123"/>
  <c r="D62" i="123" s="1"/>
  <c r="G62" i="123" s="1"/>
  <c r="F63" i="123" s="1"/>
  <c r="E34" i="122"/>
  <c r="D34" i="122" s="1"/>
  <c r="G34" i="122" s="1"/>
  <c r="F35" i="122" s="1"/>
  <c r="E61" i="122"/>
  <c r="D61" i="122" s="1"/>
  <c r="G61" i="122" s="1"/>
  <c r="F62" i="122" s="1"/>
  <c r="I33" i="122"/>
  <c r="E36" i="126" l="1"/>
  <c r="D36" i="126" s="1"/>
  <c r="G36" i="126" s="1"/>
  <c r="F37" i="126" s="1"/>
  <c r="E63" i="123"/>
  <c r="D63" i="123" s="1"/>
  <c r="G63" i="123" s="1"/>
  <c r="F64" i="123" s="1"/>
  <c r="E62" i="122"/>
  <c r="D62" i="122" s="1"/>
  <c r="G62" i="122" s="1"/>
  <c r="F63" i="122" s="1"/>
  <c r="E35" i="122"/>
  <c r="D35" i="122" s="1"/>
  <c r="G35" i="122" s="1"/>
  <c r="F36" i="122" s="1"/>
  <c r="E36" i="123"/>
  <c r="D36" i="123" s="1"/>
  <c r="G36" i="123" s="1"/>
  <c r="F37" i="123" s="1"/>
  <c r="E37" i="126" l="1"/>
  <c r="D37" i="126" s="1"/>
  <c r="G37" i="126" s="1"/>
  <c r="F38" i="126" s="1"/>
  <c r="E64" i="123"/>
  <c r="D64" i="123" s="1"/>
  <c r="G64" i="123" s="1"/>
  <c r="F65" i="123" s="1"/>
  <c r="E37" i="123"/>
  <c r="D37" i="123" s="1"/>
  <c r="G37" i="123" s="1"/>
  <c r="F38" i="123" s="1"/>
  <c r="E36" i="122"/>
  <c r="D36" i="122" s="1"/>
  <c r="G36" i="122" s="1"/>
  <c r="F37" i="122" s="1"/>
  <c r="E63" i="122"/>
  <c r="D63" i="122" s="1"/>
  <c r="G63" i="122" s="1"/>
  <c r="F64" i="122" s="1"/>
  <c r="E38" i="126" l="1"/>
  <c r="D38" i="126" s="1"/>
  <c r="G38" i="126" s="1"/>
  <c r="F39" i="126" s="1"/>
  <c r="E37" i="122"/>
  <c r="D37" i="122" s="1"/>
  <c r="G37" i="122" s="1"/>
  <c r="F38" i="122" s="1"/>
  <c r="E64" i="122"/>
  <c r="D64" i="122" s="1"/>
  <c r="G64" i="122" s="1"/>
  <c r="F65" i="122" s="1"/>
  <c r="E65" i="123"/>
  <c r="D65" i="123" s="1"/>
  <c r="G65" i="123" s="1"/>
  <c r="F66" i="123" s="1"/>
  <c r="E38" i="123"/>
  <c r="D38" i="123" s="1"/>
  <c r="G38" i="123" s="1"/>
  <c r="F39" i="123" s="1"/>
  <c r="E39" i="126" l="1"/>
  <c r="D39" i="126" s="1"/>
  <c r="G39" i="126" s="1"/>
  <c r="F40" i="126" s="1"/>
  <c r="G40" i="126" s="1"/>
  <c r="E38" i="122"/>
  <c r="D38" i="122" s="1"/>
  <c r="G38" i="122" s="1"/>
  <c r="F39" i="122" s="1"/>
  <c r="E65" i="122"/>
  <c r="D65" i="122" s="1"/>
  <c r="G65" i="122" s="1"/>
  <c r="F66" i="122" s="1"/>
  <c r="E66" i="123"/>
  <c r="D66" i="123" s="1"/>
  <c r="G66" i="123" s="1"/>
  <c r="F67" i="123" s="1"/>
  <c r="E39" i="123"/>
  <c r="D39" i="123" s="1"/>
  <c r="G39" i="123" s="1"/>
  <c r="F40" i="123" s="1"/>
  <c r="G40" i="123" s="1"/>
  <c r="D67" i="123" l="1"/>
  <c r="G67" i="123" s="1"/>
  <c r="E66" i="122"/>
  <c r="D66" i="122" s="1"/>
  <c r="G66" i="122" s="1"/>
  <c r="F67" i="122" s="1"/>
  <c r="E39" i="122"/>
  <c r="D39" i="122" s="1"/>
  <c r="G39" i="122" s="1"/>
  <c r="F40" i="122" s="1"/>
  <c r="G40" i="122" s="1"/>
  <c r="D67" i="122" l="1"/>
  <c r="G67" i="122" s="1"/>
  <c r="B78" i="117" l="1"/>
  <c r="C78" i="117"/>
  <c r="B79" i="117"/>
  <c r="C77" i="117"/>
  <c r="C66" i="117"/>
  <c r="C67" i="117"/>
  <c r="C68" i="117"/>
  <c r="C69" i="117"/>
  <c r="C70" i="117"/>
  <c r="C71" i="117"/>
  <c r="C72" i="117"/>
  <c r="C73" i="117"/>
  <c r="C74" i="117"/>
  <c r="C75" i="117"/>
  <c r="C76" i="117"/>
  <c r="C65" i="117"/>
  <c r="C48" i="117"/>
  <c r="C49" i="117"/>
  <c r="C50" i="117"/>
  <c r="C51" i="117"/>
  <c r="C52" i="117"/>
  <c r="C53" i="117"/>
  <c r="C54" i="117"/>
  <c r="C55" i="117"/>
  <c r="C56" i="117"/>
  <c r="C57" i="117"/>
  <c r="C58" i="117"/>
  <c r="C59" i="117"/>
  <c r="C60" i="117"/>
  <c r="C61" i="117"/>
  <c r="C62" i="117"/>
  <c r="C63" i="117"/>
  <c r="C64" i="117"/>
  <c r="C47" i="117"/>
  <c r="B46" i="117"/>
  <c r="B49" i="117"/>
  <c r="B50" i="117"/>
  <c r="B51" i="117"/>
  <c r="B52" i="117"/>
  <c r="B53" i="117"/>
  <c r="B54" i="117"/>
  <c r="B55" i="117"/>
  <c r="B56" i="117"/>
  <c r="B57" i="117"/>
  <c r="B58" i="117"/>
  <c r="B59" i="117"/>
  <c r="B60" i="117"/>
  <c r="B61" i="117"/>
  <c r="B62" i="117"/>
  <c r="B63" i="117"/>
  <c r="B64" i="117"/>
  <c r="B65" i="117"/>
  <c r="B66" i="117"/>
  <c r="B67" i="117"/>
  <c r="B68" i="117"/>
  <c r="B69" i="117"/>
  <c r="B70" i="117"/>
  <c r="B71" i="117"/>
  <c r="B72" i="117"/>
  <c r="B73" i="117"/>
  <c r="B74" i="117"/>
  <c r="B75" i="117"/>
  <c r="B76" i="117"/>
  <c r="B77" i="117"/>
  <c r="B47" i="117"/>
  <c r="B48" i="117"/>
  <c r="D1" i="117"/>
  <c r="C46" i="117" s="1"/>
  <c r="B45" i="117"/>
  <c r="B44" i="117"/>
  <c r="B43" i="117"/>
  <c r="B42" i="117"/>
  <c r="B41" i="117"/>
  <c r="B40" i="117"/>
  <c r="B39" i="117"/>
  <c r="B38" i="117"/>
  <c r="B37" i="117"/>
  <c r="B36" i="117"/>
  <c r="B35" i="117"/>
  <c r="B34" i="117"/>
  <c r="B33" i="117"/>
  <c r="B32" i="117"/>
  <c r="B31" i="117"/>
  <c r="B30" i="117"/>
  <c r="B29" i="117"/>
  <c r="B28" i="117"/>
  <c r="B27" i="117"/>
  <c r="B26" i="117"/>
  <c r="B25" i="117"/>
  <c r="B24" i="117"/>
  <c r="B23" i="117"/>
  <c r="B22" i="117"/>
  <c r="B21" i="117"/>
  <c r="B20" i="117"/>
  <c r="B19" i="117"/>
  <c r="B18" i="117"/>
  <c r="B17" i="117"/>
  <c r="B16" i="117"/>
  <c r="B15" i="117"/>
  <c r="B14" i="117"/>
  <c r="B13" i="117"/>
  <c r="B12" i="117"/>
  <c r="B11" i="117"/>
  <c r="B10" i="117"/>
  <c r="B9" i="117"/>
  <c r="B8" i="117"/>
  <c r="B7" i="117"/>
  <c r="B6" i="117"/>
  <c r="B5" i="117"/>
  <c r="B4" i="117"/>
  <c r="E4" i="117" s="1"/>
  <c r="C4" i="117" l="1"/>
  <c r="D4" i="117"/>
  <c r="G4" i="117" s="1"/>
  <c r="F5" i="117" s="1"/>
  <c r="C33" i="117"/>
  <c r="C37" i="117"/>
  <c r="C41" i="117"/>
  <c r="C12" i="117"/>
  <c r="C16" i="117"/>
  <c r="C20" i="117"/>
  <c r="C24" i="117"/>
  <c r="C28" i="117"/>
  <c r="C32" i="117"/>
  <c r="C36" i="117"/>
  <c r="C40" i="117"/>
  <c r="C44" i="117"/>
  <c r="C25" i="117"/>
  <c r="C11" i="117"/>
  <c r="C15" i="117"/>
  <c r="C19" i="117"/>
  <c r="C23" i="117"/>
  <c r="C27" i="117"/>
  <c r="C31" i="117"/>
  <c r="C35" i="117"/>
  <c r="C39" i="117"/>
  <c r="C43" i="117"/>
  <c r="C13" i="117"/>
  <c r="C17" i="117"/>
  <c r="C21" i="117"/>
  <c r="C29" i="117"/>
  <c r="C45" i="117"/>
  <c r="D45" i="117" s="1"/>
  <c r="C5" i="117"/>
  <c r="C6" i="117"/>
  <c r="C7" i="117"/>
  <c r="C8" i="117"/>
  <c r="C9" i="117"/>
  <c r="C10" i="117"/>
  <c r="C14" i="117"/>
  <c r="C18" i="117"/>
  <c r="C22" i="117"/>
  <c r="C26" i="117"/>
  <c r="C30" i="117"/>
  <c r="C34" i="117"/>
  <c r="C38" i="117"/>
  <c r="C42" i="117"/>
  <c r="E59" i="115"/>
  <c r="C59" i="115"/>
  <c r="C48" i="115"/>
  <c r="C49" i="115"/>
  <c r="C50" i="115"/>
  <c r="C51" i="115"/>
  <c r="C52" i="115"/>
  <c r="C53" i="115"/>
  <c r="C54" i="115"/>
  <c r="C55" i="115"/>
  <c r="C56" i="115"/>
  <c r="C57" i="115"/>
  <c r="C58" i="115"/>
  <c r="C47" i="115"/>
  <c r="B59" i="115"/>
  <c r="B58" i="115"/>
  <c r="B57" i="115"/>
  <c r="B56" i="115"/>
  <c r="B55" i="115"/>
  <c r="B54" i="115"/>
  <c r="B53" i="115"/>
  <c r="B52" i="115"/>
  <c r="B51" i="115"/>
  <c r="B50" i="115"/>
  <c r="B49" i="115"/>
  <c r="B48" i="115"/>
  <c r="B47" i="115"/>
  <c r="B46" i="115"/>
  <c r="B45" i="115"/>
  <c r="B44" i="115"/>
  <c r="B43" i="115"/>
  <c r="B42" i="115"/>
  <c r="B41" i="115"/>
  <c r="B40" i="115"/>
  <c r="B39" i="115"/>
  <c r="B38" i="115"/>
  <c r="B37" i="115"/>
  <c r="B36" i="115"/>
  <c r="B35" i="115"/>
  <c r="B34" i="115"/>
  <c r="B33" i="115"/>
  <c r="B32" i="115"/>
  <c r="B31" i="115"/>
  <c r="B30" i="115"/>
  <c r="B29" i="115"/>
  <c r="B28" i="115"/>
  <c r="B27" i="115"/>
  <c r="B26" i="115"/>
  <c r="B25" i="115"/>
  <c r="B24" i="115"/>
  <c r="B23" i="115"/>
  <c r="B22" i="115"/>
  <c r="B21" i="115"/>
  <c r="B20" i="115"/>
  <c r="B19" i="115"/>
  <c r="B18" i="115"/>
  <c r="B17" i="115"/>
  <c r="B16" i="115"/>
  <c r="B15" i="115"/>
  <c r="B14" i="115"/>
  <c r="B13" i="115"/>
  <c r="B12" i="115"/>
  <c r="B11" i="115"/>
  <c r="B10" i="115"/>
  <c r="B9" i="115"/>
  <c r="B8" i="115"/>
  <c r="B7" i="115"/>
  <c r="B6" i="115"/>
  <c r="B5" i="115"/>
  <c r="B4" i="115"/>
  <c r="H4" i="115" s="1"/>
  <c r="D1" i="115"/>
  <c r="C44" i="115" s="1"/>
  <c r="H1" i="113"/>
  <c r="C61" i="113" s="1"/>
  <c r="B56" i="113"/>
  <c r="B57" i="113"/>
  <c r="B58" i="113"/>
  <c r="B59" i="113"/>
  <c r="B60" i="113"/>
  <c r="C60" i="113"/>
  <c r="B61" i="113"/>
  <c r="B62" i="113"/>
  <c r="B63" i="113"/>
  <c r="B64" i="113"/>
  <c r="B65" i="113"/>
  <c r="B66" i="113"/>
  <c r="C66" i="113"/>
  <c r="B67" i="113"/>
  <c r="B68" i="113"/>
  <c r="B69" i="113"/>
  <c r="B55" i="113"/>
  <c r="B54" i="113"/>
  <c r="B53" i="113"/>
  <c r="B52" i="113"/>
  <c r="B51" i="113"/>
  <c r="B50" i="113"/>
  <c r="B49" i="113"/>
  <c r="B48" i="113"/>
  <c r="B47" i="113"/>
  <c r="C46" i="113"/>
  <c r="B46" i="113"/>
  <c r="B45" i="113"/>
  <c r="B44" i="113"/>
  <c r="B43" i="113"/>
  <c r="B42" i="113"/>
  <c r="B41" i="113"/>
  <c r="C40" i="113"/>
  <c r="B40" i="113"/>
  <c r="B39" i="113"/>
  <c r="B38" i="113"/>
  <c r="B37" i="113"/>
  <c r="B36" i="113"/>
  <c r="B35" i="113"/>
  <c r="C34" i="113"/>
  <c r="B34" i="113"/>
  <c r="B33" i="113"/>
  <c r="C32" i="113"/>
  <c r="B32" i="113"/>
  <c r="B31" i="113"/>
  <c r="C30" i="113"/>
  <c r="B30" i="113"/>
  <c r="B29" i="113"/>
  <c r="C28" i="113"/>
  <c r="B28" i="113"/>
  <c r="B27" i="113"/>
  <c r="B26" i="113"/>
  <c r="B25" i="113"/>
  <c r="C24" i="113"/>
  <c r="B24" i="113"/>
  <c r="B23" i="113"/>
  <c r="B22" i="113"/>
  <c r="B21" i="113"/>
  <c r="B20" i="113"/>
  <c r="B19" i="113"/>
  <c r="C18" i="113"/>
  <c r="B18" i="113"/>
  <c r="B17" i="113"/>
  <c r="C16" i="113"/>
  <c r="B16" i="113"/>
  <c r="B15" i="113"/>
  <c r="C14" i="113"/>
  <c r="B14" i="113"/>
  <c r="B13" i="113"/>
  <c r="C12" i="113"/>
  <c r="B12" i="113"/>
  <c r="B11" i="113"/>
  <c r="B10" i="113"/>
  <c r="C9" i="113"/>
  <c r="B9" i="113"/>
  <c r="C8" i="113"/>
  <c r="B8" i="113"/>
  <c r="B7" i="113"/>
  <c r="B6" i="113"/>
  <c r="C5" i="113"/>
  <c r="B5" i="113"/>
  <c r="E4" i="113"/>
  <c r="C4" i="113"/>
  <c r="B4" i="113"/>
  <c r="H4" i="113" s="1"/>
  <c r="D1" i="113"/>
  <c r="C42" i="113" s="1"/>
  <c r="H1" i="111"/>
  <c r="B55" i="111"/>
  <c r="B54" i="111"/>
  <c r="B53" i="111"/>
  <c r="B52" i="111"/>
  <c r="B51" i="111"/>
  <c r="B50" i="111"/>
  <c r="B49" i="111"/>
  <c r="B48" i="111"/>
  <c r="B47" i="111"/>
  <c r="B46" i="111"/>
  <c r="B45" i="111"/>
  <c r="B44" i="111"/>
  <c r="B43" i="111"/>
  <c r="B42" i="111"/>
  <c r="B41" i="111"/>
  <c r="B40" i="111"/>
  <c r="B39" i="111"/>
  <c r="B38" i="111"/>
  <c r="B37" i="111"/>
  <c r="B36" i="111"/>
  <c r="B35" i="111"/>
  <c r="B34" i="111"/>
  <c r="B33" i="111"/>
  <c r="B32" i="111"/>
  <c r="B31" i="111"/>
  <c r="B30" i="111"/>
  <c r="B29" i="111"/>
  <c r="B28" i="111"/>
  <c r="B27" i="111"/>
  <c r="B26" i="111"/>
  <c r="B25" i="111"/>
  <c r="B24" i="111"/>
  <c r="B23" i="111"/>
  <c r="B22" i="111"/>
  <c r="B21" i="111"/>
  <c r="B20" i="111"/>
  <c r="B19" i="111"/>
  <c r="B18" i="111"/>
  <c r="B17" i="111"/>
  <c r="B16" i="111"/>
  <c r="B15" i="111"/>
  <c r="B14" i="111"/>
  <c r="B13" i="111"/>
  <c r="B12" i="111"/>
  <c r="B11" i="111"/>
  <c r="B10" i="111"/>
  <c r="B9" i="111"/>
  <c r="B8" i="111"/>
  <c r="B7" i="111"/>
  <c r="B6" i="111"/>
  <c r="B5" i="111"/>
  <c r="B4" i="111"/>
  <c r="E4" i="111" s="1"/>
  <c r="D1" i="111"/>
  <c r="C44" i="111" s="1"/>
  <c r="H1" i="109"/>
  <c r="C60" i="109" s="1"/>
  <c r="B61" i="109"/>
  <c r="B60" i="109"/>
  <c r="B59" i="109"/>
  <c r="B58" i="109"/>
  <c r="B57" i="109"/>
  <c r="B56" i="109"/>
  <c r="B55" i="109"/>
  <c r="B54" i="109"/>
  <c r="B53" i="109"/>
  <c r="B52" i="109"/>
  <c r="B51" i="109"/>
  <c r="B50" i="109"/>
  <c r="B49" i="109"/>
  <c r="B48" i="109"/>
  <c r="B47" i="109"/>
  <c r="B46" i="109"/>
  <c r="B45" i="109"/>
  <c r="B44" i="109"/>
  <c r="B43" i="109"/>
  <c r="C42" i="109"/>
  <c r="B42" i="109"/>
  <c r="B41" i="109"/>
  <c r="C40" i="109"/>
  <c r="B40" i="109"/>
  <c r="B39" i="109"/>
  <c r="C38" i="109"/>
  <c r="B38" i="109"/>
  <c r="C37" i="109"/>
  <c r="B37" i="109"/>
  <c r="B36" i="109"/>
  <c r="B35" i="109"/>
  <c r="B34" i="109"/>
  <c r="C33" i="109"/>
  <c r="B33" i="109"/>
  <c r="B32" i="109"/>
  <c r="B31" i="109"/>
  <c r="B30" i="109"/>
  <c r="C29" i="109"/>
  <c r="B29" i="109"/>
  <c r="C28" i="109"/>
  <c r="B28" i="109"/>
  <c r="B27" i="109"/>
  <c r="C26" i="109"/>
  <c r="B26" i="109"/>
  <c r="B25" i="109"/>
  <c r="C24" i="109"/>
  <c r="B24" i="109"/>
  <c r="B23" i="109"/>
  <c r="B22" i="109"/>
  <c r="B21" i="109"/>
  <c r="C20" i="109"/>
  <c r="B20" i="109"/>
  <c r="B19" i="109"/>
  <c r="B18" i="109"/>
  <c r="C17" i="109"/>
  <c r="B17" i="109"/>
  <c r="B16" i="109"/>
  <c r="B15" i="109"/>
  <c r="C14" i="109"/>
  <c r="B14" i="109"/>
  <c r="B13" i="109"/>
  <c r="B12" i="109"/>
  <c r="B11" i="109"/>
  <c r="C10" i="109"/>
  <c r="B10" i="109"/>
  <c r="B9" i="109"/>
  <c r="C8" i="109"/>
  <c r="B8" i="109"/>
  <c r="B7" i="109"/>
  <c r="C6" i="109"/>
  <c r="B6" i="109"/>
  <c r="B5" i="109"/>
  <c r="B4" i="109"/>
  <c r="E4" i="109" s="1"/>
  <c r="D1" i="109"/>
  <c r="C4" i="109" s="1"/>
  <c r="H1" i="107"/>
  <c r="C57" i="107" s="1"/>
  <c r="B46" i="107"/>
  <c r="B61" i="107"/>
  <c r="B60" i="107"/>
  <c r="B59" i="107"/>
  <c r="B58" i="107"/>
  <c r="B57" i="107"/>
  <c r="B56" i="107"/>
  <c r="B55" i="107"/>
  <c r="B54" i="107"/>
  <c r="B53" i="107"/>
  <c r="B52" i="107"/>
  <c r="B51" i="107"/>
  <c r="B50" i="107"/>
  <c r="B49" i="107"/>
  <c r="B48" i="107"/>
  <c r="B47" i="107"/>
  <c r="D1" i="107"/>
  <c r="C17" i="107" s="1"/>
  <c r="B16" i="107"/>
  <c r="B17" i="107"/>
  <c r="B18" i="107"/>
  <c r="B19" i="107"/>
  <c r="B20" i="107"/>
  <c r="B21" i="107"/>
  <c r="B22" i="107"/>
  <c r="B23" i="107"/>
  <c r="B24" i="107"/>
  <c r="B25" i="107"/>
  <c r="B26" i="107"/>
  <c r="B27" i="107"/>
  <c r="B28" i="107"/>
  <c r="B29" i="107"/>
  <c r="B30" i="107"/>
  <c r="C30" i="107"/>
  <c r="B31" i="107"/>
  <c r="B32" i="107"/>
  <c r="B33" i="107"/>
  <c r="B34" i="107"/>
  <c r="C34" i="107"/>
  <c r="B35" i="107"/>
  <c r="B36" i="107"/>
  <c r="C36" i="107"/>
  <c r="B37" i="107"/>
  <c r="B38" i="107"/>
  <c r="B39" i="107"/>
  <c r="C39" i="107"/>
  <c r="B40" i="107"/>
  <c r="B41" i="107"/>
  <c r="B42" i="107"/>
  <c r="B43" i="107"/>
  <c r="C43" i="107"/>
  <c r="B44" i="107"/>
  <c r="B45" i="107"/>
  <c r="B4" i="107"/>
  <c r="B15" i="107"/>
  <c r="B14" i="107"/>
  <c r="B13" i="107"/>
  <c r="B12" i="107"/>
  <c r="B11" i="107"/>
  <c r="B10" i="107"/>
  <c r="B9" i="107"/>
  <c r="B8" i="107"/>
  <c r="B7" i="107"/>
  <c r="B6" i="107"/>
  <c r="B5" i="107"/>
  <c r="H1" i="104"/>
  <c r="C62" i="104" s="1"/>
  <c r="B46" i="104"/>
  <c r="E4" i="104"/>
  <c r="B62" i="104"/>
  <c r="B47" i="104"/>
  <c r="B61" i="104"/>
  <c r="B60" i="104"/>
  <c r="B59" i="104"/>
  <c r="B58" i="104"/>
  <c r="B57" i="104"/>
  <c r="B56" i="104"/>
  <c r="B55" i="104"/>
  <c r="B54" i="104"/>
  <c r="B53" i="104"/>
  <c r="B52" i="104"/>
  <c r="B51" i="104"/>
  <c r="B50" i="104"/>
  <c r="B49" i="104"/>
  <c r="B48" i="104"/>
  <c r="B6" i="104"/>
  <c r="B7" i="104"/>
  <c r="B8" i="104"/>
  <c r="B9" i="104"/>
  <c r="B10" i="104"/>
  <c r="B11" i="104"/>
  <c r="B12" i="104"/>
  <c r="B13" i="104"/>
  <c r="B14" i="104"/>
  <c r="B15" i="104"/>
  <c r="B16" i="104"/>
  <c r="B17" i="104"/>
  <c r="B18" i="104"/>
  <c r="B19" i="104"/>
  <c r="B20" i="104"/>
  <c r="B21" i="104"/>
  <c r="B22" i="104"/>
  <c r="B23" i="104"/>
  <c r="B24" i="104"/>
  <c r="B25" i="104"/>
  <c r="B26" i="104"/>
  <c r="B27" i="104"/>
  <c r="B28" i="104"/>
  <c r="B29" i="104"/>
  <c r="B30" i="104"/>
  <c r="B31" i="104"/>
  <c r="B32" i="104"/>
  <c r="B33" i="104"/>
  <c r="B34" i="104"/>
  <c r="B35" i="104"/>
  <c r="B36" i="104"/>
  <c r="B37" i="104"/>
  <c r="B38" i="104"/>
  <c r="B39" i="104"/>
  <c r="B40" i="104"/>
  <c r="B41" i="104"/>
  <c r="B42" i="104"/>
  <c r="B43" i="104"/>
  <c r="B44" i="104"/>
  <c r="B45" i="104"/>
  <c r="D1" i="104"/>
  <c r="C14" i="104" s="1"/>
  <c r="B4" i="104"/>
  <c r="E5" i="117" l="1"/>
  <c r="D5" i="117" s="1"/>
  <c r="G5" i="117" s="1"/>
  <c r="F6" i="117" s="1"/>
  <c r="E4" i="115"/>
  <c r="I4" i="115" s="1"/>
  <c r="C11" i="115"/>
  <c r="C15" i="115"/>
  <c r="C19" i="115"/>
  <c r="C23" i="115"/>
  <c r="C27" i="115"/>
  <c r="C31" i="115"/>
  <c r="C35" i="115"/>
  <c r="C39" i="115"/>
  <c r="C43" i="115"/>
  <c r="C46" i="115"/>
  <c r="C5" i="115"/>
  <c r="C6" i="115"/>
  <c r="C7" i="115"/>
  <c r="C8" i="115"/>
  <c r="C9" i="115"/>
  <c r="C10" i="115"/>
  <c r="C14" i="115"/>
  <c r="C18" i="115"/>
  <c r="C22" i="115"/>
  <c r="C26" i="115"/>
  <c r="C30" i="115"/>
  <c r="C34" i="115"/>
  <c r="C38" i="115"/>
  <c r="C42" i="115"/>
  <c r="C4" i="115"/>
  <c r="C13" i="115"/>
  <c r="C17" i="115"/>
  <c r="C21" i="115"/>
  <c r="C25" i="115"/>
  <c r="C29" i="115"/>
  <c r="C33" i="115"/>
  <c r="C37" i="115"/>
  <c r="C41" i="115"/>
  <c r="C45" i="115"/>
  <c r="D45" i="115" s="1"/>
  <c r="C12" i="115"/>
  <c r="C16" i="115"/>
  <c r="C20" i="115"/>
  <c r="C24" i="115"/>
  <c r="C28" i="115"/>
  <c r="C32" i="115"/>
  <c r="C36" i="115"/>
  <c r="C40" i="115"/>
  <c r="C64" i="113"/>
  <c r="C20" i="113"/>
  <c r="C36" i="113"/>
  <c r="C68" i="113"/>
  <c r="C58" i="113"/>
  <c r="C6" i="113"/>
  <c r="C10" i="113"/>
  <c r="C26" i="113"/>
  <c r="C50" i="113"/>
  <c r="C67" i="113"/>
  <c r="C62" i="113"/>
  <c r="I4" i="113"/>
  <c r="C7" i="113"/>
  <c r="C22" i="113"/>
  <c r="C38" i="113"/>
  <c r="C56" i="113"/>
  <c r="D4" i="113"/>
  <c r="G4" i="113" s="1"/>
  <c r="F5" i="113" s="1"/>
  <c r="C63" i="113"/>
  <c r="C59" i="113"/>
  <c r="C69" i="113"/>
  <c r="C65" i="113"/>
  <c r="C57" i="113"/>
  <c r="H5" i="113"/>
  <c r="E5" i="113"/>
  <c r="D5" i="113" s="1"/>
  <c r="G5" i="113" s="1"/>
  <c r="F6" i="113" s="1"/>
  <c r="C49" i="113"/>
  <c r="C53" i="113"/>
  <c r="C13" i="113"/>
  <c r="C17" i="113"/>
  <c r="C21" i="113"/>
  <c r="C25" i="113"/>
  <c r="C29" i="113"/>
  <c r="C33" i="113"/>
  <c r="C37" i="113"/>
  <c r="C41" i="113"/>
  <c r="C45" i="113"/>
  <c r="D45" i="113" s="1"/>
  <c r="C52" i="113"/>
  <c r="C44" i="113"/>
  <c r="C48" i="113"/>
  <c r="C47" i="113"/>
  <c r="C51" i="113"/>
  <c r="C55" i="113"/>
  <c r="C11" i="113"/>
  <c r="C15" i="113"/>
  <c r="C19" i="113"/>
  <c r="C23" i="113"/>
  <c r="C27" i="113"/>
  <c r="C31" i="113"/>
  <c r="C35" i="113"/>
  <c r="C39" i="113"/>
  <c r="C43" i="113"/>
  <c r="C54" i="113"/>
  <c r="C41" i="111"/>
  <c r="C9" i="111"/>
  <c r="C30" i="111"/>
  <c r="C5" i="111"/>
  <c r="C14" i="111"/>
  <c r="C25" i="111"/>
  <c r="C6" i="111"/>
  <c r="C10" i="111"/>
  <c r="C21" i="111"/>
  <c r="C26" i="111"/>
  <c r="C37" i="111"/>
  <c r="C7" i="111"/>
  <c r="C17" i="111"/>
  <c r="C22" i="111"/>
  <c r="C33" i="111"/>
  <c r="C45" i="111"/>
  <c r="D45" i="111" s="1"/>
  <c r="C4" i="111"/>
  <c r="D4" i="111" s="1"/>
  <c r="G4" i="111" s="1"/>
  <c r="F5" i="111" s="1"/>
  <c r="C8" i="111"/>
  <c r="C13" i="111"/>
  <c r="C18" i="111"/>
  <c r="C29" i="111"/>
  <c r="C34" i="111"/>
  <c r="H4" i="111"/>
  <c r="I4" i="111" s="1"/>
  <c r="C47" i="111"/>
  <c r="C51" i="111"/>
  <c r="C55" i="111"/>
  <c r="C11" i="111"/>
  <c r="C15" i="111"/>
  <c r="C19" i="111"/>
  <c r="C23" i="111"/>
  <c r="C27" i="111"/>
  <c r="C31" i="111"/>
  <c r="C35" i="111"/>
  <c r="C39" i="111"/>
  <c r="C43" i="111"/>
  <c r="C46" i="111"/>
  <c r="C50" i="111"/>
  <c r="C54" i="111"/>
  <c r="C38" i="111"/>
  <c r="C42" i="111"/>
  <c r="C49" i="111"/>
  <c r="C53" i="111"/>
  <c r="C48" i="111"/>
  <c r="C52" i="111"/>
  <c r="C12" i="111"/>
  <c r="C16" i="111"/>
  <c r="C20" i="111"/>
  <c r="C24" i="111"/>
  <c r="C28" i="111"/>
  <c r="C32" i="111"/>
  <c r="C36" i="111"/>
  <c r="C40" i="111"/>
  <c r="C7" i="109"/>
  <c r="C16" i="109"/>
  <c r="C25" i="109"/>
  <c r="C34" i="109"/>
  <c r="D4" i="109"/>
  <c r="G4" i="109" s="1"/>
  <c r="F5" i="109" s="1"/>
  <c r="E5" i="109" s="1"/>
  <c r="D5" i="109" s="1"/>
  <c r="G5" i="109" s="1"/>
  <c r="F6" i="109" s="1"/>
  <c r="C12" i="109"/>
  <c r="C21" i="109"/>
  <c r="C30" i="109"/>
  <c r="C44" i="109"/>
  <c r="C13" i="109"/>
  <c r="C22" i="109"/>
  <c r="C36" i="109"/>
  <c r="C45" i="109"/>
  <c r="D45" i="109" s="1"/>
  <c r="C5" i="109"/>
  <c r="C9" i="109"/>
  <c r="C18" i="109"/>
  <c r="C32" i="109"/>
  <c r="C41" i="109"/>
  <c r="H4" i="109"/>
  <c r="I4" i="109" s="1"/>
  <c r="C47" i="109"/>
  <c r="C51" i="109"/>
  <c r="C55" i="109"/>
  <c r="C59" i="109"/>
  <c r="C11" i="109"/>
  <c r="C15" i="109"/>
  <c r="C19" i="109"/>
  <c r="C23" i="109"/>
  <c r="C27" i="109"/>
  <c r="C31" i="109"/>
  <c r="C35" i="109"/>
  <c r="C39" i="109"/>
  <c r="C43" i="109"/>
  <c r="C46" i="109"/>
  <c r="C50" i="109"/>
  <c r="C54" i="109"/>
  <c r="C58" i="109"/>
  <c r="C49" i="109"/>
  <c r="C53" i="109"/>
  <c r="C57" i="109"/>
  <c r="C61" i="109"/>
  <c r="C48" i="109"/>
  <c r="C52" i="109"/>
  <c r="C56" i="109"/>
  <c r="C20" i="107"/>
  <c r="C38" i="107"/>
  <c r="C24" i="107"/>
  <c r="C46" i="107"/>
  <c r="C42" i="107"/>
  <c r="C28" i="107"/>
  <c r="C19" i="107"/>
  <c r="C32" i="107"/>
  <c r="C23" i="107"/>
  <c r="C18" i="107"/>
  <c r="C40" i="107"/>
  <c r="C31" i="107"/>
  <c r="C22" i="107"/>
  <c r="C56" i="107"/>
  <c r="C27" i="107"/>
  <c r="C44" i="107"/>
  <c r="C35" i="107"/>
  <c r="C26" i="107"/>
  <c r="C49" i="107"/>
  <c r="C48" i="107"/>
  <c r="C50" i="107"/>
  <c r="C47" i="107"/>
  <c r="C54" i="107"/>
  <c r="C55" i="107"/>
  <c r="C61" i="107"/>
  <c r="C53" i="107"/>
  <c r="C60" i="107"/>
  <c r="C52" i="107"/>
  <c r="C59" i="107"/>
  <c r="C51" i="107"/>
  <c r="C58" i="107"/>
  <c r="C16" i="107"/>
  <c r="C45" i="107"/>
  <c r="C41" i="107"/>
  <c r="C37" i="107"/>
  <c r="C33" i="107"/>
  <c r="C29" i="107"/>
  <c r="C25" i="107"/>
  <c r="C21" i="107"/>
  <c r="C14" i="107"/>
  <c r="C13" i="107"/>
  <c r="C12" i="107"/>
  <c r="C11" i="107"/>
  <c r="C15" i="107"/>
  <c r="C4" i="107"/>
  <c r="C5" i="107"/>
  <c r="C6" i="107"/>
  <c r="C7" i="107"/>
  <c r="C8" i="107"/>
  <c r="C9" i="107"/>
  <c r="C10" i="107"/>
  <c r="C46" i="104"/>
  <c r="C47" i="104"/>
  <c r="C49" i="104"/>
  <c r="C57" i="104"/>
  <c r="C50" i="104"/>
  <c r="C58" i="104"/>
  <c r="C59" i="104"/>
  <c r="C52" i="104"/>
  <c r="C60" i="104"/>
  <c r="C55" i="104"/>
  <c r="C51" i="104"/>
  <c r="C56" i="104"/>
  <c r="C53" i="104"/>
  <c r="C61" i="104"/>
  <c r="C54" i="104"/>
  <c r="C48" i="104"/>
  <c r="C11" i="104"/>
  <c r="C37" i="104"/>
  <c r="C21" i="104"/>
  <c r="C9" i="104"/>
  <c r="C43" i="104"/>
  <c r="C41" i="104"/>
  <c r="C27" i="104"/>
  <c r="C25" i="104"/>
  <c r="C36" i="104"/>
  <c r="C20" i="104"/>
  <c r="C35" i="104"/>
  <c r="C19" i="104"/>
  <c r="C6" i="104"/>
  <c r="C33" i="104"/>
  <c r="C17" i="104"/>
  <c r="C45" i="104"/>
  <c r="C29" i="104"/>
  <c r="C13" i="104"/>
  <c r="C44" i="104"/>
  <c r="C28" i="104"/>
  <c r="C12" i="104"/>
  <c r="C42" i="104"/>
  <c r="C34" i="104"/>
  <c r="C26" i="104"/>
  <c r="C18" i="104"/>
  <c r="C10" i="104"/>
  <c r="C40" i="104"/>
  <c r="C32" i="104"/>
  <c r="C24" i="104"/>
  <c r="C16" i="104"/>
  <c r="C8" i="104"/>
  <c r="C39" i="104"/>
  <c r="C31" i="104"/>
  <c r="C23" i="104"/>
  <c r="C15" i="104"/>
  <c r="C7" i="104"/>
  <c r="C38" i="104"/>
  <c r="C30" i="104"/>
  <c r="C22" i="104"/>
  <c r="B5" i="104"/>
  <c r="G4" i="104"/>
  <c r="F5" i="104" s="1"/>
  <c r="C5" i="104"/>
  <c r="H4" i="104"/>
  <c r="I4" i="104" s="1"/>
  <c r="E6" i="117" l="1"/>
  <c r="D6" i="117" s="1"/>
  <c r="G6" i="117" s="1"/>
  <c r="F7" i="117" s="1"/>
  <c r="D4" i="115"/>
  <c r="G4" i="115" s="1"/>
  <c r="F5" i="115" s="1"/>
  <c r="E5" i="115" s="1"/>
  <c r="D5" i="115" s="1"/>
  <c r="G5" i="115" s="1"/>
  <c r="F6" i="115" s="1"/>
  <c r="H6" i="113"/>
  <c r="E6" i="113"/>
  <c r="D6" i="113" s="1"/>
  <c r="G6" i="113" s="1"/>
  <c r="F7" i="113" s="1"/>
  <c r="I5" i="113"/>
  <c r="H5" i="111"/>
  <c r="E5" i="111"/>
  <c r="D5" i="111" s="1"/>
  <c r="G5" i="111" s="1"/>
  <c r="F6" i="111" s="1"/>
  <c r="E6" i="111" s="1"/>
  <c r="D6" i="111" s="1"/>
  <c r="G6" i="111" s="1"/>
  <c r="F7" i="111" s="1"/>
  <c r="H5" i="109"/>
  <c r="I5" i="109" s="1"/>
  <c r="E6" i="109"/>
  <c r="D6" i="109" s="1"/>
  <c r="G6" i="109" s="1"/>
  <c r="F7" i="109" s="1"/>
  <c r="H6" i="109"/>
  <c r="I6" i="109" s="1"/>
  <c r="E5" i="104"/>
  <c r="D5" i="104" s="1"/>
  <c r="G5" i="104" s="1"/>
  <c r="F6" i="104" s="1"/>
  <c r="E7" i="117" l="1"/>
  <c r="D7" i="117" s="1"/>
  <c r="G7" i="117" s="1"/>
  <c r="F8" i="117" s="1"/>
  <c r="H5" i="115"/>
  <c r="E6" i="115"/>
  <c r="D6" i="115" s="1"/>
  <c r="G6" i="115" s="1"/>
  <c r="F7" i="115" s="1"/>
  <c r="H6" i="115"/>
  <c r="I5" i="115"/>
  <c r="I6" i="113"/>
  <c r="H7" i="113"/>
  <c r="I7" i="113" s="1"/>
  <c r="E7" i="113"/>
  <c r="D7" i="113" s="1"/>
  <c r="G7" i="113" s="1"/>
  <c r="F8" i="113" s="1"/>
  <c r="H6" i="111"/>
  <c r="I6" i="111" s="1"/>
  <c r="I5" i="111"/>
  <c r="E7" i="111"/>
  <c r="D7" i="111" s="1"/>
  <c r="G7" i="111" s="1"/>
  <c r="F8" i="111" s="1"/>
  <c r="H7" i="111"/>
  <c r="E7" i="109"/>
  <c r="D7" i="109" s="1"/>
  <c r="G7" i="109" s="1"/>
  <c r="F8" i="109" s="1"/>
  <c r="H7" i="109"/>
  <c r="E6" i="104"/>
  <c r="D6" i="104" s="1"/>
  <c r="G6" i="104" s="1"/>
  <c r="F7" i="104" s="1"/>
  <c r="E7" i="104" s="1"/>
  <c r="D7" i="104" s="1"/>
  <c r="G7" i="104" s="1"/>
  <c r="F8" i="104" s="1"/>
  <c r="E8" i="104" s="1"/>
  <c r="D8" i="104" s="1"/>
  <c r="G8" i="104" s="1"/>
  <c r="F9" i="104" s="1"/>
  <c r="H6" i="104"/>
  <c r="E8" i="117" l="1"/>
  <c r="D8" i="117" s="1"/>
  <c r="G8" i="117" s="1"/>
  <c r="F9" i="117" s="1"/>
  <c r="I6" i="115"/>
  <c r="E7" i="115"/>
  <c r="D7" i="115" s="1"/>
  <c r="G7" i="115" s="1"/>
  <c r="F8" i="115" s="1"/>
  <c r="H7" i="115"/>
  <c r="H8" i="113"/>
  <c r="I8" i="113" s="1"/>
  <c r="E8" i="113"/>
  <c r="D8" i="113" s="1"/>
  <c r="G8" i="113" s="1"/>
  <c r="F9" i="113" s="1"/>
  <c r="E8" i="111"/>
  <c r="D8" i="111" s="1"/>
  <c r="G8" i="111" s="1"/>
  <c r="F9" i="111" s="1"/>
  <c r="H8" i="111"/>
  <c r="I7" i="111"/>
  <c r="I7" i="109"/>
  <c r="H8" i="109"/>
  <c r="E8" i="109"/>
  <c r="D8" i="109" s="1"/>
  <c r="G8" i="109" s="1"/>
  <c r="F9" i="109" s="1"/>
  <c r="E9" i="104"/>
  <c r="D9" i="104" s="1"/>
  <c r="G9" i="104" s="1"/>
  <c r="F10" i="104" s="1"/>
  <c r="H7" i="104"/>
  <c r="I6" i="104"/>
  <c r="E9" i="117" l="1"/>
  <c r="D9" i="117" s="1"/>
  <c r="G9" i="117" s="1"/>
  <c r="F10" i="117" s="1"/>
  <c r="E10" i="117" s="1"/>
  <c r="D10" i="117" s="1"/>
  <c r="G10" i="117" s="1"/>
  <c r="F11" i="117" s="1"/>
  <c r="E8" i="115"/>
  <c r="D8" i="115" s="1"/>
  <c r="G8" i="115" s="1"/>
  <c r="F9" i="115" s="1"/>
  <c r="H8" i="115"/>
  <c r="I7" i="115"/>
  <c r="H9" i="113"/>
  <c r="E9" i="113"/>
  <c r="D9" i="113" s="1"/>
  <c r="G9" i="113" s="1"/>
  <c r="F10" i="113" s="1"/>
  <c r="E9" i="111"/>
  <c r="D9" i="111" s="1"/>
  <c r="G9" i="111" s="1"/>
  <c r="F10" i="111" s="1"/>
  <c r="H9" i="111"/>
  <c r="I9" i="111" s="1"/>
  <c r="I8" i="111"/>
  <c r="E9" i="109"/>
  <c r="D9" i="109" s="1"/>
  <c r="G9" i="109" s="1"/>
  <c r="F10" i="109" s="1"/>
  <c r="H9" i="109"/>
  <c r="I8" i="109"/>
  <c r="E10" i="104"/>
  <c r="D10" i="104" s="1"/>
  <c r="G10" i="104" s="1"/>
  <c r="F11" i="104" s="1"/>
  <c r="I7" i="104"/>
  <c r="E11" i="117" l="1"/>
  <c r="D11" i="117" s="1"/>
  <c r="G11" i="117" s="1"/>
  <c r="E9" i="115"/>
  <c r="D9" i="115" s="1"/>
  <c r="G9" i="115" s="1"/>
  <c r="F10" i="115" s="1"/>
  <c r="H9" i="115"/>
  <c r="I8" i="115"/>
  <c r="I9" i="113"/>
  <c r="E10" i="113"/>
  <c r="D10" i="113" s="1"/>
  <c r="G10" i="113" s="1"/>
  <c r="F11" i="113" s="1"/>
  <c r="E10" i="111"/>
  <c r="D10" i="111" s="1"/>
  <c r="G10" i="111" s="1"/>
  <c r="F11" i="111" s="1"/>
  <c r="E10" i="109"/>
  <c r="D10" i="109" s="1"/>
  <c r="G10" i="109" s="1"/>
  <c r="F11" i="109" s="1"/>
  <c r="I9" i="109"/>
  <c r="E11" i="104"/>
  <c r="D11" i="104" s="1"/>
  <c r="G11" i="104" s="1"/>
  <c r="F12" i="104" s="1"/>
  <c r="H8" i="104"/>
  <c r="F12" i="117" l="1"/>
  <c r="E46" i="117" s="1"/>
  <c r="D46" i="117" s="1"/>
  <c r="G46" i="117" s="1"/>
  <c r="F47" i="117" s="1"/>
  <c r="F46" i="117"/>
  <c r="E10" i="115"/>
  <c r="D10" i="115" s="1"/>
  <c r="G10" i="115" s="1"/>
  <c r="F11" i="115" s="1"/>
  <c r="I9" i="115"/>
  <c r="E11" i="113"/>
  <c r="D11" i="113" s="1"/>
  <c r="G11" i="113" s="1"/>
  <c r="F12" i="113" s="1"/>
  <c r="E11" i="111"/>
  <c r="D11" i="111" s="1"/>
  <c r="G11" i="111" s="1"/>
  <c r="F12" i="111" s="1"/>
  <c r="E11" i="109"/>
  <c r="D11" i="109" s="1"/>
  <c r="G11" i="109" s="1"/>
  <c r="F12" i="109" s="1"/>
  <c r="E12" i="104"/>
  <c r="D12" i="104" s="1"/>
  <c r="G12" i="104" s="1"/>
  <c r="F13" i="104" s="1"/>
  <c r="H9" i="104"/>
  <c r="I8" i="104"/>
  <c r="E12" i="117" l="1"/>
  <c r="D12" i="117" s="1"/>
  <c r="G12" i="117" s="1"/>
  <c r="F13" i="117" s="1"/>
  <c r="E47" i="117"/>
  <c r="D47" i="117" s="1"/>
  <c r="G47" i="117" s="1"/>
  <c r="E11" i="115"/>
  <c r="D11" i="115" s="1"/>
  <c r="G11" i="115" s="1"/>
  <c r="F12" i="115" s="1"/>
  <c r="E12" i="113"/>
  <c r="D12" i="113" s="1"/>
  <c r="G12" i="113" s="1"/>
  <c r="F13" i="113" s="1"/>
  <c r="E12" i="111"/>
  <c r="D12" i="111" s="1"/>
  <c r="G12" i="111" s="1"/>
  <c r="F13" i="111" s="1"/>
  <c r="E12" i="109"/>
  <c r="D12" i="109" s="1"/>
  <c r="G12" i="109" s="1"/>
  <c r="F13" i="109" s="1"/>
  <c r="E13" i="104"/>
  <c r="D13" i="104" s="1"/>
  <c r="G13" i="104" s="1"/>
  <c r="F14" i="104" s="1"/>
  <c r="H10" i="104"/>
  <c r="I9" i="104"/>
  <c r="F48" i="117" l="1"/>
  <c r="E48" i="117" s="1"/>
  <c r="D48" i="117" s="1"/>
  <c r="G48" i="117" s="1"/>
  <c r="F49" i="117" s="1"/>
  <c r="E49" i="117" s="1"/>
  <c r="D49" i="117" s="1"/>
  <c r="G49" i="117" s="1"/>
  <c r="F50" i="117" s="1"/>
  <c r="E50" i="117" s="1"/>
  <c r="D50" i="117" s="1"/>
  <c r="G50" i="117" s="1"/>
  <c r="F51" i="117" s="1"/>
  <c r="E51" i="117" s="1"/>
  <c r="D51" i="117" s="1"/>
  <c r="G51" i="117" s="1"/>
  <c r="F52" i="117" s="1"/>
  <c r="E52" i="117" s="1"/>
  <c r="D52" i="117" s="1"/>
  <c r="G52" i="117" s="1"/>
  <c r="F53" i="117" s="1"/>
  <c r="E53" i="117" s="1"/>
  <c r="D53" i="117" s="1"/>
  <c r="G53" i="117" s="1"/>
  <c r="F54" i="117" s="1"/>
  <c r="E54" i="117" s="1"/>
  <c r="D54" i="117" s="1"/>
  <c r="G54" i="117" s="1"/>
  <c r="F55" i="117" s="1"/>
  <c r="E55" i="117" s="1"/>
  <c r="D55" i="117" s="1"/>
  <c r="G55" i="117" s="1"/>
  <c r="F56" i="117" s="1"/>
  <c r="E56" i="117" s="1"/>
  <c r="D56" i="117" s="1"/>
  <c r="G56" i="117" s="1"/>
  <c r="F57" i="117" s="1"/>
  <c r="E57" i="117" s="1"/>
  <c r="D57" i="117" s="1"/>
  <c r="G57" i="117" s="1"/>
  <c r="F58" i="117" s="1"/>
  <c r="E58" i="117" s="1"/>
  <c r="D58" i="117" s="1"/>
  <c r="G58" i="117" s="1"/>
  <c r="F59" i="117" s="1"/>
  <c r="E59" i="117" s="1"/>
  <c r="D59" i="117" s="1"/>
  <c r="G59" i="117" s="1"/>
  <c r="F60" i="117" s="1"/>
  <c r="E13" i="117"/>
  <c r="D13" i="117" s="1"/>
  <c r="G13" i="117" s="1"/>
  <c r="F14" i="117" s="1"/>
  <c r="E14" i="117" s="1"/>
  <c r="D14" i="117" s="1"/>
  <c r="G14" i="117" s="1"/>
  <c r="F15" i="117" s="1"/>
  <c r="E12" i="115"/>
  <c r="D12" i="115" s="1"/>
  <c r="G12" i="115" s="1"/>
  <c r="F13" i="115" s="1"/>
  <c r="E13" i="113"/>
  <c r="D13" i="113" s="1"/>
  <c r="G13" i="113" s="1"/>
  <c r="F14" i="113" s="1"/>
  <c r="E13" i="111"/>
  <c r="D13" i="111" s="1"/>
  <c r="G13" i="111" s="1"/>
  <c r="F14" i="111" s="1"/>
  <c r="E13" i="109"/>
  <c r="D13" i="109" s="1"/>
  <c r="G13" i="109" s="1"/>
  <c r="F14" i="109" s="1"/>
  <c r="E14" i="104"/>
  <c r="D14" i="104" s="1"/>
  <c r="G14" i="104" s="1"/>
  <c r="F15" i="104" s="1"/>
  <c r="H11" i="104"/>
  <c r="I10" i="104"/>
  <c r="E60" i="117" l="1"/>
  <c r="D60" i="117" s="1"/>
  <c r="G60" i="117" s="1"/>
  <c r="F61" i="117" s="1"/>
  <c r="E15" i="117"/>
  <c r="D15" i="117" s="1"/>
  <c r="G15" i="117" s="1"/>
  <c r="F16" i="117" s="1"/>
  <c r="E13" i="115"/>
  <c r="D13" i="115" s="1"/>
  <c r="G13" i="115" s="1"/>
  <c r="F14" i="115" s="1"/>
  <c r="E14" i="113"/>
  <c r="D14" i="113" s="1"/>
  <c r="G14" i="113" s="1"/>
  <c r="F15" i="113" s="1"/>
  <c r="E14" i="111"/>
  <c r="D14" i="111" s="1"/>
  <c r="G14" i="111" s="1"/>
  <c r="F15" i="111" s="1"/>
  <c r="E14" i="109"/>
  <c r="D14" i="109" s="1"/>
  <c r="G14" i="109" s="1"/>
  <c r="F15" i="109" s="1"/>
  <c r="E15" i="104"/>
  <c r="D15" i="104" s="1"/>
  <c r="G15" i="104" s="1"/>
  <c r="F16" i="104" s="1"/>
  <c r="H12" i="104"/>
  <c r="I11" i="104"/>
  <c r="E61" i="117" l="1"/>
  <c r="D61" i="117" s="1"/>
  <c r="G61" i="117" s="1"/>
  <c r="F62" i="117" s="1"/>
  <c r="E16" i="117"/>
  <c r="D16" i="117" s="1"/>
  <c r="G16" i="117" s="1"/>
  <c r="F17" i="117" s="1"/>
  <c r="E14" i="115"/>
  <c r="D14" i="115" s="1"/>
  <c r="G14" i="115" s="1"/>
  <c r="F15" i="115" s="1"/>
  <c r="E15" i="113"/>
  <c r="D15" i="113" s="1"/>
  <c r="G15" i="113" s="1"/>
  <c r="F16" i="113" s="1"/>
  <c r="E15" i="111"/>
  <c r="D15" i="111" s="1"/>
  <c r="G15" i="111" s="1"/>
  <c r="F16" i="111" s="1"/>
  <c r="E15" i="109"/>
  <c r="D15" i="109" s="1"/>
  <c r="G15" i="109" s="1"/>
  <c r="F16" i="109" s="1"/>
  <c r="E16" i="104"/>
  <c r="D16" i="104" s="1"/>
  <c r="G16" i="104" s="1"/>
  <c r="F17" i="104" s="1"/>
  <c r="I12" i="104"/>
  <c r="H13" i="104"/>
  <c r="E62" i="117" l="1"/>
  <c r="D62" i="117" s="1"/>
  <c r="G62" i="117" s="1"/>
  <c r="F63" i="117" s="1"/>
  <c r="E17" i="117"/>
  <c r="D17" i="117" s="1"/>
  <c r="G17" i="117" s="1"/>
  <c r="F18" i="117" s="1"/>
  <c r="E15" i="115"/>
  <c r="D15" i="115" s="1"/>
  <c r="G15" i="115" s="1"/>
  <c r="F16" i="115" s="1"/>
  <c r="E16" i="113"/>
  <c r="D16" i="113" s="1"/>
  <c r="G16" i="113" s="1"/>
  <c r="F17" i="113" s="1"/>
  <c r="E16" i="111"/>
  <c r="D16" i="111" s="1"/>
  <c r="G16" i="111" s="1"/>
  <c r="F17" i="111" s="1"/>
  <c r="E16" i="109"/>
  <c r="D16" i="109" s="1"/>
  <c r="G16" i="109" s="1"/>
  <c r="F17" i="109" s="1"/>
  <c r="I13" i="104"/>
  <c r="E17" i="104"/>
  <c r="D17" i="104" s="1"/>
  <c r="G17" i="104" s="1"/>
  <c r="F18" i="104" s="1"/>
  <c r="H14" i="104"/>
  <c r="E63" i="117" l="1"/>
  <c r="D63" i="117" s="1"/>
  <c r="G63" i="117" s="1"/>
  <c r="F64" i="117" s="1"/>
  <c r="E18" i="117"/>
  <c r="D18" i="117" s="1"/>
  <c r="G18" i="117" s="1"/>
  <c r="F19" i="117" s="1"/>
  <c r="E16" i="115"/>
  <c r="D16" i="115" s="1"/>
  <c r="G16" i="115" s="1"/>
  <c r="F17" i="115" s="1"/>
  <c r="E17" i="113"/>
  <c r="D17" i="113" s="1"/>
  <c r="G17" i="113" s="1"/>
  <c r="F18" i="113" s="1"/>
  <c r="E17" i="111"/>
  <c r="D17" i="111" s="1"/>
  <c r="G17" i="111" s="1"/>
  <c r="F18" i="111" s="1"/>
  <c r="E17" i="109"/>
  <c r="D17" i="109" s="1"/>
  <c r="G17" i="109" s="1"/>
  <c r="F18" i="109" s="1"/>
  <c r="I14" i="104"/>
  <c r="E18" i="104"/>
  <c r="D18" i="104" s="1"/>
  <c r="G18" i="104" s="1"/>
  <c r="F19" i="104" s="1"/>
  <c r="H15" i="104"/>
  <c r="E64" i="117" l="1"/>
  <c r="D64" i="117" s="1"/>
  <c r="G64" i="117" s="1"/>
  <c r="F65" i="117" s="1"/>
  <c r="E19" i="117"/>
  <c r="D19" i="117" s="1"/>
  <c r="G19" i="117" s="1"/>
  <c r="F20" i="117" s="1"/>
  <c r="E17" i="115"/>
  <c r="D17" i="115" s="1"/>
  <c r="G17" i="115" s="1"/>
  <c r="F18" i="115" s="1"/>
  <c r="E18" i="113"/>
  <c r="D18" i="113" s="1"/>
  <c r="G18" i="113" s="1"/>
  <c r="F19" i="113" s="1"/>
  <c r="E18" i="111"/>
  <c r="D18" i="111" s="1"/>
  <c r="G18" i="111" s="1"/>
  <c r="F19" i="111" s="1"/>
  <c r="E18" i="109"/>
  <c r="D18" i="109" s="1"/>
  <c r="G18" i="109" s="1"/>
  <c r="F19" i="109" s="1"/>
  <c r="I15" i="104"/>
  <c r="E19" i="104"/>
  <c r="D19" i="104" s="1"/>
  <c r="G19" i="104" s="1"/>
  <c r="F20" i="104" s="1"/>
  <c r="H16" i="104"/>
  <c r="E65" i="117" l="1"/>
  <c r="D65" i="117" s="1"/>
  <c r="G65" i="117" s="1"/>
  <c r="F66" i="117" s="1"/>
  <c r="E20" i="117"/>
  <c r="D20" i="117" s="1"/>
  <c r="G20" i="117" s="1"/>
  <c r="F21" i="117" s="1"/>
  <c r="E18" i="115"/>
  <c r="D18" i="115" s="1"/>
  <c r="G18" i="115" s="1"/>
  <c r="F19" i="115" s="1"/>
  <c r="E19" i="113"/>
  <c r="D19" i="113" s="1"/>
  <c r="G19" i="113" s="1"/>
  <c r="F20" i="113" s="1"/>
  <c r="E19" i="111"/>
  <c r="D19" i="111" s="1"/>
  <c r="G19" i="111" s="1"/>
  <c r="F20" i="111" s="1"/>
  <c r="E19" i="109"/>
  <c r="D19" i="109" s="1"/>
  <c r="G19" i="109" s="1"/>
  <c r="F20" i="109" s="1"/>
  <c r="I16" i="104"/>
  <c r="E20" i="104"/>
  <c r="D20" i="104" s="1"/>
  <c r="G20" i="104" s="1"/>
  <c r="F21" i="104" s="1"/>
  <c r="H17" i="104"/>
  <c r="E66" i="117" l="1"/>
  <c r="D66" i="117" s="1"/>
  <c r="G66" i="117" s="1"/>
  <c r="F67" i="117" s="1"/>
  <c r="E21" i="117"/>
  <c r="D21" i="117" s="1"/>
  <c r="G21" i="117" s="1"/>
  <c r="F22" i="117" s="1"/>
  <c r="E19" i="115"/>
  <c r="D19" i="115" s="1"/>
  <c r="G19" i="115" s="1"/>
  <c r="F20" i="115" s="1"/>
  <c r="E20" i="113"/>
  <c r="D20" i="113" s="1"/>
  <c r="G20" i="113" s="1"/>
  <c r="F21" i="113" s="1"/>
  <c r="E20" i="111"/>
  <c r="D20" i="111" s="1"/>
  <c r="G20" i="111" s="1"/>
  <c r="F21" i="111" s="1"/>
  <c r="E20" i="109"/>
  <c r="D20" i="109" s="1"/>
  <c r="G20" i="109" s="1"/>
  <c r="F21" i="109" s="1"/>
  <c r="E21" i="104"/>
  <c r="D21" i="104" s="1"/>
  <c r="G21" i="104" s="1"/>
  <c r="F22" i="104" s="1"/>
  <c r="H18" i="104"/>
  <c r="I17" i="104"/>
  <c r="E67" i="117" l="1"/>
  <c r="D67" i="117" s="1"/>
  <c r="G67" i="117" s="1"/>
  <c r="F68" i="117" s="1"/>
  <c r="E22" i="117"/>
  <c r="D22" i="117" s="1"/>
  <c r="G22" i="117" s="1"/>
  <c r="F23" i="117" s="1"/>
  <c r="E20" i="115"/>
  <c r="D20" i="115" s="1"/>
  <c r="G20" i="115" s="1"/>
  <c r="F21" i="115" s="1"/>
  <c r="E21" i="113"/>
  <c r="D21" i="113" s="1"/>
  <c r="G21" i="113" s="1"/>
  <c r="F22" i="113" s="1"/>
  <c r="E21" i="111"/>
  <c r="D21" i="111" s="1"/>
  <c r="G21" i="111" s="1"/>
  <c r="F22" i="111" s="1"/>
  <c r="E21" i="109"/>
  <c r="D21" i="109" s="1"/>
  <c r="G21" i="109" s="1"/>
  <c r="F22" i="109" s="1"/>
  <c r="E22" i="104"/>
  <c r="D22" i="104" s="1"/>
  <c r="G22" i="104" s="1"/>
  <c r="F23" i="104" s="1"/>
  <c r="H19" i="104"/>
  <c r="I18" i="104"/>
  <c r="E68" i="117" l="1"/>
  <c r="D68" i="117" s="1"/>
  <c r="G68" i="117" s="1"/>
  <c r="F69" i="117" s="1"/>
  <c r="E23" i="117"/>
  <c r="D23" i="117" s="1"/>
  <c r="G23" i="117" s="1"/>
  <c r="F24" i="117" s="1"/>
  <c r="E21" i="115"/>
  <c r="D21" i="115" s="1"/>
  <c r="G21" i="115" s="1"/>
  <c r="F22" i="115" s="1"/>
  <c r="E22" i="113"/>
  <c r="D22" i="113" s="1"/>
  <c r="G22" i="113" s="1"/>
  <c r="F23" i="113" s="1"/>
  <c r="E22" i="111"/>
  <c r="D22" i="111" s="1"/>
  <c r="G22" i="111" s="1"/>
  <c r="F23" i="111" s="1"/>
  <c r="E22" i="109"/>
  <c r="D22" i="109" s="1"/>
  <c r="G22" i="109" s="1"/>
  <c r="F23" i="109" s="1"/>
  <c r="I19" i="104"/>
  <c r="E23" i="104"/>
  <c r="D23" i="104" s="1"/>
  <c r="G23" i="104" s="1"/>
  <c r="F24" i="104" s="1"/>
  <c r="H20" i="104"/>
  <c r="E69" i="117" l="1"/>
  <c r="D69" i="117" s="1"/>
  <c r="G69" i="117" s="1"/>
  <c r="F70" i="117" s="1"/>
  <c r="E24" i="117"/>
  <c r="D24" i="117" s="1"/>
  <c r="G24" i="117" s="1"/>
  <c r="F25" i="117" s="1"/>
  <c r="E22" i="115"/>
  <c r="D22" i="115" s="1"/>
  <c r="G22" i="115" s="1"/>
  <c r="F23" i="115" s="1"/>
  <c r="E23" i="113"/>
  <c r="D23" i="113" s="1"/>
  <c r="G23" i="113" s="1"/>
  <c r="F24" i="113" s="1"/>
  <c r="E23" i="111"/>
  <c r="D23" i="111" s="1"/>
  <c r="G23" i="111" s="1"/>
  <c r="F24" i="111" s="1"/>
  <c r="E23" i="109"/>
  <c r="D23" i="109" s="1"/>
  <c r="G23" i="109" s="1"/>
  <c r="F24" i="109" s="1"/>
  <c r="E24" i="104"/>
  <c r="D24" i="104" s="1"/>
  <c r="G24" i="104" s="1"/>
  <c r="F25" i="104" s="1"/>
  <c r="H21" i="104"/>
  <c r="I20" i="104"/>
  <c r="E70" i="117" l="1"/>
  <c r="D70" i="117" s="1"/>
  <c r="G70" i="117" s="1"/>
  <c r="F71" i="117" s="1"/>
  <c r="E25" i="117"/>
  <c r="D25" i="117" s="1"/>
  <c r="G25" i="117" s="1"/>
  <c r="F26" i="117" s="1"/>
  <c r="E23" i="115"/>
  <c r="D23" i="115" s="1"/>
  <c r="G23" i="115" s="1"/>
  <c r="F24" i="115" s="1"/>
  <c r="E24" i="113"/>
  <c r="D24" i="113" s="1"/>
  <c r="G24" i="113" s="1"/>
  <c r="F25" i="113" s="1"/>
  <c r="E24" i="111"/>
  <c r="D24" i="111" s="1"/>
  <c r="G24" i="111" s="1"/>
  <c r="F25" i="111" s="1"/>
  <c r="E24" i="109"/>
  <c r="D24" i="109" s="1"/>
  <c r="G24" i="109" s="1"/>
  <c r="F25" i="109" s="1"/>
  <c r="E25" i="104"/>
  <c r="D25" i="104" s="1"/>
  <c r="G25" i="104" s="1"/>
  <c r="F26" i="104" s="1"/>
  <c r="H22" i="104"/>
  <c r="I21" i="104"/>
  <c r="E71" i="117" l="1"/>
  <c r="D71" i="117" s="1"/>
  <c r="G71" i="117" s="1"/>
  <c r="F72" i="117" s="1"/>
  <c r="E26" i="117"/>
  <c r="D26" i="117" s="1"/>
  <c r="G26" i="117" s="1"/>
  <c r="F27" i="117" s="1"/>
  <c r="E24" i="115"/>
  <c r="D24" i="115" s="1"/>
  <c r="G24" i="115" s="1"/>
  <c r="F25" i="115" s="1"/>
  <c r="E25" i="113"/>
  <c r="D25" i="113" s="1"/>
  <c r="G25" i="113" s="1"/>
  <c r="F26" i="113" s="1"/>
  <c r="E25" i="111"/>
  <c r="D25" i="111" s="1"/>
  <c r="G25" i="111" s="1"/>
  <c r="F26" i="111" s="1"/>
  <c r="E25" i="109"/>
  <c r="D25" i="109" s="1"/>
  <c r="G25" i="109" s="1"/>
  <c r="F26" i="109" s="1"/>
  <c r="E26" i="104"/>
  <c r="D26" i="104" s="1"/>
  <c r="G26" i="104" s="1"/>
  <c r="F27" i="104" s="1"/>
  <c r="H23" i="104"/>
  <c r="I22" i="104"/>
  <c r="E72" i="117" l="1"/>
  <c r="D72" i="117" s="1"/>
  <c r="G72" i="117" s="1"/>
  <c r="F73" i="117" s="1"/>
  <c r="E27" i="117"/>
  <c r="D27" i="117" s="1"/>
  <c r="G27" i="117" s="1"/>
  <c r="F28" i="117" s="1"/>
  <c r="E25" i="115"/>
  <c r="D25" i="115" s="1"/>
  <c r="G25" i="115" s="1"/>
  <c r="F26" i="115" s="1"/>
  <c r="E26" i="113"/>
  <c r="D26" i="113" s="1"/>
  <c r="G26" i="113" s="1"/>
  <c r="F27" i="113" s="1"/>
  <c r="E26" i="111"/>
  <c r="D26" i="111" s="1"/>
  <c r="G26" i="111" s="1"/>
  <c r="F27" i="111" s="1"/>
  <c r="E26" i="109"/>
  <c r="D26" i="109" s="1"/>
  <c r="G26" i="109" s="1"/>
  <c r="F27" i="109" s="1"/>
  <c r="I23" i="104"/>
  <c r="E27" i="104"/>
  <c r="D27" i="104" s="1"/>
  <c r="G27" i="104" s="1"/>
  <c r="F28" i="104" s="1"/>
  <c r="H24" i="104"/>
  <c r="E73" i="117" l="1"/>
  <c r="D73" i="117" s="1"/>
  <c r="G73" i="117" s="1"/>
  <c r="F74" i="117" s="1"/>
  <c r="E28" i="117"/>
  <c r="D28" i="117" s="1"/>
  <c r="G28" i="117" s="1"/>
  <c r="F29" i="117" s="1"/>
  <c r="E26" i="115"/>
  <c r="D26" i="115" s="1"/>
  <c r="G26" i="115" s="1"/>
  <c r="F27" i="115" s="1"/>
  <c r="E27" i="113"/>
  <c r="D27" i="113" s="1"/>
  <c r="G27" i="113" s="1"/>
  <c r="F28" i="113" s="1"/>
  <c r="E27" i="111"/>
  <c r="D27" i="111" s="1"/>
  <c r="G27" i="111" s="1"/>
  <c r="F28" i="111" s="1"/>
  <c r="E27" i="109"/>
  <c r="D27" i="109" s="1"/>
  <c r="G27" i="109" s="1"/>
  <c r="F28" i="109" s="1"/>
  <c r="E28" i="104"/>
  <c r="D28" i="104" s="1"/>
  <c r="G28" i="104" s="1"/>
  <c r="F29" i="104" s="1"/>
  <c r="H25" i="104"/>
  <c r="I24" i="104"/>
  <c r="E74" i="117" l="1"/>
  <c r="D74" i="117" s="1"/>
  <c r="G74" i="117" s="1"/>
  <c r="F75" i="117" s="1"/>
  <c r="E29" i="117"/>
  <c r="D29" i="117" s="1"/>
  <c r="G29" i="117" s="1"/>
  <c r="E27" i="115"/>
  <c r="D27" i="115" s="1"/>
  <c r="G27" i="115" s="1"/>
  <c r="F28" i="115" s="1"/>
  <c r="E28" i="113"/>
  <c r="D28" i="113" s="1"/>
  <c r="G28" i="113" s="1"/>
  <c r="F29" i="113" s="1"/>
  <c r="E28" i="111"/>
  <c r="D28" i="111" s="1"/>
  <c r="G28" i="111" s="1"/>
  <c r="F29" i="111" s="1"/>
  <c r="E28" i="109"/>
  <c r="D28" i="109" s="1"/>
  <c r="G28" i="109" s="1"/>
  <c r="F29" i="109" s="1"/>
  <c r="E29" i="104"/>
  <c r="D29" i="104" s="1"/>
  <c r="G29" i="104" s="1"/>
  <c r="F30" i="104" s="1"/>
  <c r="H26" i="104"/>
  <c r="I25" i="104"/>
  <c r="E75" i="117" l="1"/>
  <c r="D75" i="117" s="1"/>
  <c r="G75" i="117" s="1"/>
  <c r="F76" i="117" s="1"/>
  <c r="F30" i="117"/>
  <c r="E28" i="115"/>
  <c r="D28" i="115" s="1"/>
  <c r="G28" i="115" s="1"/>
  <c r="F29" i="115" s="1"/>
  <c r="E29" i="113"/>
  <c r="D29" i="113" s="1"/>
  <c r="G29" i="113" s="1"/>
  <c r="E29" i="111"/>
  <c r="D29" i="111" s="1"/>
  <c r="G29" i="111" s="1"/>
  <c r="E29" i="109"/>
  <c r="D29" i="109" s="1"/>
  <c r="G29" i="109" s="1"/>
  <c r="I26" i="104"/>
  <c r="E30" i="104"/>
  <c r="D30" i="104" s="1"/>
  <c r="G30" i="104" s="1"/>
  <c r="H27" i="104"/>
  <c r="E76" i="117" l="1"/>
  <c r="D76" i="117" s="1"/>
  <c r="G76" i="117" s="1"/>
  <c r="F77" i="117" s="1"/>
  <c r="E30" i="117"/>
  <c r="E29" i="115"/>
  <c r="D29" i="115" s="1"/>
  <c r="G29" i="115" s="1"/>
  <c r="F30" i="113"/>
  <c r="F46" i="113"/>
  <c r="F30" i="111"/>
  <c r="F46" i="111"/>
  <c r="F30" i="109"/>
  <c r="F46" i="109"/>
  <c r="F31" i="104"/>
  <c r="E47" i="104" s="1"/>
  <c r="F47" i="104"/>
  <c r="H28" i="104"/>
  <c r="I27" i="104"/>
  <c r="E77" i="117" l="1"/>
  <c r="D77" i="117" s="1"/>
  <c r="G77" i="117" s="1"/>
  <c r="F78" i="117" s="1"/>
  <c r="E78" i="117" s="1"/>
  <c r="D78" i="117" s="1"/>
  <c r="G78" i="117" s="1"/>
  <c r="D30" i="117"/>
  <c r="G30" i="117" s="1"/>
  <c r="F31" i="117" s="1"/>
  <c r="F30" i="115"/>
  <c r="F46" i="115"/>
  <c r="E30" i="113"/>
  <c r="E46" i="113"/>
  <c r="E46" i="111"/>
  <c r="E30" i="111"/>
  <c r="E46" i="109"/>
  <c r="E30" i="109"/>
  <c r="E31" i="104"/>
  <c r="H29" i="104"/>
  <c r="I28" i="104"/>
  <c r="F79" i="117" l="1"/>
  <c r="E79" i="117" s="1"/>
  <c r="C79" i="117" s="1"/>
  <c r="E31" i="117"/>
  <c r="D31" i="117" s="1"/>
  <c r="G31" i="117" s="1"/>
  <c r="F32" i="117" s="1"/>
  <c r="E30" i="115"/>
  <c r="E46" i="115"/>
  <c r="D30" i="113"/>
  <c r="G30" i="113" s="1"/>
  <c r="F31" i="113" s="1"/>
  <c r="D46" i="113"/>
  <c r="G46" i="113" s="1"/>
  <c r="F47" i="113" s="1"/>
  <c r="D30" i="111"/>
  <c r="G30" i="111" s="1"/>
  <c r="F31" i="111" s="1"/>
  <c r="D46" i="111"/>
  <c r="G46" i="111" s="1"/>
  <c r="F47" i="111" s="1"/>
  <c r="E47" i="111" s="1"/>
  <c r="D46" i="109"/>
  <c r="G46" i="109" s="1"/>
  <c r="F47" i="109" s="1"/>
  <c r="D30" i="109"/>
  <c r="G30" i="109" s="1"/>
  <c r="F31" i="109" s="1"/>
  <c r="D31" i="104"/>
  <c r="G31" i="104" s="1"/>
  <c r="F32" i="104" s="1"/>
  <c r="E32" i="104" s="1"/>
  <c r="D32" i="104" s="1"/>
  <c r="G32" i="104" s="1"/>
  <c r="F33" i="104" s="1"/>
  <c r="E33" i="104" s="1"/>
  <c r="D33" i="104" s="1"/>
  <c r="G33" i="104" s="1"/>
  <c r="F34" i="104" s="1"/>
  <c r="D47" i="104"/>
  <c r="G47" i="104" s="1"/>
  <c r="H30" i="104"/>
  <c r="I29" i="104"/>
  <c r="D79" i="117" l="1"/>
  <c r="G79" i="117" s="1"/>
  <c r="E32" i="117"/>
  <c r="D32" i="117" s="1"/>
  <c r="G32" i="117" s="1"/>
  <c r="F33" i="117" s="1"/>
  <c r="D46" i="115"/>
  <c r="G46" i="115" s="1"/>
  <c r="F47" i="115" s="1"/>
  <c r="D30" i="115"/>
  <c r="G30" i="115" s="1"/>
  <c r="F31" i="115" s="1"/>
  <c r="E47" i="113"/>
  <c r="D47" i="113" s="1"/>
  <c r="G47" i="113" s="1"/>
  <c r="F48" i="113" s="1"/>
  <c r="E31" i="113"/>
  <c r="D31" i="113" s="1"/>
  <c r="G31" i="113" s="1"/>
  <c r="F32" i="113" s="1"/>
  <c r="D47" i="111"/>
  <c r="G47" i="111" s="1"/>
  <c r="F48" i="111" s="1"/>
  <c r="E48" i="111" s="1"/>
  <c r="E31" i="111"/>
  <c r="D31" i="111" s="1"/>
  <c r="G31" i="111" s="1"/>
  <c r="F32" i="111" s="1"/>
  <c r="E31" i="109"/>
  <c r="D31" i="109" s="1"/>
  <c r="G31" i="109" s="1"/>
  <c r="F32" i="109" s="1"/>
  <c r="E47" i="109"/>
  <c r="D47" i="109" s="1"/>
  <c r="G47" i="109" s="1"/>
  <c r="F48" i="109" s="1"/>
  <c r="F48" i="104"/>
  <c r="E48" i="104" s="1"/>
  <c r="D48" i="104" s="1"/>
  <c r="G48" i="104" s="1"/>
  <c r="F49" i="104" s="1"/>
  <c r="E49" i="104" s="1"/>
  <c r="D49" i="104" s="1"/>
  <c r="G49" i="104" s="1"/>
  <c r="F50" i="104" s="1"/>
  <c r="E50" i="104" s="1"/>
  <c r="D50" i="104" s="1"/>
  <c r="G50" i="104" s="1"/>
  <c r="F51" i="104" s="1"/>
  <c r="E51" i="104" s="1"/>
  <c r="D51" i="104" s="1"/>
  <c r="G51" i="104" s="1"/>
  <c r="F52" i="104" s="1"/>
  <c r="E52" i="104" s="1"/>
  <c r="D52" i="104" s="1"/>
  <c r="G52" i="104" s="1"/>
  <c r="F53" i="104" s="1"/>
  <c r="E53" i="104" s="1"/>
  <c r="D53" i="104" s="1"/>
  <c r="G53" i="104" s="1"/>
  <c r="F54" i="104" s="1"/>
  <c r="E54" i="104" s="1"/>
  <c r="D54" i="104" s="1"/>
  <c r="G54" i="104" s="1"/>
  <c r="F55" i="104" s="1"/>
  <c r="E55" i="104" s="1"/>
  <c r="D55" i="104" s="1"/>
  <c r="G55" i="104" s="1"/>
  <c r="F56" i="104" s="1"/>
  <c r="E56" i="104" s="1"/>
  <c r="D56" i="104" s="1"/>
  <c r="G56" i="104" s="1"/>
  <c r="F57" i="104" s="1"/>
  <c r="E57" i="104" s="1"/>
  <c r="D57" i="104" s="1"/>
  <c r="G57" i="104" s="1"/>
  <c r="F58" i="104" s="1"/>
  <c r="E58" i="104" s="1"/>
  <c r="D58" i="104" s="1"/>
  <c r="G58" i="104" s="1"/>
  <c r="F59" i="104" s="1"/>
  <c r="E59" i="104" s="1"/>
  <c r="D59" i="104" s="1"/>
  <c r="G59" i="104" s="1"/>
  <c r="F60" i="104" s="1"/>
  <c r="E60" i="104" s="1"/>
  <c r="D60" i="104" s="1"/>
  <c r="G60" i="104" s="1"/>
  <c r="F61" i="104" s="1"/>
  <c r="E34" i="104"/>
  <c r="D34" i="104" s="1"/>
  <c r="G34" i="104" s="1"/>
  <c r="F35" i="104" s="1"/>
  <c r="H31" i="104"/>
  <c r="I30" i="104"/>
  <c r="E33" i="117" l="1"/>
  <c r="D33" i="117" s="1"/>
  <c r="G33" i="117" s="1"/>
  <c r="F34" i="117" s="1"/>
  <c r="E31" i="115"/>
  <c r="D31" i="115" s="1"/>
  <c r="G31" i="115" s="1"/>
  <c r="F32" i="115" s="1"/>
  <c r="E47" i="115"/>
  <c r="D47" i="115" s="1"/>
  <c r="G47" i="115" s="1"/>
  <c r="F48" i="115" s="1"/>
  <c r="E32" i="113"/>
  <c r="D32" i="113" s="1"/>
  <c r="G32" i="113" s="1"/>
  <c r="F33" i="113" s="1"/>
  <c r="E48" i="113"/>
  <c r="D48" i="113" s="1"/>
  <c r="G48" i="113" s="1"/>
  <c r="F49" i="113" s="1"/>
  <c r="D48" i="111"/>
  <c r="G48" i="111" s="1"/>
  <c r="F49" i="111" s="1"/>
  <c r="E49" i="111" s="1"/>
  <c r="E32" i="111"/>
  <c r="D32" i="111" s="1"/>
  <c r="G32" i="111" s="1"/>
  <c r="F33" i="111" s="1"/>
  <c r="E48" i="109"/>
  <c r="D48" i="109" s="1"/>
  <c r="G48" i="109" s="1"/>
  <c r="F49" i="109" s="1"/>
  <c r="E32" i="109"/>
  <c r="D32" i="109" s="1"/>
  <c r="G32" i="109" s="1"/>
  <c r="F33" i="109" s="1"/>
  <c r="E61" i="104"/>
  <c r="D61" i="104" s="1"/>
  <c r="G61" i="104" s="1"/>
  <c r="F62" i="104" s="1"/>
  <c r="D62" i="104" s="1"/>
  <c r="G62" i="104" s="1"/>
  <c r="E35" i="104"/>
  <c r="D35" i="104" s="1"/>
  <c r="G35" i="104" s="1"/>
  <c r="F36" i="104" s="1"/>
  <c r="H32" i="104"/>
  <c r="I31" i="104"/>
  <c r="E34" i="117" l="1"/>
  <c r="D34" i="117" s="1"/>
  <c r="G34" i="117" s="1"/>
  <c r="F35" i="117" s="1"/>
  <c r="E48" i="115"/>
  <c r="D48" i="115" s="1"/>
  <c r="G48" i="115" s="1"/>
  <c r="F49" i="115" s="1"/>
  <c r="E32" i="115"/>
  <c r="D32" i="115" s="1"/>
  <c r="G32" i="115" s="1"/>
  <c r="F33" i="115" s="1"/>
  <c r="E49" i="113"/>
  <c r="D49" i="113" s="1"/>
  <c r="G49" i="113" s="1"/>
  <c r="F50" i="113" s="1"/>
  <c r="E33" i="113"/>
  <c r="D33" i="113" s="1"/>
  <c r="G33" i="113" s="1"/>
  <c r="F34" i="113" s="1"/>
  <c r="E33" i="111"/>
  <c r="D33" i="111" s="1"/>
  <c r="G33" i="111" s="1"/>
  <c r="F34" i="111" s="1"/>
  <c r="D49" i="111"/>
  <c r="G49" i="111" s="1"/>
  <c r="F50" i="111" s="1"/>
  <c r="E50" i="111" s="1"/>
  <c r="E49" i="109"/>
  <c r="D49" i="109" s="1"/>
  <c r="G49" i="109" s="1"/>
  <c r="F50" i="109" s="1"/>
  <c r="E33" i="109"/>
  <c r="D33" i="109" s="1"/>
  <c r="G33" i="109" s="1"/>
  <c r="F34" i="109" s="1"/>
  <c r="E36" i="104"/>
  <c r="D36" i="104" s="1"/>
  <c r="G36" i="104" s="1"/>
  <c r="F37" i="104" s="1"/>
  <c r="H33" i="104"/>
  <c r="I32" i="104"/>
  <c r="E35" i="117" l="1"/>
  <c r="D35" i="117" s="1"/>
  <c r="G35" i="117" s="1"/>
  <c r="F36" i="117" s="1"/>
  <c r="E33" i="115"/>
  <c r="D33" i="115" s="1"/>
  <c r="G33" i="115" s="1"/>
  <c r="F34" i="115" s="1"/>
  <c r="E49" i="115"/>
  <c r="D49" i="115" s="1"/>
  <c r="G49" i="115" s="1"/>
  <c r="F50" i="115" s="1"/>
  <c r="E34" i="113"/>
  <c r="D34" i="113" s="1"/>
  <c r="G34" i="113" s="1"/>
  <c r="F35" i="113" s="1"/>
  <c r="E50" i="113"/>
  <c r="D50" i="113" s="1"/>
  <c r="G50" i="113" s="1"/>
  <c r="F51" i="113" s="1"/>
  <c r="D50" i="111"/>
  <c r="G50" i="111" s="1"/>
  <c r="F51" i="111" s="1"/>
  <c r="E51" i="111" s="1"/>
  <c r="E34" i="111"/>
  <c r="D34" i="111" s="1"/>
  <c r="G34" i="111" s="1"/>
  <c r="F35" i="111" s="1"/>
  <c r="E34" i="109"/>
  <c r="D34" i="109" s="1"/>
  <c r="G34" i="109" s="1"/>
  <c r="F35" i="109" s="1"/>
  <c r="E50" i="109"/>
  <c r="D50" i="109" s="1"/>
  <c r="G50" i="109" s="1"/>
  <c r="F51" i="109" s="1"/>
  <c r="I33" i="104"/>
  <c r="E37" i="104"/>
  <c r="D37" i="104" s="1"/>
  <c r="G37" i="104" s="1"/>
  <c r="F38" i="104" s="1"/>
  <c r="H34" i="104"/>
  <c r="E36" i="117" l="1"/>
  <c r="D36" i="117" s="1"/>
  <c r="G36" i="117" s="1"/>
  <c r="F37" i="117" s="1"/>
  <c r="E50" i="115"/>
  <c r="D50" i="115" s="1"/>
  <c r="G50" i="115" s="1"/>
  <c r="F51" i="115" s="1"/>
  <c r="E34" i="115"/>
  <c r="D34" i="115" s="1"/>
  <c r="G34" i="115" s="1"/>
  <c r="F35" i="115" s="1"/>
  <c r="E51" i="113"/>
  <c r="D51" i="113" s="1"/>
  <c r="G51" i="113" s="1"/>
  <c r="F52" i="113" s="1"/>
  <c r="E35" i="113"/>
  <c r="D35" i="113" s="1"/>
  <c r="G35" i="113" s="1"/>
  <c r="F36" i="113" s="1"/>
  <c r="E35" i="111"/>
  <c r="D35" i="111" s="1"/>
  <c r="G35" i="111" s="1"/>
  <c r="F36" i="111" s="1"/>
  <c r="D51" i="111"/>
  <c r="G51" i="111" s="1"/>
  <c r="F52" i="111" s="1"/>
  <c r="E52" i="111" s="1"/>
  <c r="E51" i="109"/>
  <c r="D51" i="109" s="1"/>
  <c r="G51" i="109" s="1"/>
  <c r="F52" i="109" s="1"/>
  <c r="E35" i="109"/>
  <c r="D35" i="109" s="1"/>
  <c r="G35" i="109" s="1"/>
  <c r="F36" i="109" s="1"/>
  <c r="E38" i="104"/>
  <c r="D38" i="104" s="1"/>
  <c r="G38" i="104" s="1"/>
  <c r="F39" i="104" s="1"/>
  <c r="H35" i="104"/>
  <c r="I34" i="104"/>
  <c r="E37" i="117" l="1"/>
  <c r="D37" i="117" s="1"/>
  <c r="G37" i="117" s="1"/>
  <c r="F38" i="117" s="1"/>
  <c r="E35" i="115"/>
  <c r="D35" i="115" s="1"/>
  <c r="G35" i="115" s="1"/>
  <c r="F36" i="115" s="1"/>
  <c r="E51" i="115"/>
  <c r="D51" i="115" s="1"/>
  <c r="G51" i="115" s="1"/>
  <c r="F52" i="115" s="1"/>
  <c r="E36" i="113"/>
  <c r="D36" i="113" s="1"/>
  <c r="G36" i="113" s="1"/>
  <c r="F37" i="113" s="1"/>
  <c r="E52" i="113"/>
  <c r="D52" i="113" s="1"/>
  <c r="G52" i="113" s="1"/>
  <c r="F53" i="113" s="1"/>
  <c r="D52" i="111"/>
  <c r="G52" i="111" s="1"/>
  <c r="F53" i="111" s="1"/>
  <c r="E53" i="111" s="1"/>
  <c r="E36" i="111"/>
  <c r="D36" i="111" s="1"/>
  <c r="G36" i="111" s="1"/>
  <c r="F37" i="111" s="1"/>
  <c r="E36" i="109"/>
  <c r="D36" i="109" s="1"/>
  <c r="G36" i="109" s="1"/>
  <c r="F37" i="109" s="1"/>
  <c r="E52" i="109"/>
  <c r="D52" i="109" s="1"/>
  <c r="G52" i="109" s="1"/>
  <c r="F53" i="109" s="1"/>
  <c r="H4" i="107"/>
  <c r="E4" i="107"/>
  <c r="D4" i="107" s="1"/>
  <c r="G4" i="107" s="1"/>
  <c r="F5" i="107" s="1"/>
  <c r="E5" i="107" s="1"/>
  <c r="I35" i="104"/>
  <c r="E39" i="104"/>
  <c r="D39" i="104" s="1"/>
  <c r="G39" i="104" s="1"/>
  <c r="F40" i="104" s="1"/>
  <c r="H36" i="104"/>
  <c r="E38" i="117" l="1"/>
  <c r="D38" i="117" s="1"/>
  <c r="G38" i="117" s="1"/>
  <c r="F39" i="117" s="1"/>
  <c r="E52" i="115"/>
  <c r="D52" i="115" s="1"/>
  <c r="G52" i="115" s="1"/>
  <c r="F53" i="115" s="1"/>
  <c r="E36" i="115"/>
  <c r="D36" i="115" s="1"/>
  <c r="G36" i="115" s="1"/>
  <c r="F37" i="115" s="1"/>
  <c r="E53" i="113"/>
  <c r="D53" i="113" s="1"/>
  <c r="G53" i="113" s="1"/>
  <c r="F54" i="113" s="1"/>
  <c r="E37" i="113"/>
  <c r="D37" i="113" s="1"/>
  <c r="G37" i="113" s="1"/>
  <c r="F38" i="113" s="1"/>
  <c r="E37" i="111"/>
  <c r="D37" i="111" s="1"/>
  <c r="G37" i="111" s="1"/>
  <c r="F38" i="111" s="1"/>
  <c r="D53" i="111"/>
  <c r="G53" i="111" s="1"/>
  <c r="F54" i="111" s="1"/>
  <c r="E54" i="111" s="1"/>
  <c r="E53" i="109"/>
  <c r="D53" i="109" s="1"/>
  <c r="G53" i="109" s="1"/>
  <c r="F54" i="109" s="1"/>
  <c r="E37" i="109"/>
  <c r="D37" i="109" s="1"/>
  <c r="G37" i="109" s="1"/>
  <c r="F38" i="109" s="1"/>
  <c r="H5" i="107"/>
  <c r="D5" i="107"/>
  <c r="G5" i="107" s="1"/>
  <c r="F6" i="107" s="1"/>
  <c r="E6" i="107" s="1"/>
  <c r="I4" i="107"/>
  <c r="H40" i="104"/>
  <c r="E40" i="104"/>
  <c r="D40" i="104" s="1"/>
  <c r="G40" i="104" s="1"/>
  <c r="F41" i="104" s="1"/>
  <c r="H37" i="104"/>
  <c r="I36" i="104"/>
  <c r="E39" i="117" l="1"/>
  <c r="D39" i="117" s="1"/>
  <c r="G39" i="117" s="1"/>
  <c r="F40" i="117" s="1"/>
  <c r="E37" i="115"/>
  <c r="D37" i="115" s="1"/>
  <c r="G37" i="115" s="1"/>
  <c r="F38" i="115" s="1"/>
  <c r="E53" i="115"/>
  <c r="D53" i="115" s="1"/>
  <c r="G53" i="115" s="1"/>
  <c r="F54" i="115" s="1"/>
  <c r="E54" i="113"/>
  <c r="D54" i="113" s="1"/>
  <c r="G54" i="113" s="1"/>
  <c r="F55" i="113" s="1"/>
  <c r="E38" i="113"/>
  <c r="D38" i="113" s="1"/>
  <c r="G38" i="113" s="1"/>
  <c r="F39" i="113" s="1"/>
  <c r="D54" i="111"/>
  <c r="G54" i="111" s="1"/>
  <c r="F55" i="111" s="1"/>
  <c r="E38" i="111"/>
  <c r="D38" i="111" s="1"/>
  <c r="G38" i="111" s="1"/>
  <c r="F39" i="111" s="1"/>
  <c r="E38" i="109"/>
  <c r="D38" i="109" s="1"/>
  <c r="G38" i="109" s="1"/>
  <c r="F39" i="109" s="1"/>
  <c r="E54" i="109"/>
  <c r="D54" i="109" s="1"/>
  <c r="G54" i="109" s="1"/>
  <c r="F55" i="109" s="1"/>
  <c r="H6" i="107"/>
  <c r="D6" i="107"/>
  <c r="G6" i="107" s="1"/>
  <c r="F7" i="107" s="1"/>
  <c r="E7" i="107" s="1"/>
  <c r="I5" i="107"/>
  <c r="E41" i="104"/>
  <c r="D41" i="104" s="1"/>
  <c r="G41" i="104" s="1"/>
  <c r="F42" i="104" s="1"/>
  <c r="I40" i="104"/>
  <c r="I37" i="104"/>
  <c r="H38" i="104"/>
  <c r="E40" i="117" l="1"/>
  <c r="D40" i="117" s="1"/>
  <c r="G40" i="117" s="1"/>
  <c r="F41" i="117" s="1"/>
  <c r="E54" i="115"/>
  <c r="D54" i="115" s="1"/>
  <c r="G54" i="115" s="1"/>
  <c r="F55" i="115" s="1"/>
  <c r="E38" i="115"/>
  <c r="D38" i="115" s="1"/>
  <c r="G38" i="115" s="1"/>
  <c r="F39" i="115" s="1"/>
  <c r="E55" i="113"/>
  <c r="D55" i="113" s="1"/>
  <c r="G55" i="113" s="1"/>
  <c r="F56" i="113" s="1"/>
  <c r="E56" i="113" s="1"/>
  <c r="D56" i="113" s="1"/>
  <c r="G56" i="113" s="1"/>
  <c r="F57" i="113" s="1"/>
  <c r="E57" i="113" s="1"/>
  <c r="D57" i="113" s="1"/>
  <c r="G57" i="113" s="1"/>
  <c r="F58" i="113" s="1"/>
  <c r="E58" i="113" s="1"/>
  <c r="D58" i="113" s="1"/>
  <c r="G58" i="113" s="1"/>
  <c r="F59" i="113" s="1"/>
  <c r="E59" i="113" s="1"/>
  <c r="D59" i="113" s="1"/>
  <c r="G59" i="113" s="1"/>
  <c r="F60" i="113" s="1"/>
  <c r="E60" i="113" s="1"/>
  <c r="D60" i="113" s="1"/>
  <c r="G60" i="113" s="1"/>
  <c r="F61" i="113" s="1"/>
  <c r="E61" i="113" s="1"/>
  <c r="D61" i="113" s="1"/>
  <c r="G61" i="113" s="1"/>
  <c r="F62" i="113" s="1"/>
  <c r="E62" i="113" s="1"/>
  <c r="D62" i="113" s="1"/>
  <c r="G62" i="113" s="1"/>
  <c r="F63" i="113" s="1"/>
  <c r="E63" i="113" s="1"/>
  <c r="D63" i="113" s="1"/>
  <c r="G63" i="113" s="1"/>
  <c r="F64" i="113" s="1"/>
  <c r="E64" i="113" s="1"/>
  <c r="D64" i="113" s="1"/>
  <c r="G64" i="113" s="1"/>
  <c r="F65" i="113" s="1"/>
  <c r="E65" i="113" s="1"/>
  <c r="D65" i="113" s="1"/>
  <c r="G65" i="113" s="1"/>
  <c r="F66" i="113" s="1"/>
  <c r="E66" i="113" s="1"/>
  <c r="D66" i="113" s="1"/>
  <c r="G66" i="113" s="1"/>
  <c r="F67" i="113" s="1"/>
  <c r="E67" i="113" s="1"/>
  <c r="D67" i="113" s="1"/>
  <c r="G67" i="113" s="1"/>
  <c r="F68" i="113" s="1"/>
  <c r="E68" i="113" s="1"/>
  <c r="D68" i="113" s="1"/>
  <c r="G68" i="113" s="1"/>
  <c r="F69" i="113" s="1"/>
  <c r="D69" i="113" s="1"/>
  <c r="G69" i="113" s="1"/>
  <c r="E39" i="113"/>
  <c r="D39" i="113" s="1"/>
  <c r="G39" i="113" s="1"/>
  <c r="F40" i="113" s="1"/>
  <c r="D55" i="111"/>
  <c r="G55" i="111" s="1"/>
  <c r="E39" i="111"/>
  <c r="D39" i="111" s="1"/>
  <c r="G39" i="111" s="1"/>
  <c r="F40" i="111" s="1"/>
  <c r="E55" i="109"/>
  <c r="D55" i="109" s="1"/>
  <c r="G55" i="109" s="1"/>
  <c r="F56" i="109" s="1"/>
  <c r="E39" i="109"/>
  <c r="D39" i="109" s="1"/>
  <c r="G39" i="109" s="1"/>
  <c r="F40" i="109" s="1"/>
  <c r="H7" i="107"/>
  <c r="D7" i="107"/>
  <c r="G7" i="107" s="1"/>
  <c r="F8" i="107" s="1"/>
  <c r="E8" i="107" s="1"/>
  <c r="I6" i="107"/>
  <c r="E42" i="104"/>
  <c r="D42" i="104" s="1"/>
  <c r="G42" i="104" s="1"/>
  <c r="F43" i="104" s="1"/>
  <c r="H39" i="104"/>
  <c r="I39" i="104" s="1"/>
  <c r="I38" i="104"/>
  <c r="E41" i="117" l="1"/>
  <c r="D41" i="117" s="1"/>
  <c r="G41" i="117" s="1"/>
  <c r="F42" i="117" s="1"/>
  <c r="E39" i="115"/>
  <c r="D39" i="115" s="1"/>
  <c r="G39" i="115" s="1"/>
  <c r="F40" i="115" s="1"/>
  <c r="E55" i="115"/>
  <c r="D55" i="115" s="1"/>
  <c r="G55" i="115" s="1"/>
  <c r="F56" i="115" s="1"/>
  <c r="E40" i="113"/>
  <c r="D40" i="113" s="1"/>
  <c r="G40" i="113" s="1"/>
  <c r="F41" i="113" s="1"/>
  <c r="E40" i="111"/>
  <c r="D40" i="111" s="1"/>
  <c r="G40" i="111" s="1"/>
  <c r="F41" i="111" s="1"/>
  <c r="E40" i="109"/>
  <c r="D40" i="109" s="1"/>
  <c r="G40" i="109" s="1"/>
  <c r="F41" i="109" s="1"/>
  <c r="E56" i="109"/>
  <c r="D56" i="109" s="1"/>
  <c r="G56" i="109" s="1"/>
  <c r="F57" i="109" s="1"/>
  <c r="H8" i="107"/>
  <c r="D8" i="107"/>
  <c r="G8" i="107" s="1"/>
  <c r="F9" i="107" s="1"/>
  <c r="E9" i="107" s="1"/>
  <c r="I7" i="107"/>
  <c r="E43" i="104"/>
  <c r="D43" i="104" s="1"/>
  <c r="G43" i="104" s="1"/>
  <c r="F44" i="104" s="1"/>
  <c r="E42" i="117" l="1"/>
  <c r="D42" i="117" s="1"/>
  <c r="G42" i="117" s="1"/>
  <c r="F43" i="117" s="1"/>
  <c r="E56" i="115"/>
  <c r="D56" i="115" s="1"/>
  <c r="G56" i="115" s="1"/>
  <c r="F57" i="115" s="1"/>
  <c r="E40" i="115"/>
  <c r="D40" i="115" s="1"/>
  <c r="G40" i="115" s="1"/>
  <c r="F41" i="115" s="1"/>
  <c r="E41" i="113"/>
  <c r="D41" i="113" s="1"/>
  <c r="G41" i="113" s="1"/>
  <c r="F42" i="113" s="1"/>
  <c r="E41" i="111"/>
  <c r="D41" i="111" s="1"/>
  <c r="G41" i="111" s="1"/>
  <c r="F42" i="111" s="1"/>
  <c r="E57" i="109"/>
  <c r="D57" i="109" s="1"/>
  <c r="G57" i="109" s="1"/>
  <c r="F58" i="109" s="1"/>
  <c r="E41" i="109"/>
  <c r="D41" i="109" s="1"/>
  <c r="G41" i="109" s="1"/>
  <c r="F42" i="109" s="1"/>
  <c r="H9" i="107"/>
  <c r="D9" i="107"/>
  <c r="G9" i="107" s="1"/>
  <c r="F10" i="107" s="1"/>
  <c r="E10" i="107" s="1"/>
  <c r="I8" i="107"/>
  <c r="E44" i="104"/>
  <c r="D44" i="104" s="1"/>
  <c r="G44" i="104" s="1"/>
  <c r="F45" i="104" s="1"/>
  <c r="E45" i="104" s="1"/>
  <c r="D45" i="104"/>
  <c r="E43" i="117" l="1"/>
  <c r="D43" i="117" s="1"/>
  <c r="G43" i="117" s="1"/>
  <c r="F44" i="117" s="1"/>
  <c r="E41" i="115"/>
  <c r="D41" i="115" s="1"/>
  <c r="G41" i="115" s="1"/>
  <c r="F42" i="115" s="1"/>
  <c r="E57" i="115"/>
  <c r="D57" i="115" s="1"/>
  <c r="G57" i="115" s="1"/>
  <c r="F58" i="115" s="1"/>
  <c r="E42" i="113"/>
  <c r="D42" i="113" s="1"/>
  <c r="G42" i="113" s="1"/>
  <c r="F43" i="113" s="1"/>
  <c r="E42" i="111"/>
  <c r="D42" i="111" s="1"/>
  <c r="G42" i="111" s="1"/>
  <c r="F43" i="111" s="1"/>
  <c r="E42" i="109"/>
  <c r="D42" i="109" s="1"/>
  <c r="G42" i="109" s="1"/>
  <c r="F43" i="109" s="1"/>
  <c r="E58" i="109"/>
  <c r="D58" i="109" s="1"/>
  <c r="G58" i="109" s="1"/>
  <c r="F59" i="109" s="1"/>
  <c r="D10" i="107"/>
  <c r="G10" i="107" s="1"/>
  <c r="F11" i="107" s="1"/>
  <c r="E11" i="107" s="1"/>
  <c r="I9" i="107"/>
  <c r="G45" i="104"/>
  <c r="F46" i="104" s="1"/>
  <c r="E44" i="117" l="1"/>
  <c r="D44" i="117" s="1"/>
  <c r="G44" i="117" s="1"/>
  <c r="F45" i="117" s="1"/>
  <c r="G45" i="117" s="1"/>
  <c r="E58" i="115"/>
  <c r="D58" i="115" s="1"/>
  <c r="G58" i="115" s="1"/>
  <c r="F59" i="115" s="1"/>
  <c r="E42" i="115"/>
  <c r="D42" i="115" s="1"/>
  <c r="G42" i="115" s="1"/>
  <c r="F43" i="115" s="1"/>
  <c r="E43" i="113"/>
  <c r="D43" i="113" s="1"/>
  <c r="G43" i="113" s="1"/>
  <c r="F44" i="113" s="1"/>
  <c r="E43" i="111"/>
  <c r="D43" i="111" s="1"/>
  <c r="G43" i="111" s="1"/>
  <c r="F44" i="111" s="1"/>
  <c r="E59" i="109"/>
  <c r="D59" i="109" s="1"/>
  <c r="G59" i="109" s="1"/>
  <c r="F60" i="109" s="1"/>
  <c r="E43" i="109"/>
  <c r="D43" i="109" s="1"/>
  <c r="G43" i="109" s="1"/>
  <c r="F44" i="109" s="1"/>
  <c r="D11" i="107"/>
  <c r="G11" i="107" s="1"/>
  <c r="F12" i="107" s="1"/>
  <c r="E12" i="107" s="1"/>
  <c r="D46" i="104"/>
  <c r="G46" i="104" s="1"/>
  <c r="E43" i="115" l="1"/>
  <c r="D43" i="115" s="1"/>
  <c r="G43" i="115" s="1"/>
  <c r="F44" i="115" s="1"/>
  <c r="D59" i="115"/>
  <c r="G59" i="115" s="1"/>
  <c r="E44" i="113"/>
  <c r="D44" i="113" s="1"/>
  <c r="G44" i="113" s="1"/>
  <c r="F45" i="113" s="1"/>
  <c r="G45" i="113" s="1"/>
  <c r="E44" i="111"/>
  <c r="D44" i="111" s="1"/>
  <c r="G44" i="111" s="1"/>
  <c r="F45" i="111" s="1"/>
  <c r="G45" i="111" s="1"/>
  <c r="E44" i="109"/>
  <c r="D44" i="109" s="1"/>
  <c r="G44" i="109" s="1"/>
  <c r="F45" i="109" s="1"/>
  <c r="G45" i="109" s="1"/>
  <c r="E60" i="109"/>
  <c r="D60" i="109" s="1"/>
  <c r="G60" i="109" s="1"/>
  <c r="F61" i="109" s="1"/>
  <c r="D12" i="107"/>
  <c r="G12" i="107" s="1"/>
  <c r="F13" i="107" s="1"/>
  <c r="E13" i="107" s="1"/>
  <c r="E44" i="115" l="1"/>
  <c r="D44" i="115" s="1"/>
  <c r="G44" i="115" s="1"/>
  <c r="F45" i="115" s="1"/>
  <c r="G45" i="115" s="1"/>
  <c r="D61" i="109"/>
  <c r="G61" i="109" s="1"/>
  <c r="D13" i="107"/>
  <c r="G13" i="107" s="1"/>
  <c r="F14" i="107" s="1"/>
  <c r="E14" i="107" s="1"/>
  <c r="D14" i="107" l="1"/>
  <c r="G14" i="107" s="1"/>
  <c r="F15" i="107" s="1"/>
  <c r="E15" i="107" l="1"/>
  <c r="D15" i="107" s="1"/>
  <c r="G15" i="107" s="1"/>
  <c r="F16" i="107" s="1"/>
  <c r="E16" i="107" s="1"/>
  <c r="D16" i="107" s="1"/>
  <c r="G16" i="107" s="1"/>
  <c r="F17" i="107" s="1"/>
  <c r="E17" i="107" s="1"/>
  <c r="D17" i="107" s="1"/>
  <c r="G17" i="107" s="1"/>
  <c r="F18" i="107" s="1"/>
  <c r="E18" i="107" l="1"/>
  <c r="D18" i="107" s="1"/>
  <c r="G18" i="107" s="1"/>
  <c r="F19" i="107" s="1"/>
  <c r="E19" i="107" s="1"/>
  <c r="D19" i="107" s="1"/>
  <c r="G19" i="107" s="1"/>
  <c r="F20" i="107" s="1"/>
  <c r="E20" i="107" s="1"/>
  <c r="D20" i="107" s="1"/>
  <c r="G20" i="107" s="1"/>
  <c r="F21" i="107" s="1"/>
  <c r="E21" i="107" s="1"/>
  <c r="D21" i="107" s="1"/>
  <c r="G21" i="107" s="1"/>
  <c r="F22" i="107" s="1"/>
  <c r="E22" i="107" s="1"/>
  <c r="D22" i="107" s="1"/>
  <c r="G22" i="107" s="1"/>
  <c r="F23" i="107" s="1"/>
  <c r="E23" i="107" s="1"/>
  <c r="D23" i="107" s="1"/>
  <c r="G23" i="107" s="1"/>
  <c r="F24" i="107" s="1"/>
  <c r="E24" i="107" l="1"/>
  <c r="D24" i="107" s="1"/>
  <c r="G24" i="107" s="1"/>
  <c r="F25" i="107" s="1"/>
  <c r="E25" i="107" s="1"/>
  <c r="D25" i="107" s="1"/>
  <c r="G25" i="107" s="1"/>
  <c r="F26" i="107" s="1"/>
  <c r="E26" i="107" s="1"/>
  <c r="D26" i="107" s="1"/>
  <c r="G26" i="107" s="1"/>
  <c r="F27" i="107" s="1"/>
  <c r="E27" i="107" s="1"/>
  <c r="D27" i="107" s="1"/>
  <c r="G27" i="107" s="1"/>
  <c r="F28" i="107" s="1"/>
  <c r="E28" i="107" s="1"/>
  <c r="D28" i="107" s="1"/>
  <c r="G28" i="107" s="1"/>
  <c r="F29" i="107" s="1"/>
  <c r="E29" i="107" s="1"/>
  <c r="D29" i="107" s="1"/>
  <c r="G29" i="107" s="1"/>
  <c r="F30" i="107" l="1"/>
  <c r="F46" i="107"/>
  <c r="E30" i="107" l="1"/>
  <c r="E46" i="107"/>
  <c r="D30" i="107" l="1"/>
  <c r="G30" i="107" s="1"/>
  <c r="F31" i="107" s="1"/>
  <c r="E31" i="107" s="1"/>
  <c r="D31" i="107" s="1"/>
  <c r="G31" i="107" s="1"/>
  <c r="F32" i="107" s="1"/>
  <c r="E32" i="107" s="1"/>
  <c r="D32" i="107" s="1"/>
  <c r="G32" i="107" s="1"/>
  <c r="F33" i="107" s="1"/>
  <c r="E33" i="107" s="1"/>
  <c r="D33" i="107" s="1"/>
  <c r="G33" i="107" s="1"/>
  <c r="F34" i="107" s="1"/>
  <c r="E34" i="107" s="1"/>
  <c r="D34" i="107" s="1"/>
  <c r="G34" i="107" s="1"/>
  <c r="F35" i="107" s="1"/>
  <c r="E35" i="107" s="1"/>
  <c r="D35" i="107" s="1"/>
  <c r="G35" i="107" s="1"/>
  <c r="F36" i="107" s="1"/>
  <c r="E36" i="107" s="1"/>
  <c r="D36" i="107" s="1"/>
  <c r="G36" i="107" s="1"/>
  <c r="F37" i="107" s="1"/>
  <c r="E37" i="107" s="1"/>
  <c r="D37" i="107" s="1"/>
  <c r="G37" i="107" s="1"/>
  <c r="F38" i="107" s="1"/>
  <c r="E38" i="107" s="1"/>
  <c r="D38" i="107" s="1"/>
  <c r="G38" i="107" s="1"/>
  <c r="F39" i="107" s="1"/>
  <c r="E39" i="107" s="1"/>
  <c r="D39" i="107" s="1"/>
  <c r="G39" i="107" s="1"/>
  <c r="F40" i="107" s="1"/>
  <c r="E40" i="107" s="1"/>
  <c r="D40" i="107" s="1"/>
  <c r="G40" i="107" s="1"/>
  <c r="F41" i="107" s="1"/>
  <c r="E41" i="107" s="1"/>
  <c r="D41" i="107" s="1"/>
  <c r="G41" i="107" s="1"/>
  <c r="F42" i="107" s="1"/>
  <c r="E42" i="107" s="1"/>
  <c r="D42" i="107" s="1"/>
  <c r="G42" i="107" s="1"/>
  <c r="F43" i="107" s="1"/>
  <c r="E43" i="107" s="1"/>
  <c r="D43" i="107" s="1"/>
  <c r="G43" i="107" s="1"/>
  <c r="F44" i="107" s="1"/>
  <c r="E44" i="107" s="1"/>
  <c r="D44" i="107" s="1"/>
  <c r="G44" i="107" s="1"/>
  <c r="F45" i="107" s="1"/>
  <c r="D45" i="107" s="1"/>
  <c r="G45" i="107" s="1"/>
  <c r="D46" i="107"/>
  <c r="G46" i="107" s="1"/>
  <c r="F47" i="107" s="1"/>
  <c r="E47" i="107" l="1"/>
  <c r="D47" i="107" s="1"/>
  <c r="G47" i="107" s="1"/>
  <c r="F48" i="107" s="1"/>
  <c r="E48" i="107" s="1"/>
  <c r="D48" i="107" s="1"/>
  <c r="G48" i="107" s="1"/>
  <c r="F49" i="107" s="1"/>
  <c r="E49" i="107" s="1"/>
  <c r="D49" i="107" s="1"/>
  <c r="G49" i="107" s="1"/>
  <c r="F50" i="107" s="1"/>
  <c r="E50" i="107" l="1"/>
  <c r="D50" i="107" s="1"/>
  <c r="G50" i="107" s="1"/>
  <c r="F51" i="107" s="1"/>
  <c r="E51" i="107" l="1"/>
  <c r="D51" i="107" s="1"/>
  <c r="G51" i="107" s="1"/>
  <c r="F52" i="107" s="1"/>
  <c r="E52" i="107" l="1"/>
  <c r="D52" i="107" s="1"/>
  <c r="G52" i="107" s="1"/>
  <c r="F53" i="107" s="1"/>
  <c r="E53" i="107" l="1"/>
  <c r="D53" i="107" s="1"/>
  <c r="G53" i="107" s="1"/>
  <c r="F54" i="107" s="1"/>
  <c r="E54" i="107" l="1"/>
  <c r="D54" i="107" s="1"/>
  <c r="G54" i="107" s="1"/>
  <c r="F55" i="107" s="1"/>
  <c r="E55" i="107" l="1"/>
  <c r="D55" i="107" s="1"/>
  <c r="G55" i="107" s="1"/>
  <c r="F56" i="107" s="1"/>
  <c r="E56" i="107" l="1"/>
  <c r="D56" i="107" s="1"/>
  <c r="G56" i="107" s="1"/>
  <c r="F57" i="107" s="1"/>
  <c r="E57" i="107" l="1"/>
  <c r="D57" i="107" s="1"/>
  <c r="G57" i="107" s="1"/>
  <c r="F58" i="107" s="1"/>
  <c r="E58" i="107" l="1"/>
  <c r="D58" i="107" s="1"/>
  <c r="G58" i="107" s="1"/>
  <c r="F59" i="107" s="1"/>
  <c r="E59" i="107" l="1"/>
  <c r="D59" i="107" s="1"/>
  <c r="G59" i="107" s="1"/>
  <c r="F60" i="107" s="1"/>
  <c r="E60" i="107" l="1"/>
  <c r="D60" i="107" s="1"/>
  <c r="G60" i="107" s="1"/>
  <c r="F61" i="107" s="1"/>
  <c r="D61" i="107" l="1"/>
  <c r="G61" i="107" s="1"/>
  <c r="J2" i="102" l="1"/>
  <c r="C67" i="102" s="1"/>
  <c r="B72" i="102"/>
  <c r="B73" i="102"/>
  <c r="C73" i="102"/>
  <c r="B74" i="102"/>
  <c r="B75" i="102"/>
  <c r="B76" i="102"/>
  <c r="C76" i="102"/>
  <c r="B77" i="102"/>
  <c r="C77" i="102"/>
  <c r="B78" i="102"/>
  <c r="B79" i="102"/>
  <c r="B80" i="102"/>
  <c r="C80" i="102"/>
  <c r="B81" i="102"/>
  <c r="C81" i="102"/>
  <c r="B82" i="102"/>
  <c r="B83" i="102"/>
  <c r="C65" i="102"/>
  <c r="C62" i="102"/>
  <c r="C57" i="102"/>
  <c r="C58" i="102"/>
  <c r="C59" i="102"/>
  <c r="C60" i="102"/>
  <c r="C61" i="102"/>
  <c r="C56" i="102"/>
  <c r="N1" i="102"/>
  <c r="H1" i="102"/>
  <c r="C44" i="102" s="1"/>
  <c r="B71" i="102"/>
  <c r="B39" i="102"/>
  <c r="D1" i="102"/>
  <c r="C39" i="102" s="1"/>
  <c r="D39" i="102" s="1"/>
  <c r="B4" i="102"/>
  <c r="B40" i="102"/>
  <c r="B70" i="102"/>
  <c r="B69" i="102"/>
  <c r="B68" i="102"/>
  <c r="B67" i="102"/>
  <c r="B66" i="102"/>
  <c r="B65" i="102"/>
  <c r="B64" i="102"/>
  <c r="B63" i="102"/>
  <c r="B62" i="102"/>
  <c r="B61" i="102"/>
  <c r="B60" i="102"/>
  <c r="B59" i="102"/>
  <c r="B58" i="102"/>
  <c r="B57" i="102"/>
  <c r="B56" i="102"/>
  <c r="B55" i="102"/>
  <c r="B54" i="102"/>
  <c r="B53" i="102"/>
  <c r="B52" i="102"/>
  <c r="B51" i="102"/>
  <c r="B50" i="102"/>
  <c r="B49" i="102"/>
  <c r="B48" i="102"/>
  <c r="B47" i="102"/>
  <c r="B46" i="102"/>
  <c r="B45" i="102"/>
  <c r="B44" i="102"/>
  <c r="B43" i="102"/>
  <c r="B42" i="102"/>
  <c r="B41" i="102"/>
  <c r="J2" i="101"/>
  <c r="C77" i="101" s="1"/>
  <c r="N1" i="101"/>
  <c r="C52" i="101" s="1"/>
  <c r="B83" i="101"/>
  <c r="B72" i="101"/>
  <c r="C72" i="101"/>
  <c r="B73" i="101"/>
  <c r="C73" i="101"/>
  <c r="B74" i="101"/>
  <c r="B75" i="101"/>
  <c r="B76" i="101"/>
  <c r="B77" i="101"/>
  <c r="B78" i="101"/>
  <c r="B79" i="101"/>
  <c r="B80" i="101"/>
  <c r="B81" i="101"/>
  <c r="B82" i="101"/>
  <c r="C57" i="101"/>
  <c r="C58" i="101"/>
  <c r="C59" i="101"/>
  <c r="C60" i="101"/>
  <c r="C61" i="101"/>
  <c r="C62" i="101"/>
  <c r="C63" i="101"/>
  <c r="C64" i="101"/>
  <c r="C65" i="101"/>
  <c r="C66" i="101"/>
  <c r="C67" i="101"/>
  <c r="C68" i="101"/>
  <c r="C69" i="101"/>
  <c r="C70" i="101"/>
  <c r="C71" i="101"/>
  <c r="C56" i="101"/>
  <c r="H1" i="101"/>
  <c r="C44" i="101" s="1"/>
  <c r="B71" i="101"/>
  <c r="C66" i="102" l="1"/>
  <c r="C64" i="102"/>
  <c r="C69" i="102"/>
  <c r="C72" i="102"/>
  <c r="C71" i="102"/>
  <c r="C63" i="102"/>
  <c r="C70" i="102"/>
  <c r="C83" i="102"/>
  <c r="C79" i="102"/>
  <c r="C75" i="102"/>
  <c r="C68" i="102"/>
  <c r="C82" i="102"/>
  <c r="C78" i="102"/>
  <c r="C74" i="102"/>
  <c r="C49" i="102"/>
  <c r="C55" i="102"/>
  <c r="C53" i="102"/>
  <c r="C54" i="102"/>
  <c r="C52" i="102"/>
  <c r="C51" i="102"/>
  <c r="C43" i="102"/>
  <c r="C50" i="102"/>
  <c r="C48" i="102"/>
  <c r="C42" i="102"/>
  <c r="C47" i="102"/>
  <c r="C46" i="102"/>
  <c r="C45" i="102"/>
  <c r="C41" i="102"/>
  <c r="C80" i="101"/>
  <c r="C74" i="101"/>
  <c r="C76" i="101"/>
  <c r="C83" i="101"/>
  <c r="C75" i="101"/>
  <c r="C82" i="101"/>
  <c r="C81" i="101"/>
  <c r="C79" i="101"/>
  <c r="C78" i="101"/>
  <c r="C55" i="101"/>
  <c r="C51" i="101"/>
  <c r="C50" i="101"/>
  <c r="C49" i="101"/>
  <c r="C48" i="101"/>
  <c r="C54" i="101"/>
  <c r="C53" i="101"/>
  <c r="C46" i="101"/>
  <c r="C43" i="101"/>
  <c r="C42" i="101"/>
  <c r="C47" i="101"/>
  <c r="C45" i="101"/>
  <c r="B39" i="101"/>
  <c r="D1" i="101"/>
  <c r="C39" i="101" s="1"/>
  <c r="B5" i="101"/>
  <c r="B4" i="101"/>
  <c r="E4" i="101" s="1"/>
  <c r="B40" i="101"/>
  <c r="B70" i="101"/>
  <c r="B69" i="101"/>
  <c r="B68" i="101"/>
  <c r="B67" i="101"/>
  <c r="B66" i="101"/>
  <c r="B65" i="101"/>
  <c r="B64" i="101"/>
  <c r="B63" i="101"/>
  <c r="B62" i="101"/>
  <c r="B61" i="101"/>
  <c r="B60" i="101"/>
  <c r="B59" i="101"/>
  <c r="B58" i="101"/>
  <c r="B57" i="101"/>
  <c r="B56" i="101"/>
  <c r="B55" i="101"/>
  <c r="B54" i="101"/>
  <c r="B53" i="101"/>
  <c r="B52" i="101"/>
  <c r="B51" i="101"/>
  <c r="B50" i="101"/>
  <c r="B49" i="101"/>
  <c r="B48" i="101"/>
  <c r="B47" i="101"/>
  <c r="B46" i="101"/>
  <c r="B45" i="101"/>
  <c r="B44" i="101"/>
  <c r="B43" i="101"/>
  <c r="B42" i="101"/>
  <c r="B41" i="101"/>
  <c r="B38" i="102"/>
  <c r="B37" i="102"/>
  <c r="B36" i="102"/>
  <c r="B35" i="102"/>
  <c r="B34" i="102"/>
  <c r="B33" i="102"/>
  <c r="B32" i="102"/>
  <c r="B31" i="102"/>
  <c r="B30" i="102"/>
  <c r="B29" i="102"/>
  <c r="B28" i="102"/>
  <c r="B27" i="102"/>
  <c r="B26" i="102"/>
  <c r="B25" i="102"/>
  <c r="B24" i="102"/>
  <c r="B23" i="102"/>
  <c r="B22" i="102"/>
  <c r="B21" i="102"/>
  <c r="B20" i="102"/>
  <c r="B19" i="102"/>
  <c r="B18" i="102"/>
  <c r="B17" i="102"/>
  <c r="B16" i="102"/>
  <c r="B15" i="102"/>
  <c r="B14" i="102"/>
  <c r="B13" i="102"/>
  <c r="B12" i="102"/>
  <c r="B11" i="102"/>
  <c r="B10" i="102"/>
  <c r="B9" i="102"/>
  <c r="B8" i="102"/>
  <c r="B7" i="102"/>
  <c r="B6" i="102"/>
  <c r="B5" i="102"/>
  <c r="B38" i="101"/>
  <c r="B37" i="101"/>
  <c r="B36" i="101"/>
  <c r="B35" i="101"/>
  <c r="B34" i="101"/>
  <c r="B33" i="101"/>
  <c r="B32" i="101"/>
  <c r="B31" i="101"/>
  <c r="B30" i="101"/>
  <c r="B29" i="101"/>
  <c r="B28" i="101"/>
  <c r="B27" i="101"/>
  <c r="B26" i="101"/>
  <c r="B25" i="101"/>
  <c r="B24" i="101"/>
  <c r="B23" i="101"/>
  <c r="B22" i="101"/>
  <c r="B21" i="101"/>
  <c r="B20" i="101"/>
  <c r="B19" i="101"/>
  <c r="B18" i="101"/>
  <c r="B17" i="101"/>
  <c r="B16" i="101"/>
  <c r="B15" i="101"/>
  <c r="B14" i="101"/>
  <c r="B13" i="101"/>
  <c r="B12" i="101"/>
  <c r="B11" i="101"/>
  <c r="B10" i="101"/>
  <c r="B9" i="101"/>
  <c r="B8" i="101"/>
  <c r="B7" i="101"/>
  <c r="B6" i="101"/>
  <c r="E4" i="102" l="1"/>
  <c r="C38" i="102"/>
  <c r="C40" i="102"/>
  <c r="H4" i="102"/>
  <c r="C4" i="101"/>
  <c r="D4" i="101" s="1"/>
  <c r="G4" i="101" s="1"/>
  <c r="F5" i="101" s="1"/>
  <c r="E5" i="101" s="1"/>
  <c r="C41" i="101"/>
  <c r="C5" i="101"/>
  <c r="H4" i="101"/>
  <c r="I4" i="101" s="1"/>
  <c r="C40" i="101"/>
  <c r="C4" i="102"/>
  <c r="C5" i="102"/>
  <c r="C6" i="102"/>
  <c r="C7" i="102"/>
  <c r="C8" i="102"/>
  <c r="C9" i="102"/>
  <c r="C10" i="102"/>
  <c r="C11" i="102"/>
  <c r="C12" i="102"/>
  <c r="C13" i="102"/>
  <c r="C14" i="102"/>
  <c r="C15" i="102"/>
  <c r="C16" i="102"/>
  <c r="C17" i="102"/>
  <c r="C18" i="102"/>
  <c r="C19" i="102"/>
  <c r="C20" i="102"/>
  <c r="C21" i="102"/>
  <c r="C22" i="102"/>
  <c r="C23" i="102"/>
  <c r="C24" i="102"/>
  <c r="C25" i="102"/>
  <c r="C26" i="102"/>
  <c r="C27" i="102"/>
  <c r="C28" i="102"/>
  <c r="C29" i="102"/>
  <c r="C30" i="102"/>
  <c r="C31" i="102"/>
  <c r="C32" i="102"/>
  <c r="C33" i="102"/>
  <c r="C34" i="102"/>
  <c r="C35" i="102"/>
  <c r="C36" i="102"/>
  <c r="C37" i="102"/>
  <c r="C6" i="101"/>
  <c r="C7" i="101"/>
  <c r="C8" i="101"/>
  <c r="C9" i="101"/>
  <c r="C10" i="101"/>
  <c r="C11" i="101"/>
  <c r="C12" i="101"/>
  <c r="C13" i="101"/>
  <c r="C14" i="101"/>
  <c r="C15" i="101"/>
  <c r="C16" i="101"/>
  <c r="C17" i="101"/>
  <c r="C18" i="101"/>
  <c r="C19" i="101"/>
  <c r="C20" i="101"/>
  <c r="C21" i="101"/>
  <c r="C22" i="101"/>
  <c r="C23" i="101"/>
  <c r="C24" i="101"/>
  <c r="C25" i="101"/>
  <c r="C26" i="101"/>
  <c r="C27" i="101"/>
  <c r="C28" i="101"/>
  <c r="C29" i="101"/>
  <c r="C30" i="101"/>
  <c r="C31" i="101"/>
  <c r="C32" i="101"/>
  <c r="C33" i="101"/>
  <c r="C34" i="101"/>
  <c r="C35" i="101"/>
  <c r="C36" i="101"/>
  <c r="C37" i="101"/>
  <c r="C38" i="101"/>
  <c r="I4" i="102" l="1"/>
  <c r="D4" i="102"/>
  <c r="G4" i="102" s="1"/>
  <c r="F5" i="102" s="1"/>
  <c r="E5" i="102" s="1"/>
  <c r="D5" i="102" s="1"/>
  <c r="G5" i="102" s="1"/>
  <c r="F6" i="102" s="1"/>
  <c r="D5" i="101"/>
  <c r="G5" i="101" s="1"/>
  <c r="H5" i="102" l="1"/>
  <c r="I5" i="102" s="1"/>
  <c r="F6" i="101"/>
  <c r="H6" i="101" s="1"/>
  <c r="E6" i="102"/>
  <c r="D6" i="102" s="1"/>
  <c r="G6" i="102" s="1"/>
  <c r="F7" i="102" s="1"/>
  <c r="H6" i="102"/>
  <c r="I6" i="102" l="1"/>
  <c r="E6" i="101"/>
  <c r="D6" i="101" s="1"/>
  <c r="G6" i="101" s="1"/>
  <c r="F7" i="101" s="1"/>
  <c r="H7" i="101" s="1"/>
  <c r="E7" i="102"/>
  <c r="D7" i="102" s="1"/>
  <c r="G7" i="102" s="1"/>
  <c r="H7" i="102"/>
  <c r="F8" i="102" l="1"/>
  <c r="E40" i="102" s="1"/>
  <c r="F40" i="102"/>
  <c r="I6" i="101"/>
  <c r="E7" i="101"/>
  <c r="D7" i="101" s="1"/>
  <c r="G7" i="101" s="1"/>
  <c r="F8" i="101" s="1"/>
  <c r="E40" i="101" s="1"/>
  <c r="D40" i="101" s="1"/>
  <c r="I7" i="102"/>
  <c r="H8" i="102" l="1"/>
  <c r="H40" i="102"/>
  <c r="I40" i="102" s="1"/>
  <c r="E8" i="102"/>
  <c r="I7" i="101"/>
  <c r="F40" i="101"/>
  <c r="H40" i="101" s="1"/>
  <c r="I40" i="101" s="1"/>
  <c r="E8" i="101"/>
  <c r="D8" i="101" s="1"/>
  <c r="G8" i="101" s="1"/>
  <c r="F9" i="101" s="1"/>
  <c r="H9" i="101" s="1"/>
  <c r="H8" i="101"/>
  <c r="I8" i="102" l="1"/>
  <c r="D8" i="102"/>
  <c r="G8" i="102" s="1"/>
  <c r="F9" i="102" s="1"/>
  <c r="D40" i="102"/>
  <c r="G40" i="102" s="1"/>
  <c r="F41" i="102" s="1"/>
  <c r="G40" i="101"/>
  <c r="F41" i="101" s="1"/>
  <c r="E41" i="101" s="1"/>
  <c r="D41" i="101" s="1"/>
  <c r="G41" i="101" s="1"/>
  <c r="F42" i="101" s="1"/>
  <c r="E42" i="101" s="1"/>
  <c r="D42" i="101" s="1"/>
  <c r="G42" i="101" s="1"/>
  <c r="F43" i="101" s="1"/>
  <c r="E43" i="101" s="1"/>
  <c r="D43" i="101" s="1"/>
  <c r="G43" i="101" s="1"/>
  <c r="F44" i="101" s="1"/>
  <c r="E44" i="101" s="1"/>
  <c r="D44" i="101" s="1"/>
  <c r="G44" i="101" s="1"/>
  <c r="F45" i="101" s="1"/>
  <c r="E45" i="101" s="1"/>
  <c r="D45" i="101" s="1"/>
  <c r="G45" i="101" s="1"/>
  <c r="F46" i="101" s="1"/>
  <c r="E46" i="101" s="1"/>
  <c r="D46" i="101" s="1"/>
  <c r="G46" i="101" s="1"/>
  <c r="I8" i="101"/>
  <c r="E9" i="101"/>
  <c r="D9" i="101" s="1"/>
  <c r="G9" i="101" s="1"/>
  <c r="F10" i="101" s="1"/>
  <c r="H10" i="101" s="1"/>
  <c r="E9" i="102" l="1"/>
  <c r="D9" i="102" s="1"/>
  <c r="G9" i="102" s="1"/>
  <c r="F10" i="102" s="1"/>
  <c r="H9" i="102"/>
  <c r="E41" i="102"/>
  <c r="D41" i="102" s="1"/>
  <c r="G41" i="102" s="1"/>
  <c r="F42" i="102" s="1"/>
  <c r="E42" i="102" s="1"/>
  <c r="D42" i="102" s="1"/>
  <c r="G42" i="102" s="1"/>
  <c r="F43" i="102" s="1"/>
  <c r="E43" i="102" s="1"/>
  <c r="D43" i="102" s="1"/>
  <c r="G43" i="102" s="1"/>
  <c r="F44" i="102" s="1"/>
  <c r="E44" i="102" s="1"/>
  <c r="D44" i="102" s="1"/>
  <c r="G44" i="102" s="1"/>
  <c r="F45" i="102" s="1"/>
  <c r="E45" i="102" s="1"/>
  <c r="D45" i="102" s="1"/>
  <c r="G45" i="102" s="1"/>
  <c r="F46" i="102" s="1"/>
  <c r="E46" i="102" s="1"/>
  <c r="D46" i="102" s="1"/>
  <c r="G46" i="102" s="1"/>
  <c r="F47" i="102" s="1"/>
  <c r="E47" i="102" s="1"/>
  <c r="D47" i="102" s="1"/>
  <c r="G47" i="102" s="1"/>
  <c r="H41" i="102"/>
  <c r="F47" i="101"/>
  <c r="E47" i="101" s="1"/>
  <c r="D47" i="101" s="1"/>
  <c r="G47" i="101" s="1"/>
  <c r="I9" i="101"/>
  <c r="E10" i="101"/>
  <c r="D10" i="101" s="1"/>
  <c r="G10" i="101" s="1"/>
  <c r="F11" i="101" s="1"/>
  <c r="H11" i="101" s="1"/>
  <c r="F48" i="102" l="1"/>
  <c r="E48" i="102" s="1"/>
  <c r="D48" i="102" s="1"/>
  <c r="G48" i="102" s="1"/>
  <c r="F49" i="102" s="1"/>
  <c r="I9" i="102"/>
  <c r="H42" i="102"/>
  <c r="E10" i="102"/>
  <c r="D10" i="102" s="1"/>
  <c r="G10" i="102" s="1"/>
  <c r="F11" i="102" s="1"/>
  <c r="H10" i="102"/>
  <c r="I41" i="102"/>
  <c r="F48" i="101"/>
  <c r="E48" i="101" s="1"/>
  <c r="D48" i="101" s="1"/>
  <c r="G48" i="101" s="1"/>
  <c r="F49" i="101" s="1"/>
  <c r="E49" i="101" s="1"/>
  <c r="D49" i="101" s="1"/>
  <c r="G49" i="101" s="1"/>
  <c r="F50" i="101" s="1"/>
  <c r="E50" i="101" s="1"/>
  <c r="D50" i="101" s="1"/>
  <c r="G50" i="101" s="1"/>
  <c r="F51" i="101" s="1"/>
  <c r="E51" i="101" s="1"/>
  <c r="D51" i="101" s="1"/>
  <c r="G51" i="101" s="1"/>
  <c r="F52" i="101" s="1"/>
  <c r="I10" i="101"/>
  <c r="E11" i="101"/>
  <c r="D11" i="101" s="1"/>
  <c r="G11" i="101" s="1"/>
  <c r="F12" i="101" s="1"/>
  <c r="H12" i="101" s="1"/>
  <c r="E49" i="102" l="1"/>
  <c r="D49" i="102" s="1"/>
  <c r="G49" i="102" s="1"/>
  <c r="F50" i="102" s="1"/>
  <c r="E50" i="102" s="1"/>
  <c r="D50" i="102" s="1"/>
  <c r="G50" i="102" s="1"/>
  <c r="F51" i="102" s="1"/>
  <c r="H43" i="102"/>
  <c r="H11" i="102"/>
  <c r="E11" i="102"/>
  <c r="D11" i="102" s="1"/>
  <c r="G11" i="102" s="1"/>
  <c r="F12" i="102" s="1"/>
  <c r="I10" i="102"/>
  <c r="I42" i="102"/>
  <c r="E52" i="101"/>
  <c r="D52" i="101" s="1"/>
  <c r="G52" i="101" s="1"/>
  <c r="F53" i="101" s="1"/>
  <c r="I11" i="101"/>
  <c r="E12" i="101"/>
  <c r="D12" i="101" s="1"/>
  <c r="G12" i="101" s="1"/>
  <c r="F13" i="101" s="1"/>
  <c r="E13" i="101" s="1"/>
  <c r="D13" i="101" s="1"/>
  <c r="G13" i="101" s="1"/>
  <c r="F14" i="101" s="1"/>
  <c r="E51" i="102" l="1"/>
  <c r="D51" i="102" s="1"/>
  <c r="G51" i="102" s="1"/>
  <c r="F52" i="102" s="1"/>
  <c r="H44" i="102"/>
  <c r="I11" i="102"/>
  <c r="E12" i="102"/>
  <c r="D12" i="102" s="1"/>
  <c r="G12" i="102" s="1"/>
  <c r="F13" i="102" s="1"/>
  <c r="H12" i="102"/>
  <c r="I43" i="102"/>
  <c r="E53" i="101"/>
  <c r="D53" i="101" s="1"/>
  <c r="G53" i="101" s="1"/>
  <c r="F54" i="101" s="1"/>
  <c r="I12" i="101"/>
  <c r="H13" i="101"/>
  <c r="I13" i="101" s="1"/>
  <c r="H14" i="101"/>
  <c r="E14" i="101"/>
  <c r="D14" i="101" s="1"/>
  <c r="G14" i="101" s="1"/>
  <c r="F15" i="101" s="1"/>
  <c r="E52" i="102" l="1"/>
  <c r="D52" i="102" s="1"/>
  <c r="G52" i="102" s="1"/>
  <c r="F53" i="102" s="1"/>
  <c r="I12" i="102"/>
  <c r="E13" i="102"/>
  <c r="D13" i="102" s="1"/>
  <c r="G13" i="102" s="1"/>
  <c r="F14" i="102" s="1"/>
  <c r="H13" i="102"/>
  <c r="H45" i="102"/>
  <c r="I44" i="102"/>
  <c r="E54" i="101"/>
  <c r="D54" i="101" s="1"/>
  <c r="G54" i="101" s="1"/>
  <c r="F55" i="101" s="1"/>
  <c r="H15" i="101"/>
  <c r="E15" i="101"/>
  <c r="D15" i="101" s="1"/>
  <c r="G15" i="101" s="1"/>
  <c r="F16" i="101" s="1"/>
  <c r="I14" i="101"/>
  <c r="E53" i="102" l="1"/>
  <c r="D53" i="102" s="1"/>
  <c r="G53" i="102" s="1"/>
  <c r="F54" i="102" s="1"/>
  <c r="I45" i="102"/>
  <c r="H46" i="102"/>
  <c r="I13" i="102"/>
  <c r="H14" i="102"/>
  <c r="E14" i="102"/>
  <c r="D14" i="102" s="1"/>
  <c r="G14" i="102" s="1"/>
  <c r="F15" i="102" s="1"/>
  <c r="E55" i="101"/>
  <c r="D55" i="101" s="1"/>
  <c r="G55" i="101" s="1"/>
  <c r="F56" i="101" s="1"/>
  <c r="H16" i="101"/>
  <c r="E16" i="101"/>
  <c r="D16" i="101" s="1"/>
  <c r="G16" i="101" s="1"/>
  <c r="F17" i="101" s="1"/>
  <c r="I15" i="101"/>
  <c r="E54" i="102" l="1"/>
  <c r="D54" i="102" s="1"/>
  <c r="G54" i="102" s="1"/>
  <c r="F55" i="102" s="1"/>
  <c r="I14" i="102"/>
  <c r="E15" i="102"/>
  <c r="D15" i="102" s="1"/>
  <c r="G15" i="102" s="1"/>
  <c r="F16" i="102" s="1"/>
  <c r="H15" i="102"/>
  <c r="I46" i="102"/>
  <c r="H47" i="102"/>
  <c r="E56" i="101"/>
  <c r="D56" i="101" s="1"/>
  <c r="G56" i="101" s="1"/>
  <c r="F57" i="101" s="1"/>
  <c r="H17" i="101"/>
  <c r="E17" i="101"/>
  <c r="D17" i="101" s="1"/>
  <c r="G17" i="101" s="1"/>
  <c r="F18" i="101" s="1"/>
  <c r="I16" i="101"/>
  <c r="E55" i="102" l="1"/>
  <c r="D55" i="102" s="1"/>
  <c r="G55" i="102" s="1"/>
  <c r="F56" i="102" s="1"/>
  <c r="I47" i="102"/>
  <c r="E16" i="102"/>
  <c r="D16" i="102" s="1"/>
  <c r="G16" i="102" s="1"/>
  <c r="F17" i="102" s="1"/>
  <c r="H16" i="102"/>
  <c r="H48" i="102"/>
  <c r="I15" i="102"/>
  <c r="E57" i="101"/>
  <c r="D57" i="101" s="1"/>
  <c r="G57" i="101" s="1"/>
  <c r="F58" i="101" s="1"/>
  <c r="H18" i="101"/>
  <c r="E18" i="101"/>
  <c r="D18" i="101" s="1"/>
  <c r="G18" i="101" s="1"/>
  <c r="F19" i="101" s="1"/>
  <c r="I17" i="101"/>
  <c r="E56" i="102" l="1"/>
  <c r="D56" i="102" s="1"/>
  <c r="G56" i="102" s="1"/>
  <c r="F57" i="102" s="1"/>
  <c r="I16" i="102"/>
  <c r="E17" i="102"/>
  <c r="D17" i="102" s="1"/>
  <c r="G17" i="102" s="1"/>
  <c r="F18" i="102" s="1"/>
  <c r="H17" i="102"/>
  <c r="E58" i="101"/>
  <c r="D58" i="101" s="1"/>
  <c r="G58" i="101" s="1"/>
  <c r="F59" i="101" s="1"/>
  <c r="H19" i="101"/>
  <c r="E19" i="101"/>
  <c r="D19" i="101" s="1"/>
  <c r="G19" i="101" s="1"/>
  <c r="F20" i="101" s="1"/>
  <c r="I18" i="101"/>
  <c r="E57" i="102" l="1"/>
  <c r="D57" i="102" s="1"/>
  <c r="G57" i="102" s="1"/>
  <c r="F58" i="102" s="1"/>
  <c r="I17" i="102"/>
  <c r="E18" i="102"/>
  <c r="D18" i="102" s="1"/>
  <c r="G18" i="102" s="1"/>
  <c r="F19" i="102" s="1"/>
  <c r="H18" i="102"/>
  <c r="H49" i="102"/>
  <c r="I48" i="102"/>
  <c r="E59" i="101"/>
  <c r="D59" i="101" s="1"/>
  <c r="G59" i="101" s="1"/>
  <c r="F60" i="101" s="1"/>
  <c r="H20" i="101"/>
  <c r="E20" i="101"/>
  <c r="D20" i="101" s="1"/>
  <c r="G20" i="101" s="1"/>
  <c r="F21" i="101" s="1"/>
  <c r="I19" i="101"/>
  <c r="E58" i="102" l="1"/>
  <c r="D58" i="102" s="1"/>
  <c r="G58" i="102" s="1"/>
  <c r="F59" i="102" s="1"/>
  <c r="I49" i="102"/>
  <c r="H50" i="102"/>
  <c r="I18" i="102"/>
  <c r="E19" i="102"/>
  <c r="D19" i="102" s="1"/>
  <c r="G19" i="102" s="1"/>
  <c r="F20" i="102" s="1"/>
  <c r="H19" i="102"/>
  <c r="E60" i="101"/>
  <c r="D60" i="101" s="1"/>
  <c r="G60" i="101" s="1"/>
  <c r="F61" i="101" s="1"/>
  <c r="H21" i="101"/>
  <c r="E21" i="101"/>
  <c r="D21" i="101" s="1"/>
  <c r="G21" i="101" s="1"/>
  <c r="F22" i="101" s="1"/>
  <c r="I20" i="101"/>
  <c r="E59" i="102" l="1"/>
  <c r="D59" i="102" s="1"/>
  <c r="G59" i="102" s="1"/>
  <c r="F60" i="102" s="1"/>
  <c r="I50" i="102"/>
  <c r="I19" i="102"/>
  <c r="E20" i="102"/>
  <c r="D20" i="102" s="1"/>
  <c r="G20" i="102" s="1"/>
  <c r="F21" i="102" s="1"/>
  <c r="H20" i="102"/>
  <c r="H51" i="102"/>
  <c r="E61" i="101"/>
  <c r="D61" i="101" s="1"/>
  <c r="G61" i="101" s="1"/>
  <c r="F62" i="101" s="1"/>
  <c r="I21" i="101"/>
  <c r="H22" i="101"/>
  <c r="E22" i="101"/>
  <c r="D22" i="101" s="1"/>
  <c r="G22" i="101" s="1"/>
  <c r="F23" i="101" s="1"/>
  <c r="E60" i="102" l="1"/>
  <c r="D60" i="102" s="1"/>
  <c r="G60" i="102" s="1"/>
  <c r="F61" i="102" s="1"/>
  <c r="I51" i="102"/>
  <c r="E21" i="102"/>
  <c r="D21" i="102" s="1"/>
  <c r="G21" i="102" s="1"/>
  <c r="F22" i="102" s="1"/>
  <c r="H21" i="102"/>
  <c r="H52" i="102"/>
  <c r="I20" i="102"/>
  <c r="E62" i="101"/>
  <c r="D62" i="101" s="1"/>
  <c r="G62" i="101" s="1"/>
  <c r="F63" i="101" s="1"/>
  <c r="H23" i="101"/>
  <c r="E23" i="101"/>
  <c r="D23" i="101" s="1"/>
  <c r="G23" i="101" s="1"/>
  <c r="F24" i="101" s="1"/>
  <c r="I22" i="101"/>
  <c r="E61" i="102" l="1"/>
  <c r="D61" i="102" s="1"/>
  <c r="G61" i="102" s="1"/>
  <c r="F62" i="102" s="1"/>
  <c r="I52" i="102"/>
  <c r="H53" i="102"/>
  <c r="I21" i="102"/>
  <c r="E22" i="102"/>
  <c r="D22" i="102" s="1"/>
  <c r="G22" i="102" s="1"/>
  <c r="F23" i="102" s="1"/>
  <c r="H22" i="102"/>
  <c r="E63" i="101"/>
  <c r="D63" i="101" s="1"/>
  <c r="G63" i="101" s="1"/>
  <c r="F64" i="101" s="1"/>
  <c r="I23" i="101"/>
  <c r="H24" i="101"/>
  <c r="E24" i="101"/>
  <c r="D24" i="101" s="1"/>
  <c r="G24" i="101" s="1"/>
  <c r="F25" i="101" s="1"/>
  <c r="E62" i="102" l="1"/>
  <c r="D62" i="102" s="1"/>
  <c r="G62" i="102" s="1"/>
  <c r="F63" i="102" s="1"/>
  <c r="I22" i="102"/>
  <c r="E23" i="102"/>
  <c r="D23" i="102" s="1"/>
  <c r="G23" i="102" s="1"/>
  <c r="F24" i="102" s="1"/>
  <c r="H23" i="102"/>
  <c r="I53" i="102"/>
  <c r="H54" i="102"/>
  <c r="E64" i="101"/>
  <c r="D64" i="101" s="1"/>
  <c r="G64" i="101" s="1"/>
  <c r="F65" i="101" s="1"/>
  <c r="I24" i="101"/>
  <c r="H25" i="101"/>
  <c r="E25" i="101"/>
  <c r="D25" i="101" s="1"/>
  <c r="G25" i="101" s="1"/>
  <c r="F26" i="101" s="1"/>
  <c r="E63" i="102" l="1"/>
  <c r="D63" i="102" s="1"/>
  <c r="G63" i="102" s="1"/>
  <c r="F64" i="102" s="1"/>
  <c r="I23" i="102"/>
  <c r="I54" i="102"/>
  <c r="H55" i="102"/>
  <c r="H24" i="102"/>
  <c r="E24" i="102"/>
  <c r="D24" i="102" s="1"/>
  <c r="G24" i="102" s="1"/>
  <c r="F25" i="102" s="1"/>
  <c r="E65" i="101"/>
  <c r="D65" i="101" s="1"/>
  <c r="G65" i="101" s="1"/>
  <c r="F66" i="101" s="1"/>
  <c r="H26" i="101"/>
  <c r="E26" i="101"/>
  <c r="D26" i="101" s="1"/>
  <c r="G26" i="101" s="1"/>
  <c r="F27" i="101" s="1"/>
  <c r="I25" i="101"/>
  <c r="E64" i="102" l="1"/>
  <c r="D64" i="102" s="1"/>
  <c r="G64" i="102" s="1"/>
  <c r="F65" i="102" s="1"/>
  <c r="I55" i="102"/>
  <c r="E25" i="102"/>
  <c r="D25" i="102" s="1"/>
  <c r="G25" i="102" s="1"/>
  <c r="F26" i="102" s="1"/>
  <c r="H25" i="102"/>
  <c r="I24" i="102"/>
  <c r="H56" i="102"/>
  <c r="E66" i="101"/>
  <c r="D66" i="101" s="1"/>
  <c r="G66" i="101" s="1"/>
  <c r="F67" i="101" s="1"/>
  <c r="H27" i="101"/>
  <c r="E27" i="101"/>
  <c r="D27" i="101" s="1"/>
  <c r="G27" i="101" s="1"/>
  <c r="F28" i="101" s="1"/>
  <c r="I26" i="101"/>
  <c r="E65" i="102" l="1"/>
  <c r="D65" i="102" s="1"/>
  <c r="G65" i="102" s="1"/>
  <c r="F66" i="102" s="1"/>
  <c r="I56" i="102"/>
  <c r="I25" i="102"/>
  <c r="H57" i="102"/>
  <c r="H26" i="102"/>
  <c r="E26" i="102"/>
  <c r="D26" i="102" s="1"/>
  <c r="G26" i="102" s="1"/>
  <c r="F27" i="102" s="1"/>
  <c r="E67" i="101"/>
  <c r="D67" i="101" s="1"/>
  <c r="G67" i="101" s="1"/>
  <c r="F68" i="101" s="1"/>
  <c r="H28" i="101"/>
  <c r="E28" i="101"/>
  <c r="D28" i="101" s="1"/>
  <c r="G28" i="101" s="1"/>
  <c r="F29" i="101" s="1"/>
  <c r="I27" i="101"/>
  <c r="E66" i="102" l="1"/>
  <c r="D66" i="102" s="1"/>
  <c r="G66" i="102" s="1"/>
  <c r="F67" i="102" s="1"/>
  <c r="I57" i="102"/>
  <c r="H27" i="102"/>
  <c r="E27" i="102"/>
  <c r="D27" i="102" s="1"/>
  <c r="G27" i="102" s="1"/>
  <c r="F28" i="102" s="1"/>
  <c r="I26" i="102"/>
  <c r="H58" i="102"/>
  <c r="E68" i="101"/>
  <c r="D68" i="101" s="1"/>
  <c r="G68" i="101" s="1"/>
  <c r="F69" i="101" s="1"/>
  <c r="H29" i="101"/>
  <c r="E29" i="101"/>
  <c r="D29" i="101" s="1"/>
  <c r="G29" i="101" s="1"/>
  <c r="F30" i="101" s="1"/>
  <c r="I28" i="101"/>
  <c r="E67" i="102" l="1"/>
  <c r="D67" i="102" s="1"/>
  <c r="G67" i="102" s="1"/>
  <c r="F68" i="102" s="1"/>
  <c r="I27" i="102"/>
  <c r="I58" i="102"/>
  <c r="H59" i="102"/>
  <c r="H28" i="102"/>
  <c r="E28" i="102"/>
  <c r="D28" i="102" s="1"/>
  <c r="G28" i="102" s="1"/>
  <c r="F29" i="102" s="1"/>
  <c r="E69" i="101"/>
  <c r="D69" i="101" s="1"/>
  <c r="G69" i="101" s="1"/>
  <c r="F70" i="101" s="1"/>
  <c r="I29" i="101"/>
  <c r="H30" i="101"/>
  <c r="E30" i="101"/>
  <c r="D30" i="101" s="1"/>
  <c r="G30" i="101" s="1"/>
  <c r="F31" i="101" s="1"/>
  <c r="E68" i="102" l="1"/>
  <c r="D68" i="102" s="1"/>
  <c r="G68" i="102" s="1"/>
  <c r="F69" i="102" s="1"/>
  <c r="H29" i="102"/>
  <c r="E29" i="102"/>
  <c r="D29" i="102" s="1"/>
  <c r="G29" i="102" s="1"/>
  <c r="F30" i="102" s="1"/>
  <c r="I28" i="102"/>
  <c r="I59" i="102"/>
  <c r="H60" i="102"/>
  <c r="E70" i="101"/>
  <c r="D70" i="101" s="1"/>
  <c r="G70" i="101" s="1"/>
  <c r="F71" i="101" s="1"/>
  <c r="H31" i="101"/>
  <c r="E31" i="101"/>
  <c r="D31" i="101" s="1"/>
  <c r="G31" i="101" s="1"/>
  <c r="F32" i="101" s="1"/>
  <c r="I30" i="101"/>
  <c r="E69" i="102" l="1"/>
  <c r="D69" i="102" s="1"/>
  <c r="G69" i="102" s="1"/>
  <c r="F70" i="102" s="1"/>
  <c r="I60" i="102"/>
  <c r="I29" i="102"/>
  <c r="H61" i="102"/>
  <c r="H30" i="102"/>
  <c r="E30" i="102"/>
  <c r="D30" i="102" s="1"/>
  <c r="G30" i="102" s="1"/>
  <c r="F31" i="102" s="1"/>
  <c r="E71" i="101"/>
  <c r="D71" i="101" s="1"/>
  <c r="G71" i="101" s="1"/>
  <c r="F72" i="101" s="1"/>
  <c r="E72" i="101" s="1"/>
  <c r="D72" i="101" s="1"/>
  <c r="G72" i="101" s="1"/>
  <c r="F73" i="101" s="1"/>
  <c r="E73" i="101" s="1"/>
  <c r="D73" i="101" s="1"/>
  <c r="G73" i="101" s="1"/>
  <c r="F74" i="101" s="1"/>
  <c r="E74" i="101" s="1"/>
  <c r="D74" i="101" s="1"/>
  <c r="G74" i="101" s="1"/>
  <c r="F75" i="101" s="1"/>
  <c r="E75" i="101" s="1"/>
  <c r="D75" i="101" s="1"/>
  <c r="G75" i="101" s="1"/>
  <c r="F76" i="101" s="1"/>
  <c r="E76" i="101" s="1"/>
  <c r="D76" i="101" s="1"/>
  <c r="G76" i="101" s="1"/>
  <c r="F77" i="101" s="1"/>
  <c r="E77" i="101" s="1"/>
  <c r="D77" i="101" s="1"/>
  <c r="G77" i="101" s="1"/>
  <c r="F78" i="101" s="1"/>
  <c r="E78" i="101" s="1"/>
  <c r="D78" i="101" s="1"/>
  <c r="G78" i="101" s="1"/>
  <c r="F79" i="101" s="1"/>
  <c r="E79" i="101" s="1"/>
  <c r="D79" i="101" s="1"/>
  <c r="G79" i="101" s="1"/>
  <c r="F80" i="101" s="1"/>
  <c r="E80" i="101" s="1"/>
  <c r="D80" i="101" s="1"/>
  <c r="G80" i="101" s="1"/>
  <c r="F81" i="101" s="1"/>
  <c r="E81" i="101" s="1"/>
  <c r="D81" i="101" s="1"/>
  <c r="G81" i="101" s="1"/>
  <c r="F82" i="101" s="1"/>
  <c r="E82" i="101" s="1"/>
  <c r="D82" i="101" s="1"/>
  <c r="G82" i="101" s="1"/>
  <c r="F83" i="101" s="1"/>
  <c r="D83" i="101" s="1"/>
  <c r="G83" i="101" s="1"/>
  <c r="H32" i="101"/>
  <c r="E32" i="101"/>
  <c r="D32" i="101" s="1"/>
  <c r="G32" i="101" s="1"/>
  <c r="F33" i="101" s="1"/>
  <c r="I31" i="101"/>
  <c r="E70" i="102" l="1"/>
  <c r="D70" i="102" s="1"/>
  <c r="G70" i="102" s="1"/>
  <c r="F71" i="102" s="1"/>
  <c r="H31" i="102"/>
  <c r="E31" i="102"/>
  <c r="D31" i="102" s="1"/>
  <c r="G31" i="102" s="1"/>
  <c r="F32" i="102" s="1"/>
  <c r="I30" i="102"/>
  <c r="H62" i="102"/>
  <c r="I61" i="102"/>
  <c r="H33" i="101"/>
  <c r="E33" i="101"/>
  <c r="D33" i="101" s="1"/>
  <c r="G33" i="101" s="1"/>
  <c r="F34" i="101" s="1"/>
  <c r="I32" i="101"/>
  <c r="E71" i="102" l="1"/>
  <c r="D71" i="102" s="1"/>
  <c r="G71" i="102" s="1"/>
  <c r="F72" i="102" s="1"/>
  <c r="E72" i="102" s="1"/>
  <c r="D72" i="102" s="1"/>
  <c r="G72" i="102" s="1"/>
  <c r="F73" i="102" s="1"/>
  <c r="E73" i="102" s="1"/>
  <c r="D73" i="102" s="1"/>
  <c r="G73" i="102" s="1"/>
  <c r="F74" i="102" s="1"/>
  <c r="E74" i="102" s="1"/>
  <c r="D74" i="102" s="1"/>
  <c r="G74" i="102" s="1"/>
  <c r="F75" i="102" s="1"/>
  <c r="E75" i="102" s="1"/>
  <c r="D75" i="102" s="1"/>
  <c r="G75" i="102" s="1"/>
  <c r="F76" i="102" s="1"/>
  <c r="E76" i="102" s="1"/>
  <c r="D76" i="102" s="1"/>
  <c r="G76" i="102" s="1"/>
  <c r="F77" i="102" s="1"/>
  <c r="E77" i="102" s="1"/>
  <c r="D77" i="102" s="1"/>
  <c r="G77" i="102" s="1"/>
  <c r="F78" i="102" s="1"/>
  <c r="E78" i="102" s="1"/>
  <c r="D78" i="102" s="1"/>
  <c r="G78" i="102" s="1"/>
  <c r="F79" i="102" s="1"/>
  <c r="E79" i="102" s="1"/>
  <c r="D79" i="102" s="1"/>
  <c r="G79" i="102" s="1"/>
  <c r="F80" i="102" s="1"/>
  <c r="E80" i="102" s="1"/>
  <c r="D80" i="102" s="1"/>
  <c r="G80" i="102" s="1"/>
  <c r="F81" i="102" s="1"/>
  <c r="E81" i="102" s="1"/>
  <c r="D81" i="102" s="1"/>
  <c r="G81" i="102" s="1"/>
  <c r="F82" i="102" s="1"/>
  <c r="E82" i="102" s="1"/>
  <c r="D82" i="102" s="1"/>
  <c r="G82" i="102" s="1"/>
  <c r="F83" i="102" s="1"/>
  <c r="D83" i="102" s="1"/>
  <c r="G83" i="102" s="1"/>
  <c r="I62" i="102"/>
  <c r="I31" i="102"/>
  <c r="H32" i="102"/>
  <c r="E32" i="102"/>
  <c r="D32" i="102" s="1"/>
  <c r="G32" i="102" s="1"/>
  <c r="F33" i="102" s="1"/>
  <c r="I33" i="101"/>
  <c r="H34" i="101"/>
  <c r="E34" i="101"/>
  <c r="D34" i="101" s="1"/>
  <c r="G34" i="101" s="1"/>
  <c r="F35" i="101" s="1"/>
  <c r="E33" i="102" l="1"/>
  <c r="D33" i="102" s="1"/>
  <c r="G33" i="102" s="1"/>
  <c r="F34" i="102" s="1"/>
  <c r="H33" i="102"/>
  <c r="I32" i="102"/>
  <c r="H35" i="101"/>
  <c r="E35" i="101"/>
  <c r="D35" i="101" s="1"/>
  <c r="G35" i="101" s="1"/>
  <c r="F36" i="101" s="1"/>
  <c r="I34" i="101"/>
  <c r="I33" i="102" l="1"/>
  <c r="E34" i="102"/>
  <c r="D34" i="102" s="1"/>
  <c r="G34" i="102" s="1"/>
  <c r="F35" i="102" s="1"/>
  <c r="H34" i="102"/>
  <c r="I35" i="101"/>
  <c r="H36" i="101"/>
  <c r="E36" i="101"/>
  <c r="D36" i="101" s="1"/>
  <c r="G36" i="101" s="1"/>
  <c r="F37" i="101" s="1"/>
  <c r="I34" i="102" l="1"/>
  <c r="E35" i="102"/>
  <c r="D35" i="102" s="1"/>
  <c r="G35" i="102" s="1"/>
  <c r="F36" i="102" s="1"/>
  <c r="H35" i="102"/>
  <c r="H37" i="101"/>
  <c r="E37" i="101"/>
  <c r="D37" i="101" s="1"/>
  <c r="G37" i="101" s="1"/>
  <c r="F38" i="101" s="1"/>
  <c r="I36" i="101"/>
  <c r="H36" i="102" l="1"/>
  <c r="E36" i="102"/>
  <c r="D36" i="102" s="1"/>
  <c r="G36" i="102" s="1"/>
  <c r="F37" i="102" s="1"/>
  <c r="I35" i="102"/>
  <c r="E38" i="101"/>
  <c r="D38" i="101" s="1"/>
  <c r="G38" i="101" s="1"/>
  <c r="F39" i="101" s="1"/>
  <c r="H39" i="101" s="1"/>
  <c r="D39" i="101"/>
  <c r="I37" i="101"/>
  <c r="H38" i="101"/>
  <c r="E37" i="102" l="1"/>
  <c r="D37" i="102" s="1"/>
  <c r="G37" i="102" s="1"/>
  <c r="F38" i="102" s="1"/>
  <c r="E38" i="102" s="1"/>
  <c r="D38" i="102" s="1"/>
  <c r="H37" i="102"/>
  <c r="I36" i="102"/>
  <c r="I38" i="101"/>
  <c r="G39" i="101"/>
  <c r="I39" i="101"/>
  <c r="H38" i="102" l="1"/>
  <c r="I38" i="102" s="1"/>
  <c r="G38" i="102"/>
  <c r="F39" i="102" s="1"/>
  <c r="I37" i="102"/>
  <c r="J2" i="98"/>
  <c r="C77" i="98" s="1"/>
  <c r="N1" i="98"/>
  <c r="C52" i="98" s="1"/>
  <c r="H1" i="98"/>
  <c r="C42" i="98" s="1"/>
  <c r="B71" i="98"/>
  <c r="C71" i="98"/>
  <c r="B72" i="98"/>
  <c r="C72" i="98"/>
  <c r="B73" i="98"/>
  <c r="C73" i="98"/>
  <c r="B74" i="98"/>
  <c r="B75" i="98"/>
  <c r="B76" i="98"/>
  <c r="B77" i="98"/>
  <c r="B78" i="98"/>
  <c r="B79" i="98"/>
  <c r="B80" i="98"/>
  <c r="B81" i="98"/>
  <c r="B82" i="98"/>
  <c r="C57" i="98"/>
  <c r="C58" i="98"/>
  <c r="C59" i="98"/>
  <c r="C60" i="98"/>
  <c r="C61" i="98"/>
  <c r="C62" i="98"/>
  <c r="C63" i="98"/>
  <c r="C64" i="98"/>
  <c r="C65" i="98"/>
  <c r="C66" i="98"/>
  <c r="C67" i="98"/>
  <c r="C68" i="98"/>
  <c r="C69" i="98"/>
  <c r="C70" i="98"/>
  <c r="C56" i="98"/>
  <c r="C49" i="98"/>
  <c r="C50" i="98"/>
  <c r="C51" i="98"/>
  <c r="B42" i="98"/>
  <c r="B43" i="98"/>
  <c r="B44" i="98"/>
  <c r="B45" i="98"/>
  <c r="B46" i="98"/>
  <c r="B47" i="98"/>
  <c r="B48" i="98"/>
  <c r="B49" i="98"/>
  <c r="B50" i="98"/>
  <c r="B51" i="98"/>
  <c r="B52" i="98"/>
  <c r="B53" i="98"/>
  <c r="B54" i="98"/>
  <c r="B55" i="98"/>
  <c r="B56" i="98"/>
  <c r="B57" i="98"/>
  <c r="B58" i="98"/>
  <c r="B59" i="98"/>
  <c r="B60" i="98"/>
  <c r="B61" i="98"/>
  <c r="B62" i="98"/>
  <c r="B63" i="98"/>
  <c r="B64" i="98"/>
  <c r="B65" i="98"/>
  <c r="B66" i="98"/>
  <c r="B67" i="98"/>
  <c r="B68" i="98"/>
  <c r="B69" i="98"/>
  <c r="B70" i="98"/>
  <c r="B41" i="98"/>
  <c r="B40" i="98"/>
  <c r="D1" i="98"/>
  <c r="C4" i="98" s="1"/>
  <c r="J2" i="97"/>
  <c r="C75" i="97" s="1"/>
  <c r="B81" i="97"/>
  <c r="B82" i="97"/>
  <c r="B75" i="97"/>
  <c r="B76" i="97"/>
  <c r="B77" i="97"/>
  <c r="B78" i="97"/>
  <c r="B79" i="97"/>
  <c r="B80" i="97"/>
  <c r="B71" i="97"/>
  <c r="C71" i="97"/>
  <c r="B72" i="97"/>
  <c r="C72" i="97"/>
  <c r="B73" i="97"/>
  <c r="C73" i="97"/>
  <c r="B74" i="97"/>
  <c r="C57" i="97"/>
  <c r="C58" i="97"/>
  <c r="C59" i="97"/>
  <c r="C60" i="97"/>
  <c r="C61" i="97"/>
  <c r="C62" i="97"/>
  <c r="C63" i="97"/>
  <c r="C64" i="97"/>
  <c r="C65" i="97"/>
  <c r="C66" i="97"/>
  <c r="C67" i="97"/>
  <c r="C68" i="97"/>
  <c r="C69" i="97"/>
  <c r="C70" i="97"/>
  <c r="C56" i="97"/>
  <c r="N1" i="97"/>
  <c r="C49" i="97" s="1"/>
  <c r="H1" i="97"/>
  <c r="C46" i="97" s="1"/>
  <c r="B42" i="97"/>
  <c r="B43" i="97"/>
  <c r="B44" i="97"/>
  <c r="B45" i="97"/>
  <c r="B46" i="97"/>
  <c r="B47" i="97"/>
  <c r="B48" i="97"/>
  <c r="B49" i="97"/>
  <c r="B50" i="97"/>
  <c r="B51" i="97"/>
  <c r="B52" i="97"/>
  <c r="B53" i="97"/>
  <c r="B54" i="97"/>
  <c r="B55" i="97"/>
  <c r="B56" i="97"/>
  <c r="B57" i="97"/>
  <c r="B58" i="97"/>
  <c r="B59" i="97"/>
  <c r="B60" i="97"/>
  <c r="B61" i="97"/>
  <c r="B62" i="97"/>
  <c r="B63" i="97"/>
  <c r="B64" i="97"/>
  <c r="B65" i="97"/>
  <c r="B66" i="97"/>
  <c r="B67" i="97"/>
  <c r="B68" i="97"/>
  <c r="B69" i="97"/>
  <c r="B70" i="97"/>
  <c r="B41" i="97"/>
  <c r="B40" i="97"/>
  <c r="E39" i="98"/>
  <c r="B39" i="98"/>
  <c r="B38" i="98"/>
  <c r="B37" i="98"/>
  <c r="B36" i="98"/>
  <c r="B35" i="98"/>
  <c r="B34" i="98"/>
  <c r="B33" i="98"/>
  <c r="B32" i="98"/>
  <c r="B31" i="98"/>
  <c r="B30" i="98"/>
  <c r="B29" i="98"/>
  <c r="B28" i="98"/>
  <c r="B27" i="98"/>
  <c r="B26" i="98"/>
  <c r="B25" i="98"/>
  <c r="B24" i="98"/>
  <c r="B23" i="98"/>
  <c r="B22" i="98"/>
  <c r="B21" i="98"/>
  <c r="B20" i="98"/>
  <c r="B19" i="98"/>
  <c r="B18" i="98"/>
  <c r="B17" i="98"/>
  <c r="B16" i="98"/>
  <c r="B15" i="98"/>
  <c r="B14" i="98"/>
  <c r="B13" i="98"/>
  <c r="B12" i="98"/>
  <c r="B11" i="98"/>
  <c r="B10" i="98"/>
  <c r="B9" i="98"/>
  <c r="B8" i="98"/>
  <c r="B7" i="98"/>
  <c r="B6" i="98"/>
  <c r="B5" i="98"/>
  <c r="B4" i="98"/>
  <c r="H4" i="98" s="1"/>
  <c r="E39" i="97"/>
  <c r="B39" i="97"/>
  <c r="B38" i="97"/>
  <c r="B37" i="97"/>
  <c r="B36" i="97"/>
  <c r="B35" i="97"/>
  <c r="B34" i="97"/>
  <c r="B33" i="97"/>
  <c r="B32" i="97"/>
  <c r="B31" i="97"/>
  <c r="B30" i="97"/>
  <c r="B29" i="97"/>
  <c r="B28" i="97"/>
  <c r="B27" i="97"/>
  <c r="B26" i="97"/>
  <c r="B25" i="97"/>
  <c r="B24" i="97"/>
  <c r="B23" i="97"/>
  <c r="B22" i="97"/>
  <c r="B21" i="97"/>
  <c r="B20" i="97"/>
  <c r="B19" i="97"/>
  <c r="B18" i="97"/>
  <c r="B17" i="97"/>
  <c r="B16" i="97"/>
  <c r="B15" i="97"/>
  <c r="B14" i="97"/>
  <c r="B13" i="97"/>
  <c r="B12" i="97"/>
  <c r="B11" i="97"/>
  <c r="B10" i="97"/>
  <c r="B9" i="97"/>
  <c r="B8" i="97"/>
  <c r="B7" i="97"/>
  <c r="B6" i="97"/>
  <c r="B5" i="97"/>
  <c r="B4" i="97"/>
  <c r="D1" i="97"/>
  <c r="C26" i="97" s="1"/>
  <c r="H39" i="102" l="1"/>
  <c r="I39" i="102" s="1"/>
  <c r="G39" i="102"/>
  <c r="C54" i="98"/>
  <c r="C47" i="98"/>
  <c r="C48" i="98"/>
  <c r="C55" i="98"/>
  <c r="C53" i="98"/>
  <c r="C43" i="98"/>
  <c r="C45" i="98"/>
  <c r="C41" i="98"/>
  <c r="C46" i="98"/>
  <c r="C44" i="98"/>
  <c r="C76" i="98"/>
  <c r="C75" i="98"/>
  <c r="C82" i="98"/>
  <c r="C81" i="98"/>
  <c r="C80" i="98"/>
  <c r="C79" i="98"/>
  <c r="C78" i="98"/>
  <c r="C74" i="98"/>
  <c r="C40" i="98"/>
  <c r="C81" i="97"/>
  <c r="C80" i="97"/>
  <c r="C79" i="97"/>
  <c r="C78" i="97"/>
  <c r="C77" i="97"/>
  <c r="C76" i="97"/>
  <c r="C82" i="97"/>
  <c r="C74" i="97"/>
  <c r="C55" i="97"/>
  <c r="C14" i="97"/>
  <c r="C47" i="97"/>
  <c r="C17" i="97"/>
  <c r="C6" i="97"/>
  <c r="C40" i="97"/>
  <c r="C48" i="97"/>
  <c r="C45" i="97"/>
  <c r="C9" i="97"/>
  <c r="C22" i="97"/>
  <c r="C44" i="97"/>
  <c r="C53" i="97"/>
  <c r="C54" i="97"/>
  <c r="C52" i="97"/>
  <c r="C51" i="97"/>
  <c r="C50" i="97"/>
  <c r="C43" i="97"/>
  <c r="C42" i="97"/>
  <c r="C41" i="97"/>
  <c r="C11" i="97"/>
  <c r="C19" i="97"/>
  <c r="C27" i="97"/>
  <c r="C16" i="97"/>
  <c r="C24" i="97"/>
  <c r="C5" i="97"/>
  <c r="C13" i="97"/>
  <c r="C21" i="97"/>
  <c r="C10" i="97"/>
  <c r="C18" i="97"/>
  <c r="C4" i="97"/>
  <c r="C39" i="97"/>
  <c r="D39" i="97" s="1"/>
  <c r="C38" i="97"/>
  <c r="C37" i="97"/>
  <c r="C36" i="97"/>
  <c r="C35" i="97"/>
  <c r="C34" i="97"/>
  <c r="C33" i="97"/>
  <c r="C32" i="97"/>
  <c r="C31" i="97"/>
  <c r="C30" i="97"/>
  <c r="C29" i="97"/>
  <c r="C7" i="97"/>
  <c r="C15" i="97"/>
  <c r="C23" i="97"/>
  <c r="C8" i="97"/>
  <c r="H4" i="97"/>
  <c r="E4" i="97"/>
  <c r="C12" i="97"/>
  <c r="C20" i="97"/>
  <c r="C28" i="97"/>
  <c r="C25" i="97"/>
  <c r="C5" i="98"/>
  <c r="C6" i="98"/>
  <c r="C8" i="98"/>
  <c r="C9" i="98"/>
  <c r="C10" i="98"/>
  <c r="C11" i="98"/>
  <c r="C12" i="98"/>
  <c r="C13" i="98"/>
  <c r="C14" i="98"/>
  <c r="C15" i="98"/>
  <c r="C16" i="98"/>
  <c r="C17" i="98"/>
  <c r="C18" i="98"/>
  <c r="C19" i="98"/>
  <c r="C21" i="98"/>
  <c r="C22" i="98"/>
  <c r="C23" i="98"/>
  <c r="C24" i="98"/>
  <c r="C25" i="98"/>
  <c r="C26" i="98"/>
  <c r="C27" i="98"/>
  <c r="C28" i="98"/>
  <c r="C29" i="98"/>
  <c r="C30" i="98"/>
  <c r="C31" i="98"/>
  <c r="C32" i="98"/>
  <c r="C33" i="98"/>
  <c r="C34" i="98"/>
  <c r="C35" i="98"/>
  <c r="C36" i="98"/>
  <c r="C37" i="98"/>
  <c r="C38" i="98"/>
  <c r="C39" i="98"/>
  <c r="D39" i="98" s="1"/>
  <c r="C7" i="98"/>
  <c r="C20" i="98"/>
  <c r="E4" i="98"/>
  <c r="I4" i="97" l="1"/>
  <c r="D4" i="97"/>
  <c r="G4" i="97" s="1"/>
  <c r="F5" i="97" s="1"/>
  <c r="D4" i="98"/>
  <c r="G4" i="98" s="1"/>
  <c r="F5" i="98" s="1"/>
  <c r="I4" i="98"/>
  <c r="H5" i="98" l="1"/>
  <c r="E5" i="98"/>
  <c r="D5" i="98" s="1"/>
  <c r="G5" i="98" s="1"/>
  <c r="F6" i="98" s="1"/>
  <c r="H5" i="97"/>
  <c r="E5" i="97"/>
  <c r="D5" i="97" s="1"/>
  <c r="G5" i="97" s="1"/>
  <c r="F6" i="97" s="1"/>
  <c r="H6" i="97" l="1"/>
  <c r="E6" i="97"/>
  <c r="D6" i="97" s="1"/>
  <c r="G6" i="97" s="1"/>
  <c r="F7" i="97" s="1"/>
  <c r="H6" i="98"/>
  <c r="E6" i="98"/>
  <c r="D6" i="98" s="1"/>
  <c r="G6" i="98" s="1"/>
  <c r="F7" i="98" s="1"/>
  <c r="I5" i="97"/>
  <c r="I5" i="98"/>
  <c r="H7" i="98" l="1"/>
  <c r="E7" i="98"/>
  <c r="D7" i="98" s="1"/>
  <c r="G7" i="98" s="1"/>
  <c r="F8" i="98" s="1"/>
  <c r="H7" i="97"/>
  <c r="E7" i="97"/>
  <c r="D7" i="97" s="1"/>
  <c r="G7" i="97" s="1"/>
  <c r="F8" i="97" s="1"/>
  <c r="I6" i="98"/>
  <c r="I6" i="97"/>
  <c r="H8" i="97" l="1"/>
  <c r="E8" i="97"/>
  <c r="D8" i="97" s="1"/>
  <c r="G8" i="97" s="1"/>
  <c r="H8" i="98"/>
  <c r="E8" i="98"/>
  <c r="D8" i="98" s="1"/>
  <c r="G8" i="98" s="1"/>
  <c r="I7" i="97"/>
  <c r="I7" i="98"/>
  <c r="F9" i="98" l="1"/>
  <c r="E40" i="98" s="1"/>
  <c r="F40" i="98"/>
  <c r="F9" i="97"/>
  <c r="E40" i="97" s="1"/>
  <c r="F40" i="97"/>
  <c r="I8" i="98"/>
  <c r="I8" i="97"/>
  <c r="H9" i="98" l="1"/>
  <c r="E9" i="98"/>
  <c r="E9" i="97"/>
  <c r="H9" i="97"/>
  <c r="I9" i="98" l="1"/>
  <c r="D9" i="98"/>
  <c r="G9" i="98" s="1"/>
  <c r="F10" i="98" s="1"/>
  <c r="D40" i="98"/>
  <c r="G40" i="98" s="1"/>
  <c r="F41" i="98" s="1"/>
  <c r="E41" i="98" s="1"/>
  <c r="D41" i="98" s="1"/>
  <c r="G41" i="98" s="1"/>
  <c r="F42" i="98" s="1"/>
  <c r="E42" i="98" s="1"/>
  <c r="D42" i="98" s="1"/>
  <c r="G42" i="98" s="1"/>
  <c r="F43" i="98" s="1"/>
  <c r="E43" i="98" s="1"/>
  <c r="D43" i="98" s="1"/>
  <c r="G43" i="98" s="1"/>
  <c r="F44" i="98" s="1"/>
  <c r="E44" i="98" s="1"/>
  <c r="D44" i="98" s="1"/>
  <c r="G44" i="98" s="1"/>
  <c r="F45" i="98" s="1"/>
  <c r="E45" i="98" s="1"/>
  <c r="D45" i="98" s="1"/>
  <c r="G45" i="98" s="1"/>
  <c r="F46" i="98" s="1"/>
  <c r="E46" i="98" s="1"/>
  <c r="D46" i="98" s="1"/>
  <c r="G46" i="98" s="1"/>
  <c r="I9" i="97"/>
  <c r="D40" i="97"/>
  <c r="G40" i="97" s="1"/>
  <c r="F41" i="97" s="1"/>
  <c r="E41" i="97" s="1"/>
  <c r="D41" i="97" s="1"/>
  <c r="G41" i="97" s="1"/>
  <c r="F42" i="97" s="1"/>
  <c r="E42" i="97" s="1"/>
  <c r="D42" i="97" s="1"/>
  <c r="G42" i="97" s="1"/>
  <c r="F43" i="97" s="1"/>
  <c r="E43" i="97" s="1"/>
  <c r="D43" i="97" s="1"/>
  <c r="G43" i="97" s="1"/>
  <c r="F44" i="97" s="1"/>
  <c r="E44" i="97" s="1"/>
  <c r="D44" i="97" s="1"/>
  <c r="G44" i="97" s="1"/>
  <c r="F45" i="97" s="1"/>
  <c r="E45" i="97" s="1"/>
  <c r="D45" i="97" s="1"/>
  <c r="G45" i="97" s="1"/>
  <c r="F46" i="97" s="1"/>
  <c r="E46" i="97" s="1"/>
  <c r="D46" i="97" s="1"/>
  <c r="G46" i="97" s="1"/>
  <c r="F47" i="97" s="1"/>
  <c r="E47" i="97" s="1"/>
  <c r="D47" i="97" s="1"/>
  <c r="G47" i="97" s="1"/>
  <c r="F48" i="97" s="1"/>
  <c r="E48" i="97" s="1"/>
  <c r="D48" i="97" s="1"/>
  <c r="G48" i="97" s="1"/>
  <c r="F49" i="97" s="1"/>
  <c r="E49" i="97" s="1"/>
  <c r="D49" i="97" s="1"/>
  <c r="G49" i="97" s="1"/>
  <c r="F50" i="97" s="1"/>
  <c r="E50" i="97" s="1"/>
  <c r="D50" i="97" s="1"/>
  <c r="G50" i="97" s="1"/>
  <c r="F51" i="97" s="1"/>
  <c r="E51" i="97" s="1"/>
  <c r="D51" i="97" s="1"/>
  <c r="G51" i="97" s="1"/>
  <c r="F52" i="97" s="1"/>
  <c r="D9" i="97"/>
  <c r="G9" i="97" s="1"/>
  <c r="F10" i="97" s="1"/>
  <c r="F47" i="98" l="1"/>
  <c r="E47" i="98" s="1"/>
  <c r="D47" i="98" s="1"/>
  <c r="G47" i="98" s="1"/>
  <c r="F48" i="98" s="1"/>
  <c r="E48" i="98" s="1"/>
  <c r="D48" i="98" s="1"/>
  <c r="G48" i="98" s="1"/>
  <c r="F49" i="98" s="1"/>
  <c r="E49" i="98" s="1"/>
  <c r="D49" i="98" s="1"/>
  <c r="G49" i="98" s="1"/>
  <c r="F50" i="98" s="1"/>
  <c r="E50" i="98" s="1"/>
  <c r="D50" i="98" s="1"/>
  <c r="G50" i="98" s="1"/>
  <c r="F51" i="98" s="1"/>
  <c r="E51" i="98" s="1"/>
  <c r="D51" i="98" s="1"/>
  <c r="G51" i="98" s="1"/>
  <c r="F52" i="98" s="1"/>
  <c r="E52" i="98" s="1"/>
  <c r="H10" i="98"/>
  <c r="E10" i="98"/>
  <c r="D10" i="98" s="1"/>
  <c r="G10" i="98" s="1"/>
  <c r="F11" i="98" s="1"/>
  <c r="H10" i="97"/>
  <c r="E10" i="97"/>
  <c r="D10" i="97" s="1"/>
  <c r="G10" i="97" s="1"/>
  <c r="F11" i="97" s="1"/>
  <c r="E52" i="97"/>
  <c r="D52" i="97" s="1"/>
  <c r="G52" i="97" s="1"/>
  <c r="F53" i="97" s="1"/>
  <c r="I10" i="98" l="1"/>
  <c r="D52" i="98"/>
  <c r="G52" i="98" s="1"/>
  <c r="F53" i="98" s="1"/>
  <c r="E53" i="98" s="1"/>
  <c r="H11" i="98"/>
  <c r="E11" i="98"/>
  <c r="D11" i="98" s="1"/>
  <c r="G11" i="98" s="1"/>
  <c r="F12" i="98" s="1"/>
  <c r="I10" i="97"/>
  <c r="E11" i="97"/>
  <c r="D11" i="97" s="1"/>
  <c r="G11" i="97" s="1"/>
  <c r="F12" i="97" s="1"/>
  <c r="H11" i="97"/>
  <c r="E53" i="97"/>
  <c r="D53" i="97" s="1"/>
  <c r="G53" i="97" s="1"/>
  <c r="F54" i="97" s="1"/>
  <c r="D53" i="98" l="1"/>
  <c r="G53" i="98" s="1"/>
  <c r="F54" i="98" s="1"/>
  <c r="E54" i="98" s="1"/>
  <c r="I11" i="98"/>
  <c r="H12" i="98"/>
  <c r="E12" i="98"/>
  <c r="D12" i="98" s="1"/>
  <c r="G12" i="98" s="1"/>
  <c r="F13" i="98" s="1"/>
  <c r="I11" i="97"/>
  <c r="E12" i="97"/>
  <c r="D12" i="97" s="1"/>
  <c r="G12" i="97" s="1"/>
  <c r="F13" i="97" s="1"/>
  <c r="H12" i="97"/>
  <c r="E54" i="97"/>
  <c r="D54" i="97" s="1"/>
  <c r="G54" i="97" s="1"/>
  <c r="F55" i="97" s="1"/>
  <c r="D54" i="98" l="1"/>
  <c r="G54" i="98" s="1"/>
  <c r="F55" i="98" s="1"/>
  <c r="E55" i="98" s="1"/>
  <c r="I12" i="98"/>
  <c r="H13" i="98"/>
  <c r="E13" i="98"/>
  <c r="D13" i="98" s="1"/>
  <c r="G13" i="98" s="1"/>
  <c r="F14" i="98" s="1"/>
  <c r="I12" i="97"/>
  <c r="H13" i="97"/>
  <c r="E13" i="97"/>
  <c r="D13" i="97" s="1"/>
  <c r="G13" i="97" s="1"/>
  <c r="F14" i="97" s="1"/>
  <c r="E55" i="97"/>
  <c r="D55" i="97" s="1"/>
  <c r="G55" i="97" s="1"/>
  <c r="F56" i="97" s="1"/>
  <c r="D55" i="98" l="1"/>
  <c r="G55" i="98" s="1"/>
  <c r="F56" i="98" s="1"/>
  <c r="E56" i="98" s="1"/>
  <c r="H14" i="98"/>
  <c r="E14" i="98"/>
  <c r="D14" i="98" s="1"/>
  <c r="G14" i="98" s="1"/>
  <c r="F15" i="98" s="1"/>
  <c r="I13" i="98"/>
  <c r="H14" i="97"/>
  <c r="E14" i="97"/>
  <c r="D14" i="97" s="1"/>
  <c r="G14" i="97" s="1"/>
  <c r="F15" i="97" s="1"/>
  <c r="I13" i="97"/>
  <c r="E56" i="97"/>
  <c r="D56" i="97" s="1"/>
  <c r="G56" i="97" s="1"/>
  <c r="F57" i="97" s="1"/>
  <c r="D56" i="98" l="1"/>
  <c r="G56" i="98" s="1"/>
  <c r="F57" i="98" s="1"/>
  <c r="E57" i="98" s="1"/>
  <c r="H15" i="98"/>
  <c r="E15" i="98"/>
  <c r="D15" i="98" s="1"/>
  <c r="G15" i="98" s="1"/>
  <c r="F16" i="98" s="1"/>
  <c r="I14" i="98"/>
  <c r="H15" i="97"/>
  <c r="E15" i="97"/>
  <c r="D15" i="97" s="1"/>
  <c r="G15" i="97" s="1"/>
  <c r="F16" i="97" s="1"/>
  <c r="I14" i="97"/>
  <c r="E57" i="97"/>
  <c r="D57" i="97" s="1"/>
  <c r="G57" i="97" s="1"/>
  <c r="F58" i="97" s="1"/>
  <c r="D57" i="98" l="1"/>
  <c r="G57" i="98" s="1"/>
  <c r="F58" i="98" s="1"/>
  <c r="E58" i="98" s="1"/>
  <c r="I15" i="98"/>
  <c r="H16" i="98"/>
  <c r="E16" i="98"/>
  <c r="D16" i="98" s="1"/>
  <c r="G16" i="98" s="1"/>
  <c r="F17" i="98" s="1"/>
  <c r="E16" i="97"/>
  <c r="D16" i="97" s="1"/>
  <c r="G16" i="97" s="1"/>
  <c r="F17" i="97" s="1"/>
  <c r="H16" i="97"/>
  <c r="I15" i="97"/>
  <c r="E58" i="97"/>
  <c r="D58" i="97" s="1"/>
  <c r="G58" i="97" s="1"/>
  <c r="F59" i="97" s="1"/>
  <c r="D58" i="98" l="1"/>
  <c r="G58" i="98" s="1"/>
  <c r="F59" i="98" s="1"/>
  <c r="E59" i="98" s="1"/>
  <c r="I16" i="98"/>
  <c r="E17" i="98"/>
  <c r="D17" i="98" s="1"/>
  <c r="G17" i="98" s="1"/>
  <c r="F18" i="98" s="1"/>
  <c r="H17" i="98"/>
  <c r="I16" i="97"/>
  <c r="E17" i="97"/>
  <c r="D17" i="97" s="1"/>
  <c r="G17" i="97" s="1"/>
  <c r="F18" i="97" s="1"/>
  <c r="H17" i="97"/>
  <c r="E59" i="97"/>
  <c r="D59" i="97" s="1"/>
  <c r="G59" i="97" s="1"/>
  <c r="F60" i="97" s="1"/>
  <c r="D59" i="98" l="1"/>
  <c r="G59" i="98" s="1"/>
  <c r="F60" i="98" s="1"/>
  <c r="E60" i="98" s="1"/>
  <c r="H18" i="98"/>
  <c r="E18" i="98"/>
  <c r="D18" i="98" s="1"/>
  <c r="G18" i="98" s="1"/>
  <c r="F19" i="98" s="1"/>
  <c r="I17" i="98"/>
  <c r="I17" i="97"/>
  <c r="H18" i="97"/>
  <c r="E18" i="97"/>
  <c r="D18" i="97" s="1"/>
  <c r="G18" i="97" s="1"/>
  <c r="F19" i="97" s="1"/>
  <c r="E60" i="97"/>
  <c r="D60" i="97" s="1"/>
  <c r="G60" i="97" s="1"/>
  <c r="F61" i="97" s="1"/>
  <c r="D60" i="98" l="1"/>
  <c r="G60" i="98" s="1"/>
  <c r="F61" i="98" s="1"/>
  <c r="E61" i="98" s="1"/>
  <c r="I18" i="98"/>
  <c r="H19" i="98"/>
  <c r="E19" i="98"/>
  <c r="D19" i="98" s="1"/>
  <c r="G19" i="98" s="1"/>
  <c r="F20" i="98" s="1"/>
  <c r="I18" i="97"/>
  <c r="H19" i="97"/>
  <c r="E19" i="97"/>
  <c r="D19" i="97" s="1"/>
  <c r="G19" i="97" s="1"/>
  <c r="F20" i="97" s="1"/>
  <c r="E61" i="97"/>
  <c r="D61" i="97" s="1"/>
  <c r="G61" i="97" s="1"/>
  <c r="F62" i="97" s="1"/>
  <c r="D61" i="98" l="1"/>
  <c r="G61" i="98" s="1"/>
  <c r="F62" i="98" s="1"/>
  <c r="E62" i="98" s="1"/>
  <c r="H20" i="98"/>
  <c r="E20" i="98"/>
  <c r="D20" i="98" s="1"/>
  <c r="G20" i="98" s="1"/>
  <c r="F21" i="98" s="1"/>
  <c r="I19" i="98"/>
  <c r="I19" i="97"/>
  <c r="H20" i="97"/>
  <c r="E20" i="97"/>
  <c r="D20" i="97" s="1"/>
  <c r="G20" i="97" s="1"/>
  <c r="F21" i="97" s="1"/>
  <c r="E62" i="97"/>
  <c r="D62" i="97" s="1"/>
  <c r="G62" i="97" s="1"/>
  <c r="F63" i="97" s="1"/>
  <c r="D62" i="98" l="1"/>
  <c r="G62" i="98" s="1"/>
  <c r="F63" i="98" s="1"/>
  <c r="E63" i="98" s="1"/>
  <c r="I20" i="98"/>
  <c r="E21" i="98"/>
  <c r="D21" i="98" s="1"/>
  <c r="G21" i="98" s="1"/>
  <c r="F22" i="98" s="1"/>
  <c r="H21" i="98"/>
  <c r="H21" i="97"/>
  <c r="E21" i="97"/>
  <c r="D21" i="97" s="1"/>
  <c r="G21" i="97" s="1"/>
  <c r="F22" i="97" s="1"/>
  <c r="I20" i="97"/>
  <c r="E63" i="97"/>
  <c r="D63" i="97" s="1"/>
  <c r="G63" i="97" s="1"/>
  <c r="F64" i="97" s="1"/>
  <c r="D63" i="98" l="1"/>
  <c r="G63" i="98" s="1"/>
  <c r="F64" i="98" s="1"/>
  <c r="E64" i="98" s="1"/>
  <c r="I21" i="98"/>
  <c r="H22" i="98"/>
  <c r="E22" i="98"/>
  <c r="D22" i="98" s="1"/>
  <c r="G22" i="98" s="1"/>
  <c r="F23" i="98" s="1"/>
  <c r="H22" i="97"/>
  <c r="E22" i="97"/>
  <c r="D22" i="97" s="1"/>
  <c r="G22" i="97" s="1"/>
  <c r="F23" i="97" s="1"/>
  <c r="I21" i="97"/>
  <c r="E64" i="97"/>
  <c r="D64" i="97" s="1"/>
  <c r="G64" i="97" s="1"/>
  <c r="F65" i="97" s="1"/>
  <c r="D64" i="98" l="1"/>
  <c r="G64" i="98" s="1"/>
  <c r="F65" i="98" s="1"/>
  <c r="E65" i="98" s="1"/>
  <c r="E23" i="98"/>
  <c r="D23" i="98" s="1"/>
  <c r="G23" i="98" s="1"/>
  <c r="F24" i="98" s="1"/>
  <c r="H23" i="98"/>
  <c r="I22" i="98"/>
  <c r="H23" i="97"/>
  <c r="E23" i="97"/>
  <c r="D23" i="97" s="1"/>
  <c r="G23" i="97" s="1"/>
  <c r="F24" i="97" s="1"/>
  <c r="I22" i="97"/>
  <c r="E65" i="97"/>
  <c r="D65" i="97" s="1"/>
  <c r="G65" i="97" s="1"/>
  <c r="F66" i="97" s="1"/>
  <c r="D65" i="98" l="1"/>
  <c r="G65" i="98" s="1"/>
  <c r="F66" i="98" s="1"/>
  <c r="E66" i="98" s="1"/>
  <c r="H24" i="98"/>
  <c r="E24" i="98"/>
  <c r="D24" i="98" s="1"/>
  <c r="G24" i="98" s="1"/>
  <c r="F25" i="98" s="1"/>
  <c r="I23" i="98"/>
  <c r="H24" i="97"/>
  <c r="E24" i="97"/>
  <c r="D24" i="97" s="1"/>
  <c r="G24" i="97" s="1"/>
  <c r="F25" i="97" s="1"/>
  <c r="I23" i="97"/>
  <c r="E66" i="97"/>
  <c r="D66" i="97" s="1"/>
  <c r="G66" i="97" s="1"/>
  <c r="F67" i="97" s="1"/>
  <c r="D66" i="98" l="1"/>
  <c r="G66" i="98" s="1"/>
  <c r="F67" i="98" s="1"/>
  <c r="E67" i="98" s="1"/>
  <c r="I24" i="98"/>
  <c r="E25" i="98"/>
  <c r="D25" i="98" s="1"/>
  <c r="G25" i="98" s="1"/>
  <c r="F26" i="98" s="1"/>
  <c r="H25" i="98"/>
  <c r="E25" i="97"/>
  <c r="D25" i="97" s="1"/>
  <c r="G25" i="97" s="1"/>
  <c r="F26" i="97" s="1"/>
  <c r="H25" i="97"/>
  <c r="I25" i="97" s="1"/>
  <c r="I24" i="97"/>
  <c r="E67" i="97"/>
  <c r="D67" i="97" s="1"/>
  <c r="G67" i="97" s="1"/>
  <c r="F68" i="97" s="1"/>
  <c r="D67" i="98" l="1"/>
  <c r="G67" i="98" s="1"/>
  <c r="F68" i="98" s="1"/>
  <c r="E68" i="98" s="1"/>
  <c r="I25" i="98"/>
  <c r="H26" i="98"/>
  <c r="E26" i="98"/>
  <c r="D26" i="98" s="1"/>
  <c r="G26" i="98" s="1"/>
  <c r="F27" i="98" s="1"/>
  <c r="E26" i="97"/>
  <c r="D26" i="97" s="1"/>
  <c r="G26" i="97" s="1"/>
  <c r="F27" i="97" s="1"/>
  <c r="H26" i="97"/>
  <c r="E68" i="97"/>
  <c r="D68" i="97" s="1"/>
  <c r="G68" i="97" s="1"/>
  <c r="F69" i="97" s="1"/>
  <c r="D68" i="98" l="1"/>
  <c r="G68" i="98" s="1"/>
  <c r="F69" i="98" s="1"/>
  <c r="E69" i="98" s="1"/>
  <c r="E27" i="98"/>
  <c r="D27" i="98" s="1"/>
  <c r="G27" i="98" s="1"/>
  <c r="F28" i="98" s="1"/>
  <c r="H27" i="98"/>
  <c r="I26" i="98"/>
  <c r="I26" i="97"/>
  <c r="H27" i="97"/>
  <c r="E27" i="97"/>
  <c r="D27" i="97" s="1"/>
  <c r="G27" i="97" s="1"/>
  <c r="F28" i="97" s="1"/>
  <c r="E69" i="97"/>
  <c r="D69" i="97" s="1"/>
  <c r="G69" i="97" s="1"/>
  <c r="F70" i="97" s="1"/>
  <c r="D69" i="98" l="1"/>
  <c r="G69" i="98" s="1"/>
  <c r="F70" i="98" s="1"/>
  <c r="E70" i="98" s="1"/>
  <c r="I27" i="98"/>
  <c r="H28" i="98"/>
  <c r="E28" i="98"/>
  <c r="D28" i="98" s="1"/>
  <c r="G28" i="98" s="1"/>
  <c r="F29" i="98" s="1"/>
  <c r="H28" i="97"/>
  <c r="E28" i="97"/>
  <c r="D28" i="97" s="1"/>
  <c r="G28" i="97" s="1"/>
  <c r="F29" i="97" s="1"/>
  <c r="I27" i="97"/>
  <c r="E70" i="97"/>
  <c r="D70" i="97" s="1"/>
  <c r="G70" i="97" s="1"/>
  <c r="F71" i="97" s="1"/>
  <c r="E71" i="97" s="1"/>
  <c r="D71" i="97" s="1"/>
  <c r="G71" i="97" s="1"/>
  <c r="F72" i="97" s="1"/>
  <c r="E72" i="97" s="1"/>
  <c r="D72" i="97" s="1"/>
  <c r="G72" i="97" s="1"/>
  <c r="F73" i="97" s="1"/>
  <c r="E73" i="97" s="1"/>
  <c r="D73" i="97" s="1"/>
  <c r="G73" i="97" s="1"/>
  <c r="F74" i="97" s="1"/>
  <c r="E74" i="97" s="1"/>
  <c r="D74" i="97" s="1"/>
  <c r="G74" i="97" s="1"/>
  <c r="F75" i="97" s="1"/>
  <c r="E75" i="97" s="1"/>
  <c r="D75" i="97" s="1"/>
  <c r="G75" i="97" s="1"/>
  <c r="F76" i="97" s="1"/>
  <c r="E76" i="97" s="1"/>
  <c r="D76" i="97" s="1"/>
  <c r="G76" i="97" s="1"/>
  <c r="F77" i="97" s="1"/>
  <c r="E77" i="97" s="1"/>
  <c r="D77" i="97" s="1"/>
  <c r="G77" i="97" s="1"/>
  <c r="F78" i="97" s="1"/>
  <c r="E78" i="97" s="1"/>
  <c r="D78" i="97" s="1"/>
  <c r="G78" i="97" s="1"/>
  <c r="F79" i="97" s="1"/>
  <c r="E79" i="97" s="1"/>
  <c r="D79" i="97" s="1"/>
  <c r="G79" i="97" s="1"/>
  <c r="F80" i="97" s="1"/>
  <c r="E80" i="97" s="1"/>
  <c r="D80" i="97" s="1"/>
  <c r="G80" i="97" s="1"/>
  <c r="F81" i="97" s="1"/>
  <c r="E81" i="97" s="1"/>
  <c r="D81" i="97" s="1"/>
  <c r="G81" i="97" s="1"/>
  <c r="F82" i="97" s="1"/>
  <c r="D82" i="97" s="1"/>
  <c r="G82" i="97" s="1"/>
  <c r="D70" i="98" l="1"/>
  <c r="G70" i="98" s="1"/>
  <c r="F71" i="98" s="1"/>
  <c r="E71" i="98" s="1"/>
  <c r="D71" i="98" s="1"/>
  <c r="G71" i="98" s="1"/>
  <c r="F72" i="98" s="1"/>
  <c r="E72" i="98" s="1"/>
  <c r="D72" i="98" s="1"/>
  <c r="G72" i="98" s="1"/>
  <c r="F73" i="98" s="1"/>
  <c r="E73" i="98" s="1"/>
  <c r="D73" i="98" s="1"/>
  <c r="G73" i="98" s="1"/>
  <c r="F74" i="98" s="1"/>
  <c r="E74" i="98" s="1"/>
  <c r="D74" i="98" s="1"/>
  <c r="G74" i="98" s="1"/>
  <c r="F75" i="98" s="1"/>
  <c r="E75" i="98" s="1"/>
  <c r="D75" i="98" s="1"/>
  <c r="G75" i="98" s="1"/>
  <c r="F76" i="98" s="1"/>
  <c r="E76" i="98" s="1"/>
  <c r="D76" i="98" s="1"/>
  <c r="G76" i="98" s="1"/>
  <c r="F77" i="98" s="1"/>
  <c r="E77" i="98" s="1"/>
  <c r="D77" i="98" s="1"/>
  <c r="G77" i="98" s="1"/>
  <c r="F78" i="98" s="1"/>
  <c r="E78" i="98" s="1"/>
  <c r="D78" i="98" s="1"/>
  <c r="G78" i="98" s="1"/>
  <c r="F79" i="98" s="1"/>
  <c r="E79" i="98" s="1"/>
  <c r="D79" i="98" s="1"/>
  <c r="G79" i="98" s="1"/>
  <c r="F80" i="98" s="1"/>
  <c r="E80" i="98" s="1"/>
  <c r="D80" i="98" s="1"/>
  <c r="G80" i="98" s="1"/>
  <c r="F81" i="98" s="1"/>
  <c r="E81" i="98" s="1"/>
  <c r="D81" i="98" s="1"/>
  <c r="G81" i="98" s="1"/>
  <c r="F82" i="98" s="1"/>
  <c r="D82" i="98" s="1"/>
  <c r="G82" i="98" s="1"/>
  <c r="H29" i="98"/>
  <c r="E29" i="98"/>
  <c r="D29" i="98" s="1"/>
  <c r="G29" i="98" s="1"/>
  <c r="F30" i="98" s="1"/>
  <c r="I28" i="98"/>
  <c r="H29" i="97"/>
  <c r="E29" i="97"/>
  <c r="D29" i="97" s="1"/>
  <c r="G29" i="97" s="1"/>
  <c r="F30" i="97" s="1"/>
  <c r="I28" i="97"/>
  <c r="H30" i="98" l="1"/>
  <c r="E30" i="98"/>
  <c r="D30" i="98" s="1"/>
  <c r="G30" i="98" s="1"/>
  <c r="F31" i="98" s="1"/>
  <c r="I29" i="98"/>
  <c r="I29" i="97"/>
  <c r="H30" i="97"/>
  <c r="E30" i="97"/>
  <c r="D30" i="97" s="1"/>
  <c r="G30" i="97" s="1"/>
  <c r="F31" i="97" s="1"/>
  <c r="H31" i="98" l="1"/>
  <c r="E31" i="98"/>
  <c r="D31" i="98" s="1"/>
  <c r="G31" i="98" s="1"/>
  <c r="F32" i="98" s="1"/>
  <c r="I30" i="98"/>
  <c r="H31" i="97"/>
  <c r="E31" i="97"/>
  <c r="D31" i="97" s="1"/>
  <c r="G31" i="97" s="1"/>
  <c r="F32" i="97" s="1"/>
  <c r="I30" i="97"/>
  <c r="E32" i="98" l="1"/>
  <c r="D32" i="98" s="1"/>
  <c r="G32" i="98" s="1"/>
  <c r="F33" i="98" s="1"/>
  <c r="H32" i="98"/>
  <c r="I31" i="98"/>
  <c r="I31" i="97"/>
  <c r="E32" i="97"/>
  <c r="D32" i="97" s="1"/>
  <c r="G32" i="97" s="1"/>
  <c r="F33" i="97" s="1"/>
  <c r="H32" i="97"/>
  <c r="H33" i="98" l="1"/>
  <c r="E33" i="98"/>
  <c r="D33" i="98" s="1"/>
  <c r="G33" i="98" s="1"/>
  <c r="F34" i="98" s="1"/>
  <c r="I32" i="98"/>
  <c r="I32" i="97"/>
  <c r="H33" i="97"/>
  <c r="E33" i="97"/>
  <c r="D33" i="97" s="1"/>
  <c r="G33" i="97" s="1"/>
  <c r="F34" i="97" s="1"/>
  <c r="H34" i="98" l="1"/>
  <c r="E34" i="98"/>
  <c r="D34" i="98" s="1"/>
  <c r="G34" i="98" s="1"/>
  <c r="F35" i="98" s="1"/>
  <c r="I33" i="98"/>
  <c r="I33" i="97"/>
  <c r="H34" i="97"/>
  <c r="E34" i="97"/>
  <c r="D34" i="97" s="1"/>
  <c r="G34" i="97" s="1"/>
  <c r="F35" i="97" s="1"/>
  <c r="I34" i="98" l="1"/>
  <c r="H35" i="98"/>
  <c r="E35" i="98"/>
  <c r="D35" i="98" s="1"/>
  <c r="G35" i="98" s="1"/>
  <c r="F36" i="98" s="1"/>
  <c r="I34" i="97"/>
  <c r="H35" i="97"/>
  <c r="E35" i="97"/>
  <c r="D35" i="97" s="1"/>
  <c r="G35" i="97" s="1"/>
  <c r="F36" i="97" s="1"/>
  <c r="I35" i="98" l="1"/>
  <c r="H36" i="98"/>
  <c r="E36" i="98"/>
  <c r="D36" i="98" s="1"/>
  <c r="G36" i="98" s="1"/>
  <c r="F37" i="98" s="1"/>
  <c r="H36" i="97"/>
  <c r="E36" i="97"/>
  <c r="D36" i="97" s="1"/>
  <c r="G36" i="97" s="1"/>
  <c r="F37" i="97" s="1"/>
  <c r="I35" i="97"/>
  <c r="I36" i="98" l="1"/>
  <c r="H37" i="98"/>
  <c r="E37" i="98"/>
  <c r="D37" i="98" s="1"/>
  <c r="G37" i="98" s="1"/>
  <c r="F38" i="98" s="1"/>
  <c r="H37" i="97"/>
  <c r="E37" i="97"/>
  <c r="D37" i="97" s="1"/>
  <c r="G37" i="97" s="1"/>
  <c r="F38" i="97" s="1"/>
  <c r="I36" i="97"/>
  <c r="I37" i="98" l="1"/>
  <c r="E38" i="98"/>
  <c r="D38" i="98" s="1"/>
  <c r="G38" i="98" s="1"/>
  <c r="F39" i="98" s="1"/>
  <c r="H38" i="98"/>
  <c r="E38" i="97"/>
  <c r="D38" i="97" s="1"/>
  <c r="G38" i="97" s="1"/>
  <c r="F39" i="97" s="1"/>
  <c r="H38" i="97"/>
  <c r="I37" i="97"/>
  <c r="I38" i="98" l="1"/>
  <c r="G39" i="98"/>
  <c r="H39" i="98"/>
  <c r="I39" i="98" s="1"/>
  <c r="I38" i="97"/>
  <c r="G39" i="97"/>
  <c r="H39" i="97"/>
  <c r="I39" i="97" s="1"/>
  <c r="J2" i="95" l="1"/>
  <c r="N1" i="95"/>
  <c r="H1" i="95" l="1"/>
  <c r="C68" i="95" s="1"/>
  <c r="C94" i="95"/>
  <c r="J2" i="94"/>
  <c r="C82" i="95"/>
  <c r="C83" i="95"/>
  <c r="C84" i="95"/>
  <c r="C85" i="95"/>
  <c r="C86" i="95"/>
  <c r="C87" i="95"/>
  <c r="C88" i="95"/>
  <c r="C89" i="95"/>
  <c r="C90" i="95"/>
  <c r="C91" i="95"/>
  <c r="C92" i="95"/>
  <c r="C73" i="95"/>
  <c r="N2" i="95"/>
  <c r="B66" i="95"/>
  <c r="B67" i="95"/>
  <c r="B68" i="95"/>
  <c r="B69" i="95"/>
  <c r="B70" i="95"/>
  <c r="B71" i="95"/>
  <c r="B72" i="95"/>
  <c r="B73" i="95"/>
  <c r="B74" i="95"/>
  <c r="B75" i="95"/>
  <c r="B76" i="95"/>
  <c r="B77" i="95"/>
  <c r="B78" i="95"/>
  <c r="B79" i="95"/>
  <c r="B80" i="95"/>
  <c r="B81" i="95"/>
  <c r="B82" i="95"/>
  <c r="B83" i="95"/>
  <c r="B84" i="95"/>
  <c r="B85" i="95"/>
  <c r="B86" i="95"/>
  <c r="B87" i="95"/>
  <c r="B88" i="95"/>
  <c r="B89" i="95"/>
  <c r="B90" i="95"/>
  <c r="B91" i="95"/>
  <c r="B92" i="95"/>
  <c r="B93" i="95"/>
  <c r="B94" i="95"/>
  <c r="B95" i="95"/>
  <c r="B96" i="95"/>
  <c r="B97" i="95"/>
  <c r="B98" i="95"/>
  <c r="B99" i="95"/>
  <c r="B100" i="95"/>
  <c r="B101" i="95"/>
  <c r="B102" i="95"/>
  <c r="B103" i="95"/>
  <c r="B104" i="95"/>
  <c r="B105" i="95"/>
  <c r="B106" i="95"/>
  <c r="B107" i="95"/>
  <c r="B65" i="95"/>
  <c r="B64" i="95"/>
  <c r="D1" i="95"/>
  <c r="C41" i="95" s="1"/>
  <c r="B40" i="95"/>
  <c r="B41" i="95"/>
  <c r="B42" i="95"/>
  <c r="B43" i="95"/>
  <c r="B44" i="95"/>
  <c r="B45" i="95"/>
  <c r="B46" i="95"/>
  <c r="B47" i="95"/>
  <c r="B48" i="95"/>
  <c r="B49" i="95"/>
  <c r="B50" i="95"/>
  <c r="B51" i="95"/>
  <c r="B52" i="95"/>
  <c r="B53" i="95"/>
  <c r="B54" i="95"/>
  <c r="B55" i="95"/>
  <c r="B56" i="95"/>
  <c r="B57" i="95"/>
  <c r="B58" i="95"/>
  <c r="B59" i="95"/>
  <c r="B60" i="95"/>
  <c r="B61" i="95"/>
  <c r="B62" i="95"/>
  <c r="B63" i="95"/>
  <c r="C96" i="94"/>
  <c r="C82" i="94"/>
  <c r="C83" i="94"/>
  <c r="C84" i="94"/>
  <c r="C85" i="94"/>
  <c r="C86" i="94"/>
  <c r="C87" i="94"/>
  <c r="C88" i="94"/>
  <c r="C89" i="94"/>
  <c r="C90" i="94"/>
  <c r="C91" i="94"/>
  <c r="C92" i="94"/>
  <c r="N1" i="94"/>
  <c r="C69" i="94" s="1"/>
  <c r="H1" i="94"/>
  <c r="C66" i="94" s="1"/>
  <c r="N2" i="94"/>
  <c r="B66" i="94"/>
  <c r="B67" i="94"/>
  <c r="B68" i="94"/>
  <c r="B69" i="94"/>
  <c r="B70" i="94"/>
  <c r="B71" i="94"/>
  <c r="B72" i="94"/>
  <c r="B73" i="94"/>
  <c r="B74" i="94"/>
  <c r="B75" i="94"/>
  <c r="B76" i="94"/>
  <c r="B77" i="94"/>
  <c r="B78" i="94"/>
  <c r="B79" i="94"/>
  <c r="B80" i="94"/>
  <c r="B81" i="94"/>
  <c r="B82" i="94"/>
  <c r="B83" i="94"/>
  <c r="B84" i="94"/>
  <c r="B85" i="94"/>
  <c r="B86" i="94"/>
  <c r="B87" i="94"/>
  <c r="B88" i="94"/>
  <c r="B89" i="94"/>
  <c r="B90" i="94"/>
  <c r="B91" i="94"/>
  <c r="B92" i="94"/>
  <c r="B93" i="94"/>
  <c r="B94" i="94"/>
  <c r="B95" i="94"/>
  <c r="B96" i="94"/>
  <c r="B97" i="94"/>
  <c r="B98" i="94"/>
  <c r="B99" i="94"/>
  <c r="B100" i="94"/>
  <c r="B101" i="94"/>
  <c r="B102" i="94"/>
  <c r="B103" i="94"/>
  <c r="B104" i="94"/>
  <c r="B105" i="94"/>
  <c r="B106" i="94"/>
  <c r="B107" i="94"/>
  <c r="B65" i="94"/>
  <c r="B64" i="94"/>
  <c r="B40" i="94"/>
  <c r="B41" i="94"/>
  <c r="B42" i="94"/>
  <c r="B43" i="94"/>
  <c r="B44" i="94"/>
  <c r="B45" i="94"/>
  <c r="B46" i="94"/>
  <c r="B47" i="94"/>
  <c r="B48" i="94"/>
  <c r="B49" i="94"/>
  <c r="B50" i="94"/>
  <c r="B51" i="94"/>
  <c r="B52" i="94"/>
  <c r="B53" i="94"/>
  <c r="B54" i="94"/>
  <c r="B55" i="94"/>
  <c r="B56" i="94"/>
  <c r="B57" i="94"/>
  <c r="B58" i="94"/>
  <c r="B59" i="94"/>
  <c r="B60" i="94"/>
  <c r="B61" i="94"/>
  <c r="B62" i="94"/>
  <c r="B63" i="94"/>
  <c r="D1" i="94"/>
  <c r="C16" i="94" s="1"/>
  <c r="B39" i="95"/>
  <c r="B38" i="95"/>
  <c r="B37" i="95"/>
  <c r="B36" i="95"/>
  <c r="B35" i="95"/>
  <c r="B34" i="95"/>
  <c r="B33" i="95"/>
  <c r="B32" i="95"/>
  <c r="B31" i="95"/>
  <c r="B30" i="95"/>
  <c r="B29" i="95"/>
  <c r="B28" i="95"/>
  <c r="B27" i="95"/>
  <c r="B26" i="95"/>
  <c r="B25" i="95"/>
  <c r="B24" i="95"/>
  <c r="B23" i="95"/>
  <c r="B22" i="95"/>
  <c r="B21" i="95"/>
  <c r="B20" i="95"/>
  <c r="B19" i="95"/>
  <c r="B18" i="95"/>
  <c r="B17" i="95"/>
  <c r="B16" i="95"/>
  <c r="B15" i="95"/>
  <c r="B14" i="95"/>
  <c r="B13" i="95"/>
  <c r="B12" i="95"/>
  <c r="B11" i="95"/>
  <c r="B10" i="95"/>
  <c r="B9" i="95"/>
  <c r="B8" i="95"/>
  <c r="B7" i="95"/>
  <c r="B6" i="95"/>
  <c r="B5" i="95"/>
  <c r="B4" i="95"/>
  <c r="H4" i="95" s="1"/>
  <c r="B39" i="94"/>
  <c r="B38" i="94"/>
  <c r="B37" i="94"/>
  <c r="B36" i="94"/>
  <c r="B35" i="94"/>
  <c r="B34" i="94"/>
  <c r="B33" i="94"/>
  <c r="B32" i="94"/>
  <c r="B31" i="94"/>
  <c r="B30" i="94"/>
  <c r="B29" i="94"/>
  <c r="B28" i="94"/>
  <c r="B27" i="94"/>
  <c r="B26" i="94"/>
  <c r="B25" i="94"/>
  <c r="B24" i="94"/>
  <c r="B23" i="94"/>
  <c r="B22" i="94"/>
  <c r="B21" i="94"/>
  <c r="B20" i="94"/>
  <c r="B19" i="94"/>
  <c r="B18" i="94"/>
  <c r="B17" i="94"/>
  <c r="B16" i="94"/>
  <c r="B15" i="94"/>
  <c r="B14" i="94"/>
  <c r="B13" i="94"/>
  <c r="B12" i="94"/>
  <c r="B11" i="94"/>
  <c r="B10" i="94"/>
  <c r="B9" i="94"/>
  <c r="B8" i="94"/>
  <c r="B7" i="94"/>
  <c r="B6" i="94"/>
  <c r="B5" i="94"/>
  <c r="B4" i="94"/>
  <c r="H4" i="94" s="1"/>
  <c r="C52" i="95" l="1"/>
  <c r="C56" i="95"/>
  <c r="C96" i="95"/>
  <c r="C48" i="95"/>
  <c r="C81" i="95"/>
  <c r="C60" i="95"/>
  <c r="C71" i="95"/>
  <c r="C81" i="94"/>
  <c r="C78" i="95"/>
  <c r="C107" i="95"/>
  <c r="C72" i="95"/>
  <c r="C103" i="95"/>
  <c r="C102" i="95"/>
  <c r="C101" i="95"/>
  <c r="C95" i="95"/>
  <c r="C93" i="95"/>
  <c r="C100" i="95"/>
  <c r="C99" i="95"/>
  <c r="C106" i="95"/>
  <c r="C98" i="95"/>
  <c r="C105" i="95"/>
  <c r="C97" i="95"/>
  <c r="C104" i="95"/>
  <c r="C67" i="95"/>
  <c r="C64" i="95"/>
  <c r="C66" i="95"/>
  <c r="C76" i="95"/>
  <c r="C70" i="95"/>
  <c r="C80" i="95"/>
  <c r="C79" i="95"/>
  <c r="C77" i="95"/>
  <c r="C75" i="95"/>
  <c r="C74" i="95"/>
  <c r="C69" i="95"/>
  <c r="C65" i="95"/>
  <c r="C44" i="95"/>
  <c r="C40" i="95"/>
  <c r="C63" i="95"/>
  <c r="C59" i="95"/>
  <c r="C55" i="95"/>
  <c r="C51" i="95"/>
  <c r="C47" i="95"/>
  <c r="C43" i="95"/>
  <c r="C62" i="95"/>
  <c r="C58" i="95"/>
  <c r="C54" i="95"/>
  <c r="C50" i="95"/>
  <c r="C46" i="95"/>
  <c r="C42" i="95"/>
  <c r="C61" i="95"/>
  <c r="C57" i="95"/>
  <c r="C53" i="95"/>
  <c r="C49" i="95"/>
  <c r="C45" i="95"/>
  <c r="C79" i="94"/>
  <c r="C71" i="94"/>
  <c r="C67" i="94"/>
  <c r="C93" i="94"/>
  <c r="C100" i="94"/>
  <c r="C107" i="94"/>
  <c r="C99" i="94"/>
  <c r="C103" i="94"/>
  <c r="C102" i="94"/>
  <c r="C105" i="94"/>
  <c r="C97" i="94"/>
  <c r="C95" i="94"/>
  <c r="C94" i="94"/>
  <c r="C101" i="94"/>
  <c r="C106" i="94"/>
  <c r="C98" i="94"/>
  <c r="C104" i="94"/>
  <c r="C78" i="94"/>
  <c r="C70" i="94"/>
  <c r="C77" i="94"/>
  <c r="C76" i="94"/>
  <c r="C75" i="94"/>
  <c r="C74" i="94"/>
  <c r="C73" i="94"/>
  <c r="C80" i="94"/>
  <c r="C72" i="94"/>
  <c r="C63" i="94"/>
  <c r="C55" i="94"/>
  <c r="C68" i="94"/>
  <c r="C43" i="94"/>
  <c r="C47" i="94"/>
  <c r="C59" i="94"/>
  <c r="C64" i="94"/>
  <c r="C51" i="94"/>
  <c r="C65" i="94"/>
  <c r="C62" i="94"/>
  <c r="C58" i="94"/>
  <c r="C54" i="94"/>
  <c r="C50" i="94"/>
  <c r="C46" i="94"/>
  <c r="C42" i="94"/>
  <c r="C61" i="94"/>
  <c r="C57" i="94"/>
  <c r="C53" i="94"/>
  <c r="C49" i="94"/>
  <c r="C45" i="94"/>
  <c r="C41" i="94"/>
  <c r="C60" i="94"/>
  <c r="C56" i="94"/>
  <c r="C52" i="94"/>
  <c r="C48" i="94"/>
  <c r="C44" i="94"/>
  <c r="C40" i="94"/>
  <c r="E4" i="95"/>
  <c r="I4" i="95" s="1"/>
  <c r="E4" i="94"/>
  <c r="I4" i="94" s="1"/>
  <c r="C11" i="94"/>
  <c r="C19" i="94"/>
  <c r="C8" i="94"/>
  <c r="C4" i="94"/>
  <c r="C39" i="94"/>
  <c r="C38" i="94"/>
  <c r="C37" i="94"/>
  <c r="C36" i="94"/>
  <c r="C35" i="94"/>
  <c r="C34" i="94"/>
  <c r="C33" i="94"/>
  <c r="C32" i="94"/>
  <c r="C31" i="94"/>
  <c r="C30" i="94"/>
  <c r="C29" i="94"/>
  <c r="C28" i="94"/>
  <c r="C27" i="94"/>
  <c r="C24" i="94"/>
  <c r="C26" i="94"/>
  <c r="C5" i="94"/>
  <c r="C13" i="94"/>
  <c r="C21" i="94"/>
  <c r="C4" i="95"/>
  <c r="C39" i="95"/>
  <c r="C38" i="95"/>
  <c r="C37" i="95"/>
  <c r="C36" i="95"/>
  <c r="C35" i="95"/>
  <c r="C34" i="95"/>
  <c r="C33" i="95"/>
  <c r="C32" i="95"/>
  <c r="C31" i="95"/>
  <c r="C30" i="95"/>
  <c r="C29" i="95"/>
  <c r="C28" i="95"/>
  <c r="C27" i="95"/>
  <c r="C26" i="95"/>
  <c r="C25" i="95"/>
  <c r="C24" i="95"/>
  <c r="C23" i="95"/>
  <c r="C22" i="95"/>
  <c r="C21" i="95"/>
  <c r="C20" i="95"/>
  <c r="C19" i="95"/>
  <c r="C18" i="95"/>
  <c r="C17" i="95"/>
  <c r="C16" i="95"/>
  <c r="C15" i="95"/>
  <c r="C14" i="95"/>
  <c r="C13" i="95"/>
  <c r="C12" i="95"/>
  <c r="C11" i="95"/>
  <c r="C10" i="95"/>
  <c r="C9" i="95"/>
  <c r="C8" i="95"/>
  <c r="C7" i="95"/>
  <c r="C6" i="95"/>
  <c r="C5" i="95"/>
  <c r="C7" i="94"/>
  <c r="C15" i="94"/>
  <c r="C10" i="94"/>
  <c r="C18" i="94"/>
  <c r="C23" i="94"/>
  <c r="C25" i="94"/>
  <c r="C12" i="94"/>
  <c r="C20" i="94"/>
  <c r="C9" i="94"/>
  <c r="C17" i="94"/>
  <c r="C6" i="94"/>
  <c r="C14" i="94"/>
  <c r="C22" i="94"/>
  <c r="D4" i="95" l="1"/>
  <c r="G4" i="95" s="1"/>
  <c r="F5" i="95" s="1"/>
  <c r="H5" i="95" s="1"/>
  <c r="D4" i="94"/>
  <c r="G4" i="94" s="1"/>
  <c r="F5" i="94" s="1"/>
  <c r="H5" i="94" s="1"/>
  <c r="E5" i="95" l="1"/>
  <c r="D5" i="95" s="1"/>
  <c r="G5" i="95" s="1"/>
  <c r="F6" i="95" s="1"/>
  <c r="E6" i="95" s="1"/>
  <c r="D6" i="95" s="1"/>
  <c r="G6" i="95" s="1"/>
  <c r="F7" i="95" s="1"/>
  <c r="E5" i="94"/>
  <c r="D5" i="94" s="1"/>
  <c r="G5" i="94" s="1"/>
  <c r="F6" i="94" s="1"/>
  <c r="H6" i="94" s="1"/>
  <c r="I5" i="95" l="1"/>
  <c r="H6" i="95"/>
  <c r="I6" i="95" s="1"/>
  <c r="I5" i="94"/>
  <c r="E6" i="94"/>
  <c r="D6" i="94" s="1"/>
  <c r="G6" i="94" s="1"/>
  <c r="F7" i="94" s="1"/>
  <c r="H7" i="94" s="1"/>
  <c r="H7" i="95"/>
  <c r="E7" i="95"/>
  <c r="D7" i="95" s="1"/>
  <c r="G7" i="95" s="1"/>
  <c r="F8" i="95" l="1"/>
  <c r="E64" i="95" s="1"/>
  <c r="F64" i="95"/>
  <c r="E7" i="94"/>
  <c r="D7" i="94" s="1"/>
  <c r="G7" i="94" s="1"/>
  <c r="I6" i="94"/>
  <c r="I7" i="95"/>
  <c r="E8" i="95" l="1"/>
  <c r="I8" i="95" s="1"/>
  <c r="H8" i="95"/>
  <c r="F8" i="94"/>
  <c r="E64" i="94" s="1"/>
  <c r="F64" i="94"/>
  <c r="I7" i="94"/>
  <c r="D8" i="95" l="1"/>
  <c r="G8" i="95" s="1"/>
  <c r="F9" i="95" s="1"/>
  <c r="D64" i="95"/>
  <c r="G64" i="95" s="1"/>
  <c r="F65" i="95" s="1"/>
  <c r="E65" i="95" s="1"/>
  <c r="D65" i="95" s="1"/>
  <c r="G65" i="95" s="1"/>
  <c r="F66" i="95" s="1"/>
  <c r="E66" i="95" s="1"/>
  <c r="D66" i="95" s="1"/>
  <c r="G66" i="95" s="1"/>
  <c r="F67" i="95" s="1"/>
  <c r="E67" i="95" s="1"/>
  <c r="D67" i="95" s="1"/>
  <c r="G67" i="95" s="1"/>
  <c r="F68" i="95" s="1"/>
  <c r="E68" i="95" s="1"/>
  <c r="D68" i="95" s="1"/>
  <c r="G68" i="95" s="1"/>
  <c r="H8" i="94"/>
  <c r="E8" i="94"/>
  <c r="F69" i="95" l="1"/>
  <c r="E69" i="95" s="1"/>
  <c r="D69" i="95" s="1"/>
  <c r="G69" i="95" s="1"/>
  <c r="F70" i="95" s="1"/>
  <c r="E70" i="95" s="1"/>
  <c r="D70" i="95" s="1"/>
  <c r="G70" i="95" s="1"/>
  <c r="F71" i="95" s="1"/>
  <c r="E71" i="95" s="1"/>
  <c r="D71" i="95" s="1"/>
  <c r="G71" i="95" s="1"/>
  <c r="F72" i="95" s="1"/>
  <c r="E72" i="95" s="1"/>
  <c r="D72" i="95" s="1"/>
  <c r="G72" i="95" s="1"/>
  <c r="F73" i="95" s="1"/>
  <c r="E73" i="95" s="1"/>
  <c r="D73" i="95" s="1"/>
  <c r="G73" i="95" s="1"/>
  <c r="F74" i="95" s="1"/>
  <c r="E9" i="95"/>
  <c r="D9" i="95" s="1"/>
  <c r="G9" i="95" s="1"/>
  <c r="F10" i="95" s="1"/>
  <c r="H9" i="95"/>
  <c r="I8" i="94"/>
  <c r="D8" i="94"/>
  <c r="G8" i="94" s="1"/>
  <c r="F9" i="94" s="1"/>
  <c r="D64" i="94"/>
  <c r="G64" i="94" s="1"/>
  <c r="F65" i="94" s="1"/>
  <c r="I9" i="95" l="1"/>
  <c r="H10" i="95"/>
  <c r="E10" i="95"/>
  <c r="D10" i="95" s="1"/>
  <c r="G10" i="95" s="1"/>
  <c r="F11" i="95" s="1"/>
  <c r="E74" i="95"/>
  <c r="D74" i="95" s="1"/>
  <c r="G74" i="95" s="1"/>
  <c r="F75" i="95" s="1"/>
  <c r="E65" i="94"/>
  <c r="D65" i="94" s="1"/>
  <c r="G65" i="94" s="1"/>
  <c r="F66" i="94" s="1"/>
  <c r="E66" i="94" s="1"/>
  <c r="D66" i="94" s="1"/>
  <c r="G66" i="94" s="1"/>
  <c r="F67" i="94" s="1"/>
  <c r="E67" i="94" s="1"/>
  <c r="D67" i="94" s="1"/>
  <c r="G67" i="94" s="1"/>
  <c r="F68" i="94" s="1"/>
  <c r="E68" i="94" s="1"/>
  <c r="D68" i="94" s="1"/>
  <c r="G68" i="94" s="1"/>
  <c r="E9" i="94"/>
  <c r="D9" i="94" s="1"/>
  <c r="G9" i="94" s="1"/>
  <c r="F10" i="94" s="1"/>
  <c r="H9" i="94"/>
  <c r="H11" i="95" l="1"/>
  <c r="E11" i="95"/>
  <c r="D11" i="95" s="1"/>
  <c r="G11" i="95" s="1"/>
  <c r="F12" i="95" s="1"/>
  <c r="I10" i="95"/>
  <c r="E75" i="95"/>
  <c r="D75" i="95" s="1"/>
  <c r="G75" i="95" s="1"/>
  <c r="F76" i="95" s="1"/>
  <c r="E76" i="95" s="1"/>
  <c r="D76" i="95" s="1"/>
  <c r="G76" i="95" s="1"/>
  <c r="F77" i="95" s="1"/>
  <c r="E77" i="95" s="1"/>
  <c r="D77" i="95" s="1"/>
  <c r="G77" i="95" s="1"/>
  <c r="F78" i="95" s="1"/>
  <c r="E78" i="95" s="1"/>
  <c r="F69" i="94"/>
  <c r="I9" i="94"/>
  <c r="H10" i="94"/>
  <c r="E10" i="94"/>
  <c r="D10" i="94" s="1"/>
  <c r="G10" i="94" s="1"/>
  <c r="F11" i="94" s="1"/>
  <c r="I11" i="95" l="1"/>
  <c r="H12" i="95"/>
  <c r="E12" i="95"/>
  <c r="D12" i="95" s="1"/>
  <c r="G12" i="95" s="1"/>
  <c r="F13" i="95" s="1"/>
  <c r="D78" i="95"/>
  <c r="G78" i="95" s="1"/>
  <c r="F79" i="95" s="1"/>
  <c r="E79" i="95" s="1"/>
  <c r="E69" i="94"/>
  <c r="D69" i="94" s="1"/>
  <c r="G69" i="94" s="1"/>
  <c r="F70" i="94" s="1"/>
  <c r="E70" i="94" s="1"/>
  <c r="D70" i="94" s="1"/>
  <c r="G70" i="94" s="1"/>
  <c r="F71" i="94" s="1"/>
  <c r="E71" i="94" s="1"/>
  <c r="D71" i="94" s="1"/>
  <c r="G71" i="94" s="1"/>
  <c r="F72" i="94" s="1"/>
  <c r="E72" i="94" s="1"/>
  <c r="D72" i="94" s="1"/>
  <c r="G72" i="94" s="1"/>
  <c r="F73" i="94" s="1"/>
  <c r="E73" i="94" s="1"/>
  <c r="D73" i="94" s="1"/>
  <c r="G73" i="94" s="1"/>
  <c r="F74" i="94" s="1"/>
  <c r="E74" i="94" s="1"/>
  <c r="D74" i="94" s="1"/>
  <c r="G74" i="94" s="1"/>
  <c r="F75" i="94" s="1"/>
  <c r="E75" i="94" s="1"/>
  <c r="D75" i="94" s="1"/>
  <c r="G75" i="94" s="1"/>
  <c r="F76" i="94" s="1"/>
  <c r="E76" i="94" s="1"/>
  <c r="D76" i="94" s="1"/>
  <c r="G76" i="94" s="1"/>
  <c r="F77" i="94" s="1"/>
  <c r="E77" i="94" s="1"/>
  <c r="I10" i="94"/>
  <c r="E11" i="94"/>
  <c r="D11" i="94" s="1"/>
  <c r="G11" i="94" s="1"/>
  <c r="F12" i="94" s="1"/>
  <c r="H11" i="94"/>
  <c r="E13" i="95" l="1"/>
  <c r="D13" i="95" s="1"/>
  <c r="G13" i="95" s="1"/>
  <c r="F14" i="95" s="1"/>
  <c r="H13" i="95"/>
  <c r="I12" i="95"/>
  <c r="D79" i="95"/>
  <c r="G79" i="95" s="1"/>
  <c r="F80" i="95" s="1"/>
  <c r="E80" i="95" s="1"/>
  <c r="I11" i="94"/>
  <c r="H12" i="94"/>
  <c r="E12" i="94"/>
  <c r="D12" i="94" s="1"/>
  <c r="G12" i="94" s="1"/>
  <c r="F13" i="94" s="1"/>
  <c r="D77" i="94"/>
  <c r="G77" i="94" s="1"/>
  <c r="F78" i="94" s="1"/>
  <c r="E78" i="94" s="1"/>
  <c r="I13" i="95" l="1"/>
  <c r="H14" i="95"/>
  <c r="E14" i="95"/>
  <c r="D14" i="95" s="1"/>
  <c r="G14" i="95" s="1"/>
  <c r="F15" i="95" s="1"/>
  <c r="D80" i="95"/>
  <c r="G80" i="95" s="1"/>
  <c r="F81" i="95" s="1"/>
  <c r="E81" i="95" s="1"/>
  <c r="I12" i="94"/>
  <c r="H13" i="94"/>
  <c r="E13" i="94"/>
  <c r="D13" i="94" s="1"/>
  <c r="G13" i="94" s="1"/>
  <c r="F14" i="94" s="1"/>
  <c r="D78" i="94"/>
  <c r="G78" i="94" s="1"/>
  <c r="F79" i="94" s="1"/>
  <c r="E79" i="94" s="1"/>
  <c r="E15" i="95" l="1"/>
  <c r="D15" i="95" s="1"/>
  <c r="G15" i="95" s="1"/>
  <c r="F16" i="95" s="1"/>
  <c r="H15" i="95"/>
  <c r="I14" i="95"/>
  <c r="D81" i="95"/>
  <c r="G81" i="95" s="1"/>
  <c r="F82" i="95" s="1"/>
  <c r="E82" i="95" s="1"/>
  <c r="H14" i="94"/>
  <c r="E14" i="94"/>
  <c r="D14" i="94" s="1"/>
  <c r="G14" i="94" s="1"/>
  <c r="F15" i="94" s="1"/>
  <c r="I13" i="94"/>
  <c r="D79" i="94"/>
  <c r="G79" i="94" s="1"/>
  <c r="F80" i="94" s="1"/>
  <c r="E80" i="94" s="1"/>
  <c r="E16" i="95" l="1"/>
  <c r="D16" i="95" s="1"/>
  <c r="G16" i="95" s="1"/>
  <c r="F17" i="95" s="1"/>
  <c r="H16" i="95"/>
  <c r="I15" i="95"/>
  <c r="D82" i="95"/>
  <c r="G82" i="95" s="1"/>
  <c r="F83" i="95" s="1"/>
  <c r="E83" i="95" s="1"/>
  <c r="E15" i="94"/>
  <c r="D15" i="94" s="1"/>
  <c r="G15" i="94" s="1"/>
  <c r="F16" i="94" s="1"/>
  <c r="H15" i="94"/>
  <c r="I14" i="94"/>
  <c r="D80" i="94"/>
  <c r="G80" i="94" s="1"/>
  <c r="F81" i="94" s="1"/>
  <c r="E81" i="94" s="1"/>
  <c r="I16" i="95" l="1"/>
  <c r="E17" i="95"/>
  <c r="D17" i="95" s="1"/>
  <c r="G17" i="95" s="1"/>
  <c r="F18" i="95" s="1"/>
  <c r="H17" i="95"/>
  <c r="I17" i="95" s="1"/>
  <c r="D83" i="95"/>
  <c r="G83" i="95" s="1"/>
  <c r="F84" i="95" s="1"/>
  <c r="E84" i="95" s="1"/>
  <c r="I15" i="94"/>
  <c r="H16" i="94"/>
  <c r="E16" i="94"/>
  <c r="D16" i="94" s="1"/>
  <c r="G16" i="94" s="1"/>
  <c r="F17" i="94" s="1"/>
  <c r="D81" i="94"/>
  <c r="G81" i="94" s="1"/>
  <c r="F82" i="94" s="1"/>
  <c r="E82" i="94" s="1"/>
  <c r="E18" i="95" l="1"/>
  <c r="D18" i="95" s="1"/>
  <c r="G18" i="95" s="1"/>
  <c r="F19" i="95" s="1"/>
  <c r="H18" i="95"/>
  <c r="D84" i="95"/>
  <c r="G84" i="95" s="1"/>
  <c r="F85" i="95" s="1"/>
  <c r="E85" i="95" s="1"/>
  <c r="H17" i="94"/>
  <c r="E17" i="94"/>
  <c r="D17" i="94" s="1"/>
  <c r="G17" i="94" s="1"/>
  <c r="F18" i="94" s="1"/>
  <c r="I16" i="94"/>
  <c r="D82" i="94"/>
  <c r="G82" i="94" s="1"/>
  <c r="F83" i="94" s="1"/>
  <c r="E83" i="94" s="1"/>
  <c r="I18" i="95" l="1"/>
  <c r="E19" i="95"/>
  <c r="D19" i="95" s="1"/>
  <c r="G19" i="95" s="1"/>
  <c r="F20" i="95" s="1"/>
  <c r="H19" i="95"/>
  <c r="D85" i="95"/>
  <c r="G85" i="95" s="1"/>
  <c r="F86" i="95" s="1"/>
  <c r="E86" i="95" s="1"/>
  <c r="I17" i="94"/>
  <c r="H18" i="94"/>
  <c r="E18" i="94"/>
  <c r="D18" i="94" s="1"/>
  <c r="G18" i="94" s="1"/>
  <c r="F19" i="94" s="1"/>
  <c r="D83" i="94"/>
  <c r="G83" i="94" s="1"/>
  <c r="F84" i="94" s="1"/>
  <c r="E84" i="94" s="1"/>
  <c r="H20" i="95" l="1"/>
  <c r="E20" i="95"/>
  <c r="D20" i="95" s="1"/>
  <c r="G20" i="95" s="1"/>
  <c r="F21" i="95" s="1"/>
  <c r="I19" i="95"/>
  <c r="D86" i="95"/>
  <c r="G86" i="95" s="1"/>
  <c r="F87" i="95" s="1"/>
  <c r="E87" i="95" s="1"/>
  <c r="E19" i="94"/>
  <c r="D19" i="94" s="1"/>
  <c r="G19" i="94" s="1"/>
  <c r="F20" i="94" s="1"/>
  <c r="H19" i="94"/>
  <c r="I18" i="94"/>
  <c r="D84" i="94"/>
  <c r="G84" i="94" s="1"/>
  <c r="F85" i="94" s="1"/>
  <c r="E85" i="94" s="1"/>
  <c r="H21" i="95" l="1"/>
  <c r="E21" i="95"/>
  <c r="D21" i="95" s="1"/>
  <c r="G21" i="95" s="1"/>
  <c r="F22" i="95" s="1"/>
  <c r="I20" i="95"/>
  <c r="D87" i="95"/>
  <c r="G87" i="95" s="1"/>
  <c r="F88" i="95" s="1"/>
  <c r="E88" i="95" s="1"/>
  <c r="I19" i="94"/>
  <c r="H20" i="94"/>
  <c r="E20" i="94"/>
  <c r="D20" i="94" s="1"/>
  <c r="G20" i="94" s="1"/>
  <c r="F21" i="94" s="1"/>
  <c r="D85" i="94"/>
  <c r="G85" i="94" s="1"/>
  <c r="F86" i="94" s="1"/>
  <c r="E86" i="94" s="1"/>
  <c r="H22" i="95" l="1"/>
  <c r="E22" i="95"/>
  <c r="D22" i="95" s="1"/>
  <c r="G22" i="95" s="1"/>
  <c r="F23" i="95" s="1"/>
  <c r="I21" i="95"/>
  <c r="D88" i="95"/>
  <c r="G88" i="95" s="1"/>
  <c r="F89" i="95" s="1"/>
  <c r="E89" i="95" s="1"/>
  <c r="I20" i="94"/>
  <c r="H21" i="94"/>
  <c r="E21" i="94"/>
  <c r="D21" i="94" s="1"/>
  <c r="G21" i="94" s="1"/>
  <c r="F22" i="94" s="1"/>
  <c r="D86" i="94"/>
  <c r="G86" i="94" s="1"/>
  <c r="F87" i="94" s="1"/>
  <c r="E87" i="94" s="1"/>
  <c r="I22" i="95" l="1"/>
  <c r="E23" i="95"/>
  <c r="D23" i="95" s="1"/>
  <c r="G23" i="95" s="1"/>
  <c r="F24" i="95" s="1"/>
  <c r="H23" i="95"/>
  <c r="D89" i="95"/>
  <c r="G89" i="95" s="1"/>
  <c r="F90" i="95" s="1"/>
  <c r="E90" i="95" s="1"/>
  <c r="E22" i="94"/>
  <c r="D22" i="94" s="1"/>
  <c r="G22" i="94" s="1"/>
  <c r="F23" i="94" s="1"/>
  <c r="H22" i="94"/>
  <c r="I21" i="94"/>
  <c r="D87" i="94"/>
  <c r="G87" i="94" s="1"/>
  <c r="F88" i="94" s="1"/>
  <c r="E88" i="94" s="1"/>
  <c r="I23" i="95" l="1"/>
  <c r="H24" i="95"/>
  <c r="E24" i="95"/>
  <c r="D24" i="95" s="1"/>
  <c r="G24" i="95" s="1"/>
  <c r="F25" i="95" s="1"/>
  <c r="D90" i="95"/>
  <c r="G90" i="95" s="1"/>
  <c r="F91" i="95" s="1"/>
  <c r="E91" i="95" s="1"/>
  <c r="I22" i="94"/>
  <c r="H23" i="94"/>
  <c r="E23" i="94"/>
  <c r="D23" i="94" s="1"/>
  <c r="G23" i="94" s="1"/>
  <c r="F24" i="94" s="1"/>
  <c r="D88" i="94"/>
  <c r="G88" i="94" s="1"/>
  <c r="F89" i="94" s="1"/>
  <c r="E89" i="94" s="1"/>
  <c r="D63" i="94"/>
  <c r="H25" i="95" l="1"/>
  <c r="E25" i="95"/>
  <c r="D25" i="95" s="1"/>
  <c r="G25" i="95" s="1"/>
  <c r="F26" i="95" s="1"/>
  <c r="I24" i="95"/>
  <c r="D91" i="95"/>
  <c r="G91" i="95" s="1"/>
  <c r="F92" i="95" s="1"/>
  <c r="E92" i="95" s="1"/>
  <c r="H24" i="94"/>
  <c r="E24" i="94"/>
  <c r="D24" i="94" s="1"/>
  <c r="G24" i="94" s="1"/>
  <c r="F25" i="94" s="1"/>
  <c r="I23" i="94"/>
  <c r="D89" i="94"/>
  <c r="G89" i="94" s="1"/>
  <c r="F90" i="94" s="1"/>
  <c r="E90" i="94" s="1"/>
  <c r="E26" i="95" l="1"/>
  <c r="D26" i="95" s="1"/>
  <c r="G26" i="95" s="1"/>
  <c r="F27" i="95" s="1"/>
  <c r="H26" i="95"/>
  <c r="I25" i="95"/>
  <c r="D92" i="95"/>
  <c r="G92" i="95" s="1"/>
  <c r="F93" i="95" s="1"/>
  <c r="E93" i="95" s="1"/>
  <c r="E25" i="94"/>
  <c r="D25" i="94" s="1"/>
  <c r="G25" i="94" s="1"/>
  <c r="F26" i="94" s="1"/>
  <c r="H25" i="94"/>
  <c r="I24" i="94"/>
  <c r="D90" i="94"/>
  <c r="G90" i="94" s="1"/>
  <c r="F91" i="94" s="1"/>
  <c r="E91" i="94" s="1"/>
  <c r="I26" i="95" l="1"/>
  <c r="H27" i="95"/>
  <c r="E27" i="95"/>
  <c r="D27" i="95" s="1"/>
  <c r="G27" i="95" s="1"/>
  <c r="F28" i="95" s="1"/>
  <c r="D93" i="95"/>
  <c r="G93" i="95" s="1"/>
  <c r="F94" i="95" s="1"/>
  <c r="E94" i="95" s="1"/>
  <c r="I25" i="94"/>
  <c r="H26" i="94"/>
  <c r="E26" i="94"/>
  <c r="D26" i="94" s="1"/>
  <c r="G26" i="94" s="1"/>
  <c r="F27" i="94" s="1"/>
  <c r="D91" i="94"/>
  <c r="G91" i="94" s="1"/>
  <c r="F92" i="94" s="1"/>
  <c r="E92" i="94" s="1"/>
  <c r="I27" i="95" l="1"/>
  <c r="E28" i="95"/>
  <c r="D28" i="95" s="1"/>
  <c r="G28" i="95" s="1"/>
  <c r="F29" i="95" s="1"/>
  <c r="H28" i="95"/>
  <c r="D94" i="95"/>
  <c r="G94" i="95" s="1"/>
  <c r="F95" i="95" s="1"/>
  <c r="E95" i="95" s="1"/>
  <c r="H27" i="94"/>
  <c r="E27" i="94"/>
  <c r="D27" i="94" s="1"/>
  <c r="G27" i="94" s="1"/>
  <c r="F28" i="94" s="1"/>
  <c r="I26" i="94"/>
  <c r="D92" i="94"/>
  <c r="G92" i="94" s="1"/>
  <c r="F93" i="94" s="1"/>
  <c r="E93" i="94" s="1"/>
  <c r="E29" i="95" l="1"/>
  <c r="D29" i="95" s="1"/>
  <c r="G29" i="95" s="1"/>
  <c r="F30" i="95" s="1"/>
  <c r="H29" i="95"/>
  <c r="I28" i="95"/>
  <c r="D95" i="95"/>
  <c r="G95" i="95" s="1"/>
  <c r="F96" i="95" s="1"/>
  <c r="E96" i="95" s="1"/>
  <c r="H28" i="94"/>
  <c r="E28" i="94"/>
  <c r="D28" i="94" s="1"/>
  <c r="G28" i="94" s="1"/>
  <c r="F29" i="94" s="1"/>
  <c r="I27" i="94"/>
  <c r="D93" i="94"/>
  <c r="G93" i="94" s="1"/>
  <c r="F94" i="94" s="1"/>
  <c r="E94" i="94" s="1"/>
  <c r="H30" i="95" l="1"/>
  <c r="E30" i="95"/>
  <c r="D30" i="95" s="1"/>
  <c r="G30" i="95" s="1"/>
  <c r="F31" i="95" s="1"/>
  <c r="I29" i="95"/>
  <c r="D96" i="95"/>
  <c r="G96" i="95" s="1"/>
  <c r="F97" i="95" s="1"/>
  <c r="E97" i="95" s="1"/>
  <c r="H29" i="94"/>
  <c r="E29" i="94"/>
  <c r="D29" i="94" s="1"/>
  <c r="G29" i="94" s="1"/>
  <c r="F30" i="94" s="1"/>
  <c r="I28" i="94"/>
  <c r="D94" i="94"/>
  <c r="G94" i="94" s="1"/>
  <c r="F95" i="94" s="1"/>
  <c r="E95" i="94" s="1"/>
  <c r="I30" i="95" l="1"/>
  <c r="E31" i="95"/>
  <c r="D31" i="95" s="1"/>
  <c r="G31" i="95" s="1"/>
  <c r="F32" i="95" s="1"/>
  <c r="H31" i="95"/>
  <c r="D97" i="95"/>
  <c r="G97" i="95" s="1"/>
  <c r="F98" i="95" s="1"/>
  <c r="E98" i="95" s="1"/>
  <c r="H30" i="94"/>
  <c r="E30" i="94"/>
  <c r="D30" i="94" s="1"/>
  <c r="G30" i="94" s="1"/>
  <c r="F31" i="94" s="1"/>
  <c r="I29" i="94"/>
  <c r="D95" i="94"/>
  <c r="G95" i="94" s="1"/>
  <c r="F96" i="94" s="1"/>
  <c r="E96" i="94" s="1"/>
  <c r="E32" i="95" l="1"/>
  <c r="D32" i="95" s="1"/>
  <c r="G32" i="95" s="1"/>
  <c r="F33" i="95" s="1"/>
  <c r="H32" i="95"/>
  <c r="I31" i="95"/>
  <c r="D98" i="95"/>
  <c r="G98" i="95" s="1"/>
  <c r="F99" i="95" s="1"/>
  <c r="E99" i="95" s="1"/>
  <c r="H31" i="94"/>
  <c r="E31" i="94"/>
  <c r="D31" i="94" s="1"/>
  <c r="G31" i="94" s="1"/>
  <c r="F32" i="94" s="1"/>
  <c r="I30" i="94"/>
  <c r="D96" i="94"/>
  <c r="G96" i="94" s="1"/>
  <c r="F97" i="94" s="1"/>
  <c r="E97" i="94" s="1"/>
  <c r="I32" i="95" l="1"/>
  <c r="H33" i="95"/>
  <c r="E33" i="95"/>
  <c r="D33" i="95" s="1"/>
  <c r="G33" i="95" s="1"/>
  <c r="F34" i="95" s="1"/>
  <c r="D99" i="95"/>
  <c r="G99" i="95" s="1"/>
  <c r="F100" i="95" s="1"/>
  <c r="E100" i="95" s="1"/>
  <c r="H32" i="94"/>
  <c r="E32" i="94"/>
  <c r="D32" i="94" s="1"/>
  <c r="G32" i="94" s="1"/>
  <c r="F33" i="94" s="1"/>
  <c r="I31" i="94"/>
  <c r="D97" i="94"/>
  <c r="G97" i="94" s="1"/>
  <c r="F98" i="94" s="1"/>
  <c r="E98" i="94" s="1"/>
  <c r="I33" i="95" l="1"/>
  <c r="E34" i="95"/>
  <c r="D34" i="95" s="1"/>
  <c r="G34" i="95" s="1"/>
  <c r="F35" i="95" s="1"/>
  <c r="H34" i="95"/>
  <c r="D100" i="95"/>
  <c r="G100" i="95" s="1"/>
  <c r="F101" i="95" s="1"/>
  <c r="E101" i="95" s="1"/>
  <c r="H33" i="94"/>
  <c r="E33" i="94"/>
  <c r="D33" i="94" s="1"/>
  <c r="G33" i="94" s="1"/>
  <c r="F34" i="94" s="1"/>
  <c r="I32" i="94"/>
  <c r="D98" i="94"/>
  <c r="G98" i="94" s="1"/>
  <c r="F99" i="94" s="1"/>
  <c r="E99" i="94" s="1"/>
  <c r="I34" i="95" l="1"/>
  <c r="E35" i="95"/>
  <c r="D35" i="95" s="1"/>
  <c r="G35" i="95" s="1"/>
  <c r="F36" i="95" s="1"/>
  <c r="H35" i="95"/>
  <c r="D101" i="95"/>
  <c r="G101" i="95" s="1"/>
  <c r="F102" i="95" s="1"/>
  <c r="E102" i="95" s="1"/>
  <c r="H34" i="94"/>
  <c r="E34" i="94"/>
  <c r="D34" i="94" s="1"/>
  <c r="G34" i="94" s="1"/>
  <c r="F35" i="94" s="1"/>
  <c r="I33" i="94"/>
  <c r="D99" i="94"/>
  <c r="G99" i="94" s="1"/>
  <c r="F100" i="94" s="1"/>
  <c r="E100" i="94" s="1"/>
  <c r="I35" i="95" l="1"/>
  <c r="E36" i="95"/>
  <c r="D36" i="95" s="1"/>
  <c r="G36" i="95" s="1"/>
  <c r="F37" i="95" s="1"/>
  <c r="H36" i="95"/>
  <c r="D102" i="95"/>
  <c r="G102" i="95" s="1"/>
  <c r="F103" i="95" s="1"/>
  <c r="E103" i="95" s="1"/>
  <c r="H35" i="94"/>
  <c r="E35" i="94"/>
  <c r="D35" i="94" s="1"/>
  <c r="G35" i="94" s="1"/>
  <c r="F36" i="94" s="1"/>
  <c r="I34" i="94"/>
  <c r="D100" i="94"/>
  <c r="G100" i="94" s="1"/>
  <c r="F101" i="94" s="1"/>
  <c r="E101" i="94" s="1"/>
  <c r="I36" i="95" l="1"/>
  <c r="H37" i="95"/>
  <c r="E37" i="95"/>
  <c r="D37" i="95" s="1"/>
  <c r="G37" i="95" s="1"/>
  <c r="F38" i="95" s="1"/>
  <c r="D103" i="95"/>
  <c r="G103" i="95" s="1"/>
  <c r="F104" i="95" s="1"/>
  <c r="E104" i="95" s="1"/>
  <c r="H36" i="94"/>
  <c r="E36" i="94"/>
  <c r="D36" i="94" s="1"/>
  <c r="G36" i="94" s="1"/>
  <c r="F37" i="94" s="1"/>
  <c r="I35" i="94"/>
  <c r="D101" i="94"/>
  <c r="G101" i="94" s="1"/>
  <c r="F102" i="94" s="1"/>
  <c r="E102" i="94" s="1"/>
  <c r="I37" i="95" l="1"/>
  <c r="E38" i="95"/>
  <c r="D38" i="95" s="1"/>
  <c r="G38" i="95" s="1"/>
  <c r="F39" i="95" s="1"/>
  <c r="H38" i="95"/>
  <c r="I38" i="95" s="1"/>
  <c r="D104" i="95"/>
  <c r="G104" i="95" s="1"/>
  <c r="F105" i="95" s="1"/>
  <c r="E105" i="95" s="1"/>
  <c r="H37" i="94"/>
  <c r="E37" i="94"/>
  <c r="D37" i="94" s="1"/>
  <c r="G37" i="94" s="1"/>
  <c r="F38" i="94" s="1"/>
  <c r="I36" i="94"/>
  <c r="D102" i="94"/>
  <c r="G102" i="94" s="1"/>
  <c r="F103" i="94" s="1"/>
  <c r="E103" i="94" s="1"/>
  <c r="E39" i="95" l="1"/>
  <c r="D39" i="95" s="1"/>
  <c r="G39" i="95" s="1"/>
  <c r="F40" i="95" s="1"/>
  <c r="E40" i="95" s="1"/>
  <c r="D40" i="95" s="1"/>
  <c r="G40" i="95" s="1"/>
  <c r="F41" i="95" s="1"/>
  <c r="E41" i="95" s="1"/>
  <c r="D41" i="95" s="1"/>
  <c r="G41" i="95" s="1"/>
  <c r="F42" i="95" s="1"/>
  <c r="E42" i="95" s="1"/>
  <c r="D42" i="95" s="1"/>
  <c r="G42" i="95" s="1"/>
  <c r="F43" i="95" s="1"/>
  <c r="E43" i="95" s="1"/>
  <c r="D43" i="95" s="1"/>
  <c r="G43" i="95" s="1"/>
  <c r="F44" i="95" s="1"/>
  <c r="E44" i="95" s="1"/>
  <c r="D44" i="95" s="1"/>
  <c r="G44" i="95" s="1"/>
  <c r="F45" i="95" s="1"/>
  <c r="E45" i="95" s="1"/>
  <c r="D45" i="95" s="1"/>
  <c r="G45" i="95" s="1"/>
  <c r="F46" i="95" s="1"/>
  <c r="E46" i="95" s="1"/>
  <c r="D46" i="95" s="1"/>
  <c r="G46" i="95" s="1"/>
  <c r="F47" i="95" s="1"/>
  <c r="E47" i="95" s="1"/>
  <c r="D47" i="95" s="1"/>
  <c r="G47" i="95" s="1"/>
  <c r="F48" i="95" s="1"/>
  <c r="E48" i="95" s="1"/>
  <c r="D48" i="95" s="1"/>
  <c r="G48" i="95" s="1"/>
  <c r="F49" i="95" s="1"/>
  <c r="E49" i="95" s="1"/>
  <c r="D49" i="95" s="1"/>
  <c r="G49" i="95" s="1"/>
  <c r="F50" i="95" s="1"/>
  <c r="E50" i="95" s="1"/>
  <c r="D50" i="95" s="1"/>
  <c r="G50" i="95" s="1"/>
  <c r="F51" i="95" s="1"/>
  <c r="E51" i="95" s="1"/>
  <c r="D51" i="95" s="1"/>
  <c r="G51" i="95" s="1"/>
  <c r="F52" i="95" s="1"/>
  <c r="E52" i="95" s="1"/>
  <c r="D52" i="95" s="1"/>
  <c r="G52" i="95" s="1"/>
  <c r="F53" i="95" s="1"/>
  <c r="E53" i="95" s="1"/>
  <c r="D53" i="95" s="1"/>
  <c r="G53" i="95" s="1"/>
  <c r="F54" i="95" s="1"/>
  <c r="E54" i="95" s="1"/>
  <c r="D54" i="95" s="1"/>
  <c r="G54" i="95" s="1"/>
  <c r="F55" i="95" s="1"/>
  <c r="E55" i="95" s="1"/>
  <c r="D55" i="95" s="1"/>
  <c r="G55" i="95" s="1"/>
  <c r="F56" i="95" s="1"/>
  <c r="E56" i="95" s="1"/>
  <c r="D56" i="95" s="1"/>
  <c r="G56" i="95" s="1"/>
  <c r="F57" i="95" s="1"/>
  <c r="E57" i="95" s="1"/>
  <c r="D57" i="95" s="1"/>
  <c r="G57" i="95" s="1"/>
  <c r="F58" i="95" s="1"/>
  <c r="E58" i="95" s="1"/>
  <c r="D58" i="95" s="1"/>
  <c r="G58" i="95" s="1"/>
  <c r="F59" i="95" s="1"/>
  <c r="E59" i="95" s="1"/>
  <c r="D59" i="95" s="1"/>
  <c r="G59" i="95" s="1"/>
  <c r="F60" i="95" s="1"/>
  <c r="E60" i="95" s="1"/>
  <c r="D60" i="95" s="1"/>
  <c r="G60" i="95" s="1"/>
  <c r="F61" i="95" s="1"/>
  <c r="E61" i="95" s="1"/>
  <c r="D61" i="95" s="1"/>
  <c r="G61" i="95" s="1"/>
  <c r="F62" i="95" s="1"/>
  <c r="E62" i="95" s="1"/>
  <c r="D62" i="95" s="1"/>
  <c r="G62" i="95" s="1"/>
  <c r="F63" i="95" s="1"/>
  <c r="D63" i="95" s="1"/>
  <c r="G63" i="95" s="1"/>
  <c r="H39" i="95"/>
  <c r="D105" i="95"/>
  <c r="G105" i="95" s="1"/>
  <c r="F106" i="95" s="1"/>
  <c r="E106" i="95" s="1"/>
  <c r="H38" i="94"/>
  <c r="E38" i="94"/>
  <c r="D38" i="94" s="1"/>
  <c r="G38" i="94" s="1"/>
  <c r="F39" i="94" s="1"/>
  <c r="I37" i="94"/>
  <c r="D103" i="94"/>
  <c r="G103" i="94" s="1"/>
  <c r="F104" i="94" s="1"/>
  <c r="E104" i="94" s="1"/>
  <c r="I39" i="95" l="1"/>
  <c r="D106" i="95"/>
  <c r="G106" i="95" s="1"/>
  <c r="F107" i="95" s="1"/>
  <c r="E39" i="94"/>
  <c r="D39" i="94" s="1"/>
  <c r="G39" i="94" s="1"/>
  <c r="F40" i="94" s="1"/>
  <c r="E40" i="94" s="1"/>
  <c r="D40" i="94" s="1"/>
  <c r="G40" i="94" s="1"/>
  <c r="F41" i="94" s="1"/>
  <c r="E41" i="94" s="1"/>
  <c r="D41" i="94" s="1"/>
  <c r="G41" i="94" s="1"/>
  <c r="F42" i="94" s="1"/>
  <c r="E42" i="94" s="1"/>
  <c r="D42" i="94" s="1"/>
  <c r="G42" i="94" s="1"/>
  <c r="F43" i="94" s="1"/>
  <c r="E43" i="94" s="1"/>
  <c r="D43" i="94" s="1"/>
  <c r="G43" i="94" s="1"/>
  <c r="F44" i="94" s="1"/>
  <c r="E44" i="94" s="1"/>
  <c r="D44" i="94" s="1"/>
  <c r="G44" i="94" s="1"/>
  <c r="F45" i="94" s="1"/>
  <c r="E45" i="94" s="1"/>
  <c r="D45" i="94" s="1"/>
  <c r="G45" i="94" s="1"/>
  <c r="F46" i="94" s="1"/>
  <c r="E46" i="94" s="1"/>
  <c r="D46" i="94" s="1"/>
  <c r="G46" i="94" s="1"/>
  <c r="F47" i="94" s="1"/>
  <c r="E47" i="94" s="1"/>
  <c r="D47" i="94" s="1"/>
  <c r="G47" i="94" s="1"/>
  <c r="F48" i="94" s="1"/>
  <c r="E48" i="94" s="1"/>
  <c r="D48" i="94" s="1"/>
  <c r="G48" i="94" s="1"/>
  <c r="F49" i="94" s="1"/>
  <c r="E49" i="94" s="1"/>
  <c r="D49" i="94" s="1"/>
  <c r="G49" i="94" s="1"/>
  <c r="F50" i="94" s="1"/>
  <c r="E50" i="94" s="1"/>
  <c r="D50" i="94" s="1"/>
  <c r="G50" i="94" s="1"/>
  <c r="F51" i="94" s="1"/>
  <c r="E51" i="94" s="1"/>
  <c r="D51" i="94" s="1"/>
  <c r="G51" i="94" s="1"/>
  <c r="F52" i="94" s="1"/>
  <c r="E52" i="94" s="1"/>
  <c r="D52" i="94" s="1"/>
  <c r="G52" i="94" s="1"/>
  <c r="F53" i="94" s="1"/>
  <c r="E53" i="94" s="1"/>
  <c r="D53" i="94" s="1"/>
  <c r="G53" i="94" s="1"/>
  <c r="F54" i="94" s="1"/>
  <c r="E54" i="94" s="1"/>
  <c r="D54" i="94" s="1"/>
  <c r="G54" i="94" s="1"/>
  <c r="F55" i="94" s="1"/>
  <c r="E55" i="94" s="1"/>
  <c r="D55" i="94" s="1"/>
  <c r="G55" i="94" s="1"/>
  <c r="F56" i="94" s="1"/>
  <c r="E56" i="94" s="1"/>
  <c r="D56" i="94" s="1"/>
  <c r="G56" i="94" s="1"/>
  <c r="F57" i="94" s="1"/>
  <c r="E57" i="94" s="1"/>
  <c r="D57" i="94" s="1"/>
  <c r="G57" i="94" s="1"/>
  <c r="F58" i="94" s="1"/>
  <c r="E58" i="94" s="1"/>
  <c r="D58" i="94" s="1"/>
  <c r="G58" i="94" s="1"/>
  <c r="F59" i="94" s="1"/>
  <c r="E59" i="94" s="1"/>
  <c r="D59" i="94" s="1"/>
  <c r="G59" i="94" s="1"/>
  <c r="F60" i="94" s="1"/>
  <c r="E60" i="94" s="1"/>
  <c r="D60" i="94" s="1"/>
  <c r="G60" i="94" s="1"/>
  <c r="F61" i="94" s="1"/>
  <c r="E61" i="94" s="1"/>
  <c r="D61" i="94" s="1"/>
  <c r="G61" i="94" s="1"/>
  <c r="F62" i="94" s="1"/>
  <c r="E62" i="94" s="1"/>
  <c r="D62" i="94" s="1"/>
  <c r="G62" i="94" s="1"/>
  <c r="F63" i="94" s="1"/>
  <c r="G63" i="94" s="1"/>
  <c r="H39" i="94"/>
  <c r="I38" i="94"/>
  <c r="D104" i="94"/>
  <c r="G104" i="94" s="1"/>
  <c r="F105" i="94" s="1"/>
  <c r="E105" i="94" s="1"/>
  <c r="D107" i="95" l="1"/>
  <c r="G107" i="95" s="1"/>
  <c r="I39" i="94"/>
  <c r="D105" i="94"/>
  <c r="G105" i="94" s="1"/>
  <c r="F106" i="94" s="1"/>
  <c r="E106" i="94" s="1"/>
  <c r="D106" i="94" l="1"/>
  <c r="G106" i="94" s="1"/>
  <c r="F107" i="94" s="1"/>
  <c r="D107" i="94" l="1"/>
  <c r="G107" i="94" s="1"/>
  <c r="D64" i="92" l="1"/>
  <c r="F64" i="92"/>
  <c r="E64" i="92"/>
  <c r="J2" i="92"/>
  <c r="B99" i="92"/>
  <c r="C80" i="92"/>
  <c r="C81" i="92"/>
  <c r="N1" i="92"/>
  <c r="C75" i="92" s="1"/>
  <c r="C89" i="92"/>
  <c r="C90" i="92"/>
  <c r="C91" i="92"/>
  <c r="C92" i="92"/>
  <c r="C93" i="92"/>
  <c r="C94" i="92"/>
  <c r="C95" i="92"/>
  <c r="C96" i="92"/>
  <c r="C97" i="92"/>
  <c r="C98" i="92"/>
  <c r="C88" i="92"/>
  <c r="C87" i="92"/>
  <c r="B69" i="92"/>
  <c r="B70" i="92"/>
  <c r="B71" i="92"/>
  <c r="B72" i="92"/>
  <c r="B73" i="92"/>
  <c r="B74" i="92"/>
  <c r="B75" i="92"/>
  <c r="B76" i="92"/>
  <c r="B77" i="92"/>
  <c r="B78" i="92"/>
  <c r="B79" i="92"/>
  <c r="B80" i="92"/>
  <c r="B81" i="92"/>
  <c r="B82" i="92"/>
  <c r="B83" i="92"/>
  <c r="B84" i="92"/>
  <c r="B85" i="92"/>
  <c r="B86" i="92"/>
  <c r="B87" i="92"/>
  <c r="B88" i="92"/>
  <c r="B89" i="92"/>
  <c r="B90" i="92"/>
  <c r="B91" i="92"/>
  <c r="B92" i="92"/>
  <c r="B93" i="92"/>
  <c r="B94" i="92"/>
  <c r="B95" i="92"/>
  <c r="B96" i="92"/>
  <c r="B97" i="92"/>
  <c r="B98" i="92"/>
  <c r="B100" i="92"/>
  <c r="B101" i="92"/>
  <c r="B102" i="92"/>
  <c r="B103" i="92"/>
  <c r="B104" i="92"/>
  <c r="B105" i="92"/>
  <c r="B106" i="92"/>
  <c r="C71" i="92"/>
  <c r="C72" i="92"/>
  <c r="C73" i="92"/>
  <c r="C74" i="92"/>
  <c r="H1" i="92"/>
  <c r="C69" i="92" s="1"/>
  <c r="D1" i="92"/>
  <c r="C70" i="92" l="1"/>
  <c r="C85" i="92"/>
  <c r="C77" i="92"/>
  <c r="C79" i="92"/>
  <c r="C76" i="92"/>
  <c r="C78" i="92"/>
  <c r="C84" i="92"/>
  <c r="C86" i="92"/>
  <c r="C83" i="92"/>
  <c r="C82" i="92"/>
  <c r="C50" i="92"/>
  <c r="C97" i="91"/>
  <c r="C98" i="91"/>
  <c r="J2" i="91"/>
  <c r="C105" i="91" s="1"/>
  <c r="C92" i="91"/>
  <c r="C93" i="91"/>
  <c r="C94" i="91"/>
  <c r="C95" i="91"/>
  <c r="C96" i="91"/>
  <c r="N1" i="91"/>
  <c r="C81" i="91" s="1"/>
  <c r="B64" i="91"/>
  <c r="H1" i="91"/>
  <c r="C72" i="91" s="1"/>
  <c r="D1" i="91"/>
  <c r="C38" i="91" s="1"/>
  <c r="B68" i="92"/>
  <c r="B67" i="92"/>
  <c r="B66" i="92"/>
  <c r="B65" i="92"/>
  <c r="B64" i="92"/>
  <c r="B63" i="92"/>
  <c r="B62" i="92"/>
  <c r="B61" i="92"/>
  <c r="B60" i="92"/>
  <c r="B59" i="92"/>
  <c r="C58" i="92"/>
  <c r="B58" i="92"/>
  <c r="B57" i="92"/>
  <c r="B56" i="92"/>
  <c r="B55" i="92"/>
  <c r="B54" i="92"/>
  <c r="B53" i="92"/>
  <c r="B52" i="92"/>
  <c r="B51" i="92"/>
  <c r="B50" i="92"/>
  <c r="B49" i="92"/>
  <c r="B48" i="92"/>
  <c r="B47" i="92"/>
  <c r="B46" i="92"/>
  <c r="B45" i="92"/>
  <c r="B44" i="92"/>
  <c r="B43" i="92"/>
  <c r="B42" i="92"/>
  <c r="B41" i="92"/>
  <c r="B40" i="92"/>
  <c r="B39" i="92"/>
  <c r="B38" i="92"/>
  <c r="B37" i="92"/>
  <c r="B36" i="92"/>
  <c r="B35" i="92"/>
  <c r="B34" i="92"/>
  <c r="B33" i="92"/>
  <c r="B32" i="92"/>
  <c r="B31" i="92"/>
  <c r="B30" i="92"/>
  <c r="B29" i="92"/>
  <c r="B28" i="92"/>
  <c r="B27" i="92"/>
  <c r="C26" i="92"/>
  <c r="B26" i="92"/>
  <c r="B25" i="92"/>
  <c r="B24" i="92"/>
  <c r="B23" i="92"/>
  <c r="B22" i="92"/>
  <c r="B21" i="92"/>
  <c r="B20" i="92"/>
  <c r="B19" i="92"/>
  <c r="C18" i="92"/>
  <c r="B18" i="92"/>
  <c r="B17" i="92"/>
  <c r="B16" i="92"/>
  <c r="B15" i="92"/>
  <c r="B14" i="92"/>
  <c r="B13" i="92"/>
  <c r="B12" i="92"/>
  <c r="B11" i="92"/>
  <c r="C10" i="92"/>
  <c r="B10" i="92"/>
  <c r="B9" i="92"/>
  <c r="B8" i="92"/>
  <c r="B7" i="92"/>
  <c r="C6" i="92"/>
  <c r="B6" i="92"/>
  <c r="B5" i="92"/>
  <c r="B4" i="92"/>
  <c r="E4" i="92" s="1"/>
  <c r="C66" i="92"/>
  <c r="C38" i="92"/>
  <c r="B106" i="91"/>
  <c r="B105" i="91"/>
  <c r="B104" i="91"/>
  <c r="B103" i="91"/>
  <c r="B102" i="91"/>
  <c r="B101" i="91"/>
  <c r="B100" i="91"/>
  <c r="B99" i="91"/>
  <c r="B98" i="91"/>
  <c r="B97" i="91"/>
  <c r="B96" i="91"/>
  <c r="B95" i="91"/>
  <c r="B94" i="91"/>
  <c r="B93" i="91"/>
  <c r="B92" i="91"/>
  <c r="C91" i="91"/>
  <c r="B91" i="91"/>
  <c r="C90" i="91"/>
  <c r="B90" i="91"/>
  <c r="C89" i="91"/>
  <c r="B89" i="91"/>
  <c r="C88" i="91"/>
  <c r="B88" i="91"/>
  <c r="C87" i="91"/>
  <c r="B87" i="91"/>
  <c r="B86" i="91"/>
  <c r="B85" i="91"/>
  <c r="B84" i="91"/>
  <c r="B83" i="91"/>
  <c r="B82" i="91"/>
  <c r="B81" i="91"/>
  <c r="B80" i="91"/>
  <c r="B79" i="91"/>
  <c r="B78" i="91"/>
  <c r="B77" i="91"/>
  <c r="B76" i="91"/>
  <c r="B75" i="91"/>
  <c r="B74" i="91"/>
  <c r="B73" i="91"/>
  <c r="B72" i="91"/>
  <c r="B71" i="91"/>
  <c r="B70" i="91"/>
  <c r="B69" i="91"/>
  <c r="B68" i="91"/>
  <c r="B67" i="91"/>
  <c r="B66" i="91"/>
  <c r="B65" i="91"/>
  <c r="B63" i="91"/>
  <c r="B62" i="91"/>
  <c r="B61" i="91"/>
  <c r="B60" i="91"/>
  <c r="B59" i="91"/>
  <c r="B58" i="91"/>
  <c r="B57" i="91"/>
  <c r="B56" i="91"/>
  <c r="B55" i="91"/>
  <c r="B54" i="91"/>
  <c r="B53" i="91"/>
  <c r="B52" i="91"/>
  <c r="B51" i="91"/>
  <c r="B50" i="91"/>
  <c r="B49" i="91"/>
  <c r="B48" i="91"/>
  <c r="B47" i="91"/>
  <c r="B46" i="91"/>
  <c r="B45" i="91"/>
  <c r="B44" i="91"/>
  <c r="B43" i="91"/>
  <c r="C42" i="91"/>
  <c r="B42" i="91"/>
  <c r="B41" i="91"/>
  <c r="B40" i="91"/>
  <c r="B39" i="91"/>
  <c r="B38" i="91"/>
  <c r="B37" i="91"/>
  <c r="B36" i="91"/>
  <c r="B35" i="91"/>
  <c r="B34" i="91"/>
  <c r="B33" i="91"/>
  <c r="B32" i="91"/>
  <c r="B31" i="91"/>
  <c r="B30" i="91"/>
  <c r="B29" i="91"/>
  <c r="B28" i="91"/>
  <c r="B27" i="91"/>
  <c r="B26" i="91"/>
  <c r="B25" i="91"/>
  <c r="B24" i="91"/>
  <c r="B23" i="91"/>
  <c r="B22" i="91"/>
  <c r="B21" i="91"/>
  <c r="B20" i="91"/>
  <c r="B19" i="91"/>
  <c r="B18" i="91"/>
  <c r="B17" i="91"/>
  <c r="B16" i="91"/>
  <c r="B15" i="91"/>
  <c r="B14" i="91"/>
  <c r="B13" i="91"/>
  <c r="B12" i="91"/>
  <c r="B11" i="91"/>
  <c r="C10" i="91"/>
  <c r="B10" i="91"/>
  <c r="B9" i="91"/>
  <c r="B8" i="91"/>
  <c r="B7" i="91"/>
  <c r="C6" i="91"/>
  <c r="B6" i="91"/>
  <c r="B5" i="91"/>
  <c r="B4" i="91"/>
  <c r="E4" i="91" s="1"/>
  <c r="B52" i="88"/>
  <c r="B53" i="88"/>
  <c r="B54" i="88"/>
  <c r="B55" i="88"/>
  <c r="B56" i="88"/>
  <c r="B57" i="88"/>
  <c r="B58" i="88"/>
  <c r="B59" i="88"/>
  <c r="B60" i="88"/>
  <c r="B61" i="88"/>
  <c r="B62" i="88"/>
  <c r="B63" i="88"/>
  <c r="B64" i="88"/>
  <c r="B65" i="88"/>
  <c r="B66" i="88"/>
  <c r="B67" i="88"/>
  <c r="B68" i="88"/>
  <c r="B69" i="88"/>
  <c r="B70" i="88"/>
  <c r="B71" i="88"/>
  <c r="B72" i="88"/>
  <c r="B73" i="88"/>
  <c r="B74" i="88"/>
  <c r="B75" i="88"/>
  <c r="B76" i="88"/>
  <c r="B77" i="88"/>
  <c r="B78" i="88"/>
  <c r="B79" i="88"/>
  <c r="B80" i="88"/>
  <c r="B81" i="88"/>
  <c r="C81" i="88"/>
  <c r="B82" i="88"/>
  <c r="C82" i="88"/>
  <c r="B83" i="88"/>
  <c r="C83" i="88"/>
  <c r="B84" i="88"/>
  <c r="C84" i="88"/>
  <c r="B85" i="88"/>
  <c r="C85" i="88"/>
  <c r="B86" i="88"/>
  <c r="C86" i="88"/>
  <c r="B87" i="88"/>
  <c r="C87" i="88"/>
  <c r="B88" i="88"/>
  <c r="C88" i="88"/>
  <c r="B89" i="88"/>
  <c r="C89" i="88"/>
  <c r="B90" i="88"/>
  <c r="C90" i="88"/>
  <c r="B91" i="88"/>
  <c r="C91" i="88"/>
  <c r="B92" i="88"/>
  <c r="C92" i="88"/>
  <c r="B93" i="88"/>
  <c r="B94" i="88"/>
  <c r="B95" i="88"/>
  <c r="B96" i="88"/>
  <c r="B97" i="88"/>
  <c r="B98" i="88"/>
  <c r="B99" i="88"/>
  <c r="B100" i="88"/>
  <c r="B101" i="88"/>
  <c r="B102" i="88"/>
  <c r="B103" i="88"/>
  <c r="B104" i="88"/>
  <c r="B105" i="88"/>
  <c r="B106" i="88"/>
  <c r="B107" i="88"/>
  <c r="B107" i="89"/>
  <c r="B106" i="89"/>
  <c r="B105" i="89"/>
  <c r="B104" i="89"/>
  <c r="B103" i="89"/>
  <c r="B102" i="89"/>
  <c r="B101" i="89"/>
  <c r="B100" i="89"/>
  <c r="B99" i="89"/>
  <c r="B98" i="89"/>
  <c r="B97" i="89"/>
  <c r="B96" i="89"/>
  <c r="B95" i="89"/>
  <c r="B94" i="89"/>
  <c r="B93" i="89"/>
  <c r="C92" i="89"/>
  <c r="B92" i="89"/>
  <c r="C91" i="89"/>
  <c r="B91" i="89"/>
  <c r="C90" i="89"/>
  <c r="B90" i="89"/>
  <c r="C89" i="89"/>
  <c r="B89" i="89"/>
  <c r="C88" i="89"/>
  <c r="B88" i="89"/>
  <c r="C87" i="89"/>
  <c r="B87" i="89"/>
  <c r="C86" i="89"/>
  <c r="B86" i="89"/>
  <c r="C85" i="89"/>
  <c r="B85" i="89"/>
  <c r="C84" i="89"/>
  <c r="B84" i="89"/>
  <c r="C83" i="89"/>
  <c r="B83" i="89"/>
  <c r="C82" i="89"/>
  <c r="B82" i="89"/>
  <c r="C81" i="89"/>
  <c r="B81" i="89"/>
  <c r="B80" i="89"/>
  <c r="B79" i="89"/>
  <c r="B78" i="89"/>
  <c r="B77" i="89"/>
  <c r="B76" i="89"/>
  <c r="B75" i="89"/>
  <c r="B74" i="89"/>
  <c r="B73" i="89"/>
  <c r="B72" i="89"/>
  <c r="B71" i="89"/>
  <c r="B70" i="89"/>
  <c r="B69" i="89"/>
  <c r="B68" i="89"/>
  <c r="B67" i="89"/>
  <c r="B66" i="89"/>
  <c r="B65" i="89"/>
  <c r="B64" i="89"/>
  <c r="B63" i="89"/>
  <c r="C62" i="89"/>
  <c r="B62" i="89"/>
  <c r="B61" i="89"/>
  <c r="B60" i="89"/>
  <c r="B59" i="89"/>
  <c r="B58" i="89"/>
  <c r="B57" i="89"/>
  <c r="B56" i="89"/>
  <c r="B55" i="89"/>
  <c r="B54" i="89"/>
  <c r="B53" i="89"/>
  <c r="B52" i="89"/>
  <c r="B51" i="89"/>
  <c r="B50" i="89"/>
  <c r="B49" i="89"/>
  <c r="B48" i="89"/>
  <c r="B47" i="89"/>
  <c r="C46" i="89"/>
  <c r="B46" i="89"/>
  <c r="B45" i="89"/>
  <c r="B44" i="89"/>
  <c r="B43" i="89"/>
  <c r="B42" i="89"/>
  <c r="B41" i="89"/>
  <c r="B40" i="89"/>
  <c r="B39" i="89"/>
  <c r="B38" i="89"/>
  <c r="B37" i="89"/>
  <c r="B36" i="89"/>
  <c r="B35" i="89"/>
  <c r="C34" i="89"/>
  <c r="B34" i="89"/>
  <c r="B33" i="89"/>
  <c r="B32" i="89"/>
  <c r="B31" i="89"/>
  <c r="C30" i="89"/>
  <c r="B30" i="89"/>
  <c r="B29" i="89"/>
  <c r="B28" i="89"/>
  <c r="B27" i="89"/>
  <c r="B26" i="89"/>
  <c r="B25" i="89"/>
  <c r="B24" i="89"/>
  <c r="B23" i="89"/>
  <c r="B22" i="89"/>
  <c r="B21" i="89"/>
  <c r="B20" i="89"/>
  <c r="B19" i="89"/>
  <c r="B18" i="89"/>
  <c r="B17" i="89"/>
  <c r="B16" i="89"/>
  <c r="B15" i="89"/>
  <c r="C14" i="89"/>
  <c r="B14" i="89"/>
  <c r="B13" i="89"/>
  <c r="B12" i="89"/>
  <c r="B11" i="89"/>
  <c r="B10" i="89"/>
  <c r="B9" i="89"/>
  <c r="B8" i="89"/>
  <c r="B7" i="89"/>
  <c r="B6" i="89"/>
  <c r="B5" i="89"/>
  <c r="B4" i="89"/>
  <c r="E4" i="89" s="1"/>
  <c r="J2" i="89"/>
  <c r="N1" i="89"/>
  <c r="C78" i="89" s="1"/>
  <c r="H1" i="89"/>
  <c r="C66" i="89" s="1"/>
  <c r="D1" i="89"/>
  <c r="C54" i="89" s="1"/>
  <c r="B51" i="88"/>
  <c r="B50" i="88"/>
  <c r="B49" i="88"/>
  <c r="B48" i="88"/>
  <c r="B47" i="88"/>
  <c r="B46" i="88"/>
  <c r="B45" i="88"/>
  <c r="B44" i="88"/>
  <c r="B43" i="88"/>
  <c r="B42" i="88"/>
  <c r="B41" i="88"/>
  <c r="B40" i="88"/>
  <c r="B39" i="88"/>
  <c r="B38" i="88"/>
  <c r="B37" i="88"/>
  <c r="B36" i="88"/>
  <c r="B35" i="88"/>
  <c r="B34" i="88"/>
  <c r="B33" i="88"/>
  <c r="B32" i="88"/>
  <c r="B31" i="88"/>
  <c r="B30" i="88"/>
  <c r="B29" i="88"/>
  <c r="B28" i="88"/>
  <c r="B27" i="88"/>
  <c r="B26" i="88"/>
  <c r="B25" i="88"/>
  <c r="B24" i="88"/>
  <c r="B23" i="88"/>
  <c r="B22" i="88"/>
  <c r="B21" i="88"/>
  <c r="B20" i="88"/>
  <c r="B19" i="88"/>
  <c r="B18" i="88"/>
  <c r="B17" i="88"/>
  <c r="B16" i="88"/>
  <c r="B15" i="88"/>
  <c r="B14" i="88"/>
  <c r="B13" i="88"/>
  <c r="B12" i="88"/>
  <c r="B11" i="88"/>
  <c r="B10" i="88"/>
  <c r="B9" i="88"/>
  <c r="B8" i="88"/>
  <c r="B7" i="88"/>
  <c r="B6" i="88"/>
  <c r="B5" i="88"/>
  <c r="B4" i="88"/>
  <c r="E4" i="88" s="1"/>
  <c r="J2" i="88"/>
  <c r="C96" i="88" s="1"/>
  <c r="N1" i="88"/>
  <c r="C72" i="88" s="1"/>
  <c r="H1" i="88"/>
  <c r="C68" i="88" s="1"/>
  <c r="D1" i="88"/>
  <c r="C64" i="88" s="1"/>
  <c r="C101" i="92" l="1"/>
  <c r="C99" i="92"/>
  <c r="C106" i="92"/>
  <c r="C102" i="92"/>
  <c r="C103" i="92"/>
  <c r="C100" i="92"/>
  <c r="C104" i="92"/>
  <c r="C105" i="92"/>
  <c r="C62" i="91"/>
  <c r="C71" i="91"/>
  <c r="C69" i="91"/>
  <c r="C85" i="91"/>
  <c r="C86" i="91"/>
  <c r="C68" i="91"/>
  <c r="C84" i="91"/>
  <c r="C70" i="91"/>
  <c r="C83" i="91"/>
  <c r="C66" i="91"/>
  <c r="C74" i="91"/>
  <c r="C82" i="91"/>
  <c r="C73" i="91"/>
  <c r="C54" i="91"/>
  <c r="C13" i="91"/>
  <c r="C9" i="91"/>
  <c r="C79" i="91"/>
  <c r="C80" i="91"/>
  <c r="C77" i="91"/>
  <c r="C78" i="91"/>
  <c r="C75" i="91"/>
  <c r="C50" i="91"/>
  <c r="C46" i="91"/>
  <c r="C34" i="91"/>
  <c r="C76" i="91"/>
  <c r="C14" i="91"/>
  <c r="C18" i="91"/>
  <c r="C22" i="91"/>
  <c r="C26" i="91"/>
  <c r="C30" i="91"/>
  <c r="C63" i="91"/>
  <c r="D63" i="91" s="1"/>
  <c r="C59" i="91"/>
  <c r="C55" i="91"/>
  <c r="C51" i="91"/>
  <c r="C47" i="91"/>
  <c r="C43" i="91"/>
  <c r="C39" i="91"/>
  <c r="C35" i="91"/>
  <c r="C31" i="91"/>
  <c r="C27" i="91"/>
  <c r="C23" i="91"/>
  <c r="C19" i="91"/>
  <c r="C15" i="91"/>
  <c r="C11" i="91"/>
  <c r="C7" i="91"/>
  <c r="C57" i="91"/>
  <c r="C53" i="91"/>
  <c r="C45" i="91"/>
  <c r="C41" i="91"/>
  <c r="C37" i="91"/>
  <c r="C33" i="91"/>
  <c r="C4" i="91"/>
  <c r="D4" i="91" s="1"/>
  <c r="G4" i="91" s="1"/>
  <c r="F5" i="91" s="1"/>
  <c r="C60" i="91"/>
  <c r="C56" i="91"/>
  <c r="C52" i="91"/>
  <c r="C48" i="91"/>
  <c r="C44" i="91"/>
  <c r="C40" i="91"/>
  <c r="C36" i="91"/>
  <c r="C32" i="91"/>
  <c r="C28" i="91"/>
  <c r="C24" i="91"/>
  <c r="C20" i="91"/>
  <c r="C16" i="91"/>
  <c r="C12" i="91"/>
  <c r="C8" i="91"/>
  <c r="C64" i="91"/>
  <c r="C61" i="91"/>
  <c r="C49" i="91"/>
  <c r="C29" i="91"/>
  <c r="C25" i="91"/>
  <c r="C21" i="91"/>
  <c r="C17" i="91"/>
  <c r="C5" i="91"/>
  <c r="C58" i="91"/>
  <c r="C65" i="91"/>
  <c r="C14" i="92"/>
  <c r="C22" i="92"/>
  <c r="C54" i="92"/>
  <c r="C106" i="91"/>
  <c r="C102" i="91"/>
  <c r="C103" i="91"/>
  <c r="C99" i="91"/>
  <c r="C104" i="91"/>
  <c r="C100" i="91"/>
  <c r="C46" i="92"/>
  <c r="C42" i="92"/>
  <c r="C67" i="91"/>
  <c r="C63" i="92"/>
  <c r="C59" i="92"/>
  <c r="C55" i="92"/>
  <c r="C51" i="92"/>
  <c r="C47" i="92"/>
  <c r="C43" i="92"/>
  <c r="C39" i="92"/>
  <c r="C35" i="92"/>
  <c r="C31" i="92"/>
  <c r="C27" i="92"/>
  <c r="C23" i="92"/>
  <c r="C19" i="92"/>
  <c r="C15" i="92"/>
  <c r="C11" i="92"/>
  <c r="C7" i="92"/>
  <c r="C4" i="92"/>
  <c r="D4" i="92" s="1"/>
  <c r="G4" i="92" s="1"/>
  <c r="F5" i="92" s="1"/>
  <c r="C60" i="92"/>
  <c r="C56" i="92"/>
  <c r="C52" i="92"/>
  <c r="C48" i="92"/>
  <c r="C44" i="92"/>
  <c r="C40" i="92"/>
  <c r="C36" i="92"/>
  <c r="C32" i="92"/>
  <c r="C28" i="92"/>
  <c r="C24" i="92"/>
  <c r="C20" i="92"/>
  <c r="C16" i="92"/>
  <c r="C12" i="92"/>
  <c r="C8" i="92"/>
  <c r="C64" i="92"/>
  <c r="C61" i="92"/>
  <c r="C57" i="92"/>
  <c r="C53" i="92"/>
  <c r="C49" i="92"/>
  <c r="C45" i="92"/>
  <c r="C41" i="92"/>
  <c r="C37" i="92"/>
  <c r="C33" i="92"/>
  <c r="C29" i="92"/>
  <c r="C25" i="92"/>
  <c r="C21" i="92"/>
  <c r="C17" i="92"/>
  <c r="C13" i="92"/>
  <c r="C9" i="92"/>
  <c r="C5" i="92"/>
  <c r="C34" i="92"/>
  <c r="C101" i="91"/>
  <c r="C30" i="92"/>
  <c r="C62" i="92"/>
  <c r="C65" i="92"/>
  <c r="C68" i="92"/>
  <c r="C67" i="92"/>
  <c r="C105" i="88"/>
  <c r="C101" i="88"/>
  <c r="C97" i="88"/>
  <c r="C93" i="88"/>
  <c r="C77" i="88"/>
  <c r="C73" i="88"/>
  <c r="C69" i="88"/>
  <c r="C65" i="88"/>
  <c r="C62" i="88"/>
  <c r="C58" i="88"/>
  <c r="C54" i="88"/>
  <c r="C106" i="88"/>
  <c r="C102" i="88"/>
  <c r="C98" i="88"/>
  <c r="C94" i="88"/>
  <c r="C78" i="88"/>
  <c r="C74" i="88"/>
  <c r="C70" i="88"/>
  <c r="C66" i="88"/>
  <c r="C63" i="88"/>
  <c r="D63" i="88" s="1"/>
  <c r="C59" i="88"/>
  <c r="C55" i="88"/>
  <c r="C53" i="88"/>
  <c r="C107" i="88"/>
  <c r="D107" i="88" s="1"/>
  <c r="C103" i="88"/>
  <c r="C99" i="88"/>
  <c r="C95" i="88"/>
  <c r="C79" i="88"/>
  <c r="C75" i="88"/>
  <c r="C71" i="88"/>
  <c r="C67" i="88"/>
  <c r="C57" i="88"/>
  <c r="C60" i="88"/>
  <c r="C56" i="88"/>
  <c r="C52" i="88"/>
  <c r="C61" i="88"/>
  <c r="C104" i="88"/>
  <c r="C100" i="88"/>
  <c r="C80" i="88"/>
  <c r="C76" i="88"/>
  <c r="C50" i="88"/>
  <c r="C51" i="88"/>
  <c r="C47" i="88"/>
  <c r="C43" i="88"/>
  <c r="C39" i="88"/>
  <c r="C35" i="88"/>
  <c r="C31" i="88"/>
  <c r="C27" i="88"/>
  <c r="C23" i="88"/>
  <c r="C19" i="88"/>
  <c r="C15" i="88"/>
  <c r="C11" i="88"/>
  <c r="C7" i="88"/>
  <c r="C4" i="88"/>
  <c r="D4" i="88" s="1"/>
  <c r="G4" i="88" s="1"/>
  <c r="F5" i="88" s="1"/>
  <c r="C49" i="88"/>
  <c r="C45" i="88"/>
  <c r="C41" i="88"/>
  <c r="C37" i="88"/>
  <c r="C33" i="88"/>
  <c r="C29" i="88"/>
  <c r="C25" i="88"/>
  <c r="C21" i="88"/>
  <c r="C17" i="88"/>
  <c r="C13" i="88"/>
  <c r="C9" i="88"/>
  <c r="C5" i="88"/>
  <c r="C46" i="88"/>
  <c r="C42" i="88"/>
  <c r="C38" i="88"/>
  <c r="C12" i="88"/>
  <c r="C28" i="88"/>
  <c r="C48" i="88"/>
  <c r="C10" i="88"/>
  <c r="C26" i="88"/>
  <c r="C8" i="88"/>
  <c r="C24" i="88"/>
  <c r="C6" i="88"/>
  <c r="C22" i="88"/>
  <c r="C36" i="88"/>
  <c r="C20" i="88"/>
  <c r="C18" i="88"/>
  <c r="C34" i="88"/>
  <c r="C16" i="88"/>
  <c r="C32" i="88"/>
  <c r="C40" i="88"/>
  <c r="C14" i="88"/>
  <c r="C30" i="88"/>
  <c r="C44" i="88"/>
  <c r="C26" i="89"/>
  <c r="C58" i="89"/>
  <c r="C22" i="89"/>
  <c r="C63" i="89"/>
  <c r="D63" i="89" s="1"/>
  <c r="C59" i="89"/>
  <c r="C55" i="89"/>
  <c r="C51" i="89"/>
  <c r="C47" i="89"/>
  <c r="C43" i="89"/>
  <c r="C39" i="89"/>
  <c r="C35" i="89"/>
  <c r="C31" i="89"/>
  <c r="C27" i="89"/>
  <c r="C23" i="89"/>
  <c r="C19" i="89"/>
  <c r="C15" i="89"/>
  <c r="C11" i="89"/>
  <c r="C7" i="89"/>
  <c r="C4" i="89"/>
  <c r="D4" i="89" s="1"/>
  <c r="G4" i="89" s="1"/>
  <c r="F5" i="89" s="1"/>
  <c r="C60" i="89"/>
  <c r="C56" i="89"/>
  <c r="C52" i="89"/>
  <c r="C48" i="89"/>
  <c r="C44" i="89"/>
  <c r="C40" i="89"/>
  <c r="C36" i="89"/>
  <c r="C32" i="89"/>
  <c r="C28" i="89"/>
  <c r="C24" i="89"/>
  <c r="C20" i="89"/>
  <c r="C16" i="89"/>
  <c r="C12" i="89"/>
  <c r="C8" i="89"/>
  <c r="C64" i="89"/>
  <c r="C61" i="89"/>
  <c r="C57" i="89"/>
  <c r="C53" i="89"/>
  <c r="C49" i="89"/>
  <c r="C45" i="89"/>
  <c r="C41" i="89"/>
  <c r="C37" i="89"/>
  <c r="C33" i="89"/>
  <c r="C29" i="89"/>
  <c r="C25" i="89"/>
  <c r="C21" i="89"/>
  <c r="C17" i="89"/>
  <c r="C13" i="89"/>
  <c r="C9" i="89"/>
  <c r="C5" i="89"/>
  <c r="C18" i="89"/>
  <c r="C50" i="89"/>
  <c r="C6" i="89"/>
  <c r="C10" i="89"/>
  <c r="C42" i="89"/>
  <c r="C106" i="89"/>
  <c r="C102" i="89"/>
  <c r="C98" i="89"/>
  <c r="C94" i="89"/>
  <c r="C107" i="89"/>
  <c r="D107" i="89" s="1"/>
  <c r="C103" i="89"/>
  <c r="C99" i="89"/>
  <c r="C95" i="89"/>
  <c r="C104" i="89"/>
  <c r="C100" i="89"/>
  <c r="C96" i="89"/>
  <c r="C105" i="89"/>
  <c r="C101" i="89"/>
  <c r="C97" i="89"/>
  <c r="C93" i="89"/>
  <c r="C38" i="89"/>
  <c r="C65" i="89"/>
  <c r="C69" i="89"/>
  <c r="C73" i="89"/>
  <c r="C77" i="89"/>
  <c r="C68" i="89"/>
  <c r="C72" i="89"/>
  <c r="C76" i="89"/>
  <c r="C80" i="89"/>
  <c r="C67" i="89"/>
  <c r="C71" i="89"/>
  <c r="C75" i="89"/>
  <c r="C79" i="89"/>
  <c r="C70" i="89"/>
  <c r="C74" i="89"/>
  <c r="E5" i="92" l="1"/>
  <c r="D5" i="92" s="1"/>
  <c r="G5" i="92" s="1"/>
  <c r="F6" i="92" s="1"/>
  <c r="E5" i="91"/>
  <c r="D5" i="91" s="1"/>
  <c r="G5" i="91" s="1"/>
  <c r="F6" i="91" s="1"/>
  <c r="E5" i="89"/>
  <c r="D5" i="89" s="1"/>
  <c r="G5" i="89" s="1"/>
  <c r="F6" i="89" s="1"/>
  <c r="E5" i="88"/>
  <c r="D5" i="88" s="1"/>
  <c r="G5" i="88" s="1"/>
  <c r="F6" i="88" s="1"/>
  <c r="E6" i="91" l="1"/>
  <c r="D6" i="91" s="1"/>
  <c r="G6" i="91" s="1"/>
  <c r="F7" i="91" s="1"/>
  <c r="E6" i="92"/>
  <c r="D6" i="92" s="1"/>
  <c r="G6" i="92" s="1"/>
  <c r="F7" i="92" s="1"/>
  <c r="E6" i="89"/>
  <c r="D6" i="89" s="1"/>
  <c r="G6" i="89" s="1"/>
  <c r="F7" i="89" s="1"/>
  <c r="E6" i="88"/>
  <c r="D6" i="88" s="1"/>
  <c r="G6" i="88" s="1"/>
  <c r="F7" i="88" s="1"/>
  <c r="E7" i="92" l="1"/>
  <c r="D7" i="92" s="1"/>
  <c r="G7" i="92" s="1"/>
  <c r="E7" i="91"/>
  <c r="D7" i="91" s="1"/>
  <c r="G7" i="91" s="1"/>
  <c r="E7" i="88"/>
  <c r="D7" i="88" s="1"/>
  <c r="G7" i="88" s="1"/>
  <c r="F64" i="88" s="1"/>
  <c r="E7" i="89"/>
  <c r="D7" i="89" s="1"/>
  <c r="G7" i="89" s="1"/>
  <c r="F8" i="92" l="1"/>
  <c r="F8" i="91"/>
  <c r="F8" i="89"/>
  <c r="F64" i="89"/>
  <c r="F8" i="88"/>
  <c r="E64" i="88" s="1"/>
  <c r="E8" i="91" l="1"/>
  <c r="E8" i="92"/>
  <c r="E8" i="89"/>
  <c r="E64" i="89"/>
  <c r="E8" i="88"/>
  <c r="D64" i="88" s="1"/>
  <c r="G64" i="88" s="1"/>
  <c r="F65" i="88" s="1"/>
  <c r="G64" i="92" l="1"/>
  <c r="F65" i="92" s="1"/>
  <c r="D8" i="92"/>
  <c r="G8" i="92" s="1"/>
  <c r="F9" i="92" s="1"/>
  <c r="D8" i="91"/>
  <c r="G8" i="91" s="1"/>
  <c r="E65" i="88"/>
  <c r="D65" i="88" s="1"/>
  <c r="G65" i="88" s="1"/>
  <c r="F66" i="88" s="1"/>
  <c r="D8" i="88"/>
  <c r="G8" i="88" s="1"/>
  <c r="F9" i="88" s="1"/>
  <c r="D8" i="89"/>
  <c r="G8" i="89" s="1"/>
  <c r="F9" i="89" s="1"/>
  <c r="D64" i="89"/>
  <c r="G64" i="89" s="1"/>
  <c r="F65" i="89" s="1"/>
  <c r="F9" i="91" l="1"/>
  <c r="E64" i="91" s="1"/>
  <c r="F64" i="91"/>
  <c r="E65" i="92"/>
  <c r="D65" i="92" s="1"/>
  <c r="G65" i="92" s="1"/>
  <c r="F66" i="92" s="1"/>
  <c r="E9" i="92"/>
  <c r="D9" i="92" s="1"/>
  <c r="G9" i="92" s="1"/>
  <c r="F10" i="92" s="1"/>
  <c r="E66" i="88"/>
  <c r="D66" i="88" s="1"/>
  <c r="G66" i="88" s="1"/>
  <c r="F67" i="88" s="1"/>
  <c r="E9" i="89"/>
  <c r="D9" i="89" s="1"/>
  <c r="G9" i="89" s="1"/>
  <c r="F10" i="89" s="1"/>
  <c r="E65" i="89"/>
  <c r="D65" i="89" s="1"/>
  <c r="G65" i="89" s="1"/>
  <c r="F66" i="89" s="1"/>
  <c r="E9" i="88"/>
  <c r="D9" i="88" s="1"/>
  <c r="G9" i="88" s="1"/>
  <c r="F10" i="88" s="1"/>
  <c r="E9" i="91" l="1"/>
  <c r="E10" i="92"/>
  <c r="D10" i="92" s="1"/>
  <c r="G10" i="92" s="1"/>
  <c r="F11" i="92" s="1"/>
  <c r="E66" i="92"/>
  <c r="D66" i="92" s="1"/>
  <c r="G66" i="92" s="1"/>
  <c r="F67" i="92" s="1"/>
  <c r="E67" i="88"/>
  <c r="D67" i="88" s="1"/>
  <c r="G67" i="88" s="1"/>
  <c r="F68" i="88" s="1"/>
  <c r="E10" i="88"/>
  <c r="D10" i="88" s="1"/>
  <c r="G10" i="88" s="1"/>
  <c r="F11" i="88" s="1"/>
  <c r="E66" i="89"/>
  <c r="D66" i="89" s="1"/>
  <c r="G66" i="89" s="1"/>
  <c r="F67" i="89" s="1"/>
  <c r="E10" i="89"/>
  <c r="D10" i="89" s="1"/>
  <c r="G10" i="89" s="1"/>
  <c r="F11" i="89" s="1"/>
  <c r="D9" i="91" l="1"/>
  <c r="G9" i="91" s="1"/>
  <c r="F10" i="91" s="1"/>
  <c r="E10" i="91" s="1"/>
  <c r="D10" i="91" s="1"/>
  <c r="G10" i="91" s="1"/>
  <c r="F11" i="91" s="1"/>
  <c r="E11" i="91" s="1"/>
  <c r="D11" i="91" s="1"/>
  <c r="G11" i="91" s="1"/>
  <c r="F12" i="91" s="1"/>
  <c r="D64" i="91"/>
  <c r="G64" i="91" s="1"/>
  <c r="F65" i="91" s="1"/>
  <c r="E65" i="91" s="1"/>
  <c r="D65" i="91" s="1"/>
  <c r="G65" i="91" s="1"/>
  <c r="F66" i="91" s="1"/>
  <c r="E66" i="91" s="1"/>
  <c r="D66" i="91" s="1"/>
  <c r="G66" i="91" s="1"/>
  <c r="F67" i="91" s="1"/>
  <c r="E67" i="91" s="1"/>
  <c r="D67" i="91" s="1"/>
  <c r="G67" i="91" s="1"/>
  <c r="F68" i="91" s="1"/>
  <c r="E68" i="91" s="1"/>
  <c r="D68" i="91" s="1"/>
  <c r="E11" i="92"/>
  <c r="D11" i="92" s="1"/>
  <c r="G11" i="92" s="1"/>
  <c r="F12" i="92" s="1"/>
  <c r="E67" i="92"/>
  <c r="D67" i="92" s="1"/>
  <c r="G67" i="92" s="1"/>
  <c r="F68" i="92" s="1"/>
  <c r="E68" i="88"/>
  <c r="D68" i="88" s="1"/>
  <c r="G68" i="88" s="1"/>
  <c r="F69" i="88" s="1"/>
  <c r="E11" i="89"/>
  <c r="D11" i="89" s="1"/>
  <c r="G11" i="89" s="1"/>
  <c r="F12" i="89" s="1"/>
  <c r="E67" i="89"/>
  <c r="D67" i="89" s="1"/>
  <c r="G67" i="89" s="1"/>
  <c r="F68" i="89" s="1"/>
  <c r="E11" i="88"/>
  <c r="D11" i="88" s="1"/>
  <c r="G11" i="88" s="1"/>
  <c r="F12" i="88" s="1"/>
  <c r="G68" i="91" l="1"/>
  <c r="E12" i="91"/>
  <c r="D12" i="91" s="1"/>
  <c r="G12" i="91" s="1"/>
  <c r="F13" i="91" s="1"/>
  <c r="E12" i="92"/>
  <c r="D12" i="92" s="1"/>
  <c r="G12" i="92" s="1"/>
  <c r="F13" i="92" s="1"/>
  <c r="E68" i="92"/>
  <c r="D68" i="92" s="1"/>
  <c r="G68" i="92" s="1"/>
  <c r="F69" i="92" s="1"/>
  <c r="E69" i="92" s="1"/>
  <c r="D69" i="92" s="1"/>
  <c r="G69" i="92" s="1"/>
  <c r="F70" i="92" s="1"/>
  <c r="E70" i="92" s="1"/>
  <c r="D70" i="92" s="1"/>
  <c r="G70" i="92" s="1"/>
  <c r="F71" i="92" s="1"/>
  <c r="E71" i="92" s="1"/>
  <c r="D71" i="92" s="1"/>
  <c r="G71" i="92" s="1"/>
  <c r="F72" i="92" s="1"/>
  <c r="E72" i="92" s="1"/>
  <c r="D72" i="92" s="1"/>
  <c r="G72" i="92" s="1"/>
  <c r="F73" i="92" s="1"/>
  <c r="E73" i="92" s="1"/>
  <c r="D73" i="92" s="1"/>
  <c r="G73" i="92" s="1"/>
  <c r="F74" i="92" s="1"/>
  <c r="E74" i="92" s="1"/>
  <c r="D74" i="92" s="1"/>
  <c r="G74" i="92" s="1"/>
  <c r="F75" i="92" s="1"/>
  <c r="E75" i="92" s="1"/>
  <c r="D75" i="92" s="1"/>
  <c r="G75" i="92" s="1"/>
  <c r="F76" i="92" s="1"/>
  <c r="E76" i="92" s="1"/>
  <c r="D76" i="92" s="1"/>
  <c r="G76" i="92" s="1"/>
  <c r="F77" i="92" s="1"/>
  <c r="E77" i="92" s="1"/>
  <c r="D77" i="92" s="1"/>
  <c r="G77" i="92" s="1"/>
  <c r="F78" i="92" s="1"/>
  <c r="E78" i="92" s="1"/>
  <c r="D78" i="92" s="1"/>
  <c r="G78" i="92" s="1"/>
  <c r="F79" i="92" s="1"/>
  <c r="E79" i="92" s="1"/>
  <c r="D79" i="92" s="1"/>
  <c r="G79" i="92" s="1"/>
  <c r="F80" i="92" s="1"/>
  <c r="E80" i="92" s="1"/>
  <c r="D80" i="92" s="1"/>
  <c r="G80" i="92" s="1"/>
  <c r="F81" i="92" s="1"/>
  <c r="E69" i="88"/>
  <c r="D69" i="88" s="1"/>
  <c r="G69" i="88" s="1"/>
  <c r="F70" i="88" s="1"/>
  <c r="E12" i="88"/>
  <c r="D12" i="88" s="1"/>
  <c r="G12" i="88" s="1"/>
  <c r="F13" i="88" s="1"/>
  <c r="E68" i="89"/>
  <c r="D68" i="89" s="1"/>
  <c r="G68" i="89" s="1"/>
  <c r="F69" i="89" s="1"/>
  <c r="E12" i="89"/>
  <c r="D12" i="89" s="1"/>
  <c r="G12" i="89" s="1"/>
  <c r="F13" i="89" s="1"/>
  <c r="E81" i="92" l="1"/>
  <c r="D81" i="92" s="1"/>
  <c r="G81" i="92" s="1"/>
  <c r="F82" i="92" s="1"/>
  <c r="F69" i="91"/>
  <c r="E69" i="91" s="1"/>
  <c r="E13" i="92"/>
  <c r="D13" i="92" s="1"/>
  <c r="G13" i="92" s="1"/>
  <c r="F14" i="92" s="1"/>
  <c r="E13" i="91"/>
  <c r="D13" i="91" s="1"/>
  <c r="G13" i="91" s="1"/>
  <c r="F14" i="91" s="1"/>
  <c r="E70" i="88"/>
  <c r="D70" i="88" s="1"/>
  <c r="G70" i="88" s="1"/>
  <c r="F71" i="88" s="1"/>
  <c r="E69" i="89"/>
  <c r="D69" i="89" s="1"/>
  <c r="G69" i="89" s="1"/>
  <c r="F70" i="89" s="1"/>
  <c r="E13" i="89"/>
  <c r="D13" i="89" s="1"/>
  <c r="G13" i="89" s="1"/>
  <c r="F14" i="89" s="1"/>
  <c r="E13" i="88"/>
  <c r="D13" i="88" s="1"/>
  <c r="G13" i="88" s="1"/>
  <c r="F14" i="88" s="1"/>
  <c r="E82" i="92" l="1"/>
  <c r="D82" i="92" s="1"/>
  <c r="G82" i="92" s="1"/>
  <c r="F83" i="92" s="1"/>
  <c r="D69" i="91"/>
  <c r="G69" i="91" s="1"/>
  <c r="E14" i="91"/>
  <c r="D14" i="91" s="1"/>
  <c r="G14" i="91" s="1"/>
  <c r="F15" i="91" s="1"/>
  <c r="E14" i="92"/>
  <c r="D14" i="92" s="1"/>
  <c r="G14" i="92" s="1"/>
  <c r="F15" i="92" s="1"/>
  <c r="E71" i="88"/>
  <c r="D71" i="88" s="1"/>
  <c r="G71" i="88" s="1"/>
  <c r="F72" i="88" s="1"/>
  <c r="E70" i="89"/>
  <c r="D70" i="89" s="1"/>
  <c r="G70" i="89" s="1"/>
  <c r="F71" i="89" s="1"/>
  <c r="E14" i="88"/>
  <c r="D14" i="88" s="1"/>
  <c r="G14" i="88" s="1"/>
  <c r="F15" i="88" s="1"/>
  <c r="E14" i="89"/>
  <c r="D14" i="89" s="1"/>
  <c r="G14" i="89" s="1"/>
  <c r="F15" i="89" s="1"/>
  <c r="E83" i="92" l="1"/>
  <c r="D83" i="92" s="1"/>
  <c r="G83" i="92" s="1"/>
  <c r="F84" i="92" s="1"/>
  <c r="F70" i="91"/>
  <c r="E15" i="92"/>
  <c r="D15" i="92" s="1"/>
  <c r="G15" i="92" s="1"/>
  <c r="F16" i="92" s="1"/>
  <c r="E15" i="91"/>
  <c r="D15" i="91" s="1"/>
  <c r="G15" i="91" s="1"/>
  <c r="F16" i="91" s="1"/>
  <c r="E72" i="88"/>
  <c r="D72" i="88" s="1"/>
  <c r="G72" i="88" s="1"/>
  <c r="F73" i="88" s="1"/>
  <c r="E15" i="89"/>
  <c r="D15" i="89" s="1"/>
  <c r="G15" i="89" s="1"/>
  <c r="F16" i="89" s="1"/>
  <c r="E15" i="88"/>
  <c r="D15" i="88" s="1"/>
  <c r="G15" i="88" s="1"/>
  <c r="F16" i="88" s="1"/>
  <c r="E71" i="89"/>
  <c r="D71" i="89" s="1"/>
  <c r="G71" i="89" s="1"/>
  <c r="F72" i="89" s="1"/>
  <c r="E84" i="92" l="1"/>
  <c r="D84" i="92" s="1"/>
  <c r="G84" i="92" s="1"/>
  <c r="F85" i="92" s="1"/>
  <c r="E70" i="91"/>
  <c r="D70" i="91" s="1"/>
  <c r="G70" i="91" s="1"/>
  <c r="F71" i="91" s="1"/>
  <c r="E71" i="91" s="1"/>
  <c r="D71" i="91" s="1"/>
  <c r="G71" i="91" s="1"/>
  <c r="E16" i="92"/>
  <c r="D16" i="92" s="1"/>
  <c r="G16" i="92" s="1"/>
  <c r="F17" i="92" s="1"/>
  <c r="E16" i="91"/>
  <c r="D16" i="91" s="1"/>
  <c r="G16" i="91" s="1"/>
  <c r="F17" i="91" s="1"/>
  <c r="E73" i="88"/>
  <c r="D73" i="88" s="1"/>
  <c r="G73" i="88" s="1"/>
  <c r="F74" i="88" s="1"/>
  <c r="E16" i="88"/>
  <c r="D16" i="88" s="1"/>
  <c r="G16" i="88" s="1"/>
  <c r="F17" i="88" s="1"/>
  <c r="E72" i="89"/>
  <c r="D72" i="89" s="1"/>
  <c r="G72" i="89" s="1"/>
  <c r="F73" i="89" s="1"/>
  <c r="E16" i="89"/>
  <c r="D16" i="89" s="1"/>
  <c r="G16" i="89" s="1"/>
  <c r="F17" i="89" s="1"/>
  <c r="E85" i="92" l="1"/>
  <c r="D85" i="92" s="1"/>
  <c r="G85" i="92" s="1"/>
  <c r="F86" i="92" s="1"/>
  <c r="F72" i="91"/>
  <c r="E72" i="91" s="1"/>
  <c r="D72" i="91" s="1"/>
  <c r="E17" i="91"/>
  <c r="D17" i="91" s="1"/>
  <c r="G17" i="91" s="1"/>
  <c r="F18" i="91" s="1"/>
  <c r="E17" i="92"/>
  <c r="D17" i="92" s="1"/>
  <c r="G17" i="92" s="1"/>
  <c r="F18" i="92" s="1"/>
  <c r="E74" i="88"/>
  <c r="D74" i="88" s="1"/>
  <c r="G74" i="88" s="1"/>
  <c r="F75" i="88" s="1"/>
  <c r="E17" i="89"/>
  <c r="D17" i="89" s="1"/>
  <c r="G17" i="89" s="1"/>
  <c r="F18" i="89" s="1"/>
  <c r="E73" i="89"/>
  <c r="D73" i="89" s="1"/>
  <c r="G73" i="89" s="1"/>
  <c r="F74" i="89" s="1"/>
  <c r="E17" i="88"/>
  <c r="D17" i="88" s="1"/>
  <c r="G17" i="88" s="1"/>
  <c r="F18" i="88" s="1"/>
  <c r="E86" i="92" l="1"/>
  <c r="D86" i="92" s="1"/>
  <c r="G86" i="92" s="1"/>
  <c r="F87" i="92" s="1"/>
  <c r="G72" i="91"/>
  <c r="E18" i="92"/>
  <c r="D18" i="92" s="1"/>
  <c r="G18" i="92" s="1"/>
  <c r="F19" i="92" s="1"/>
  <c r="E18" i="91"/>
  <c r="D18" i="91" s="1"/>
  <c r="G18" i="91" s="1"/>
  <c r="F19" i="91" s="1"/>
  <c r="E75" i="88"/>
  <c r="D75" i="88" s="1"/>
  <c r="G75" i="88" s="1"/>
  <c r="F76" i="88" s="1"/>
  <c r="E74" i="89"/>
  <c r="D74" i="89" s="1"/>
  <c r="G74" i="89" s="1"/>
  <c r="F75" i="89" s="1"/>
  <c r="E18" i="88"/>
  <c r="D18" i="88" s="1"/>
  <c r="G18" i="88" s="1"/>
  <c r="F19" i="88" s="1"/>
  <c r="E18" i="89"/>
  <c r="D18" i="89" s="1"/>
  <c r="G18" i="89" s="1"/>
  <c r="F19" i="89" s="1"/>
  <c r="E87" i="92" l="1"/>
  <c r="D87" i="92" s="1"/>
  <c r="G87" i="92" s="1"/>
  <c r="F88" i="92" s="1"/>
  <c r="F73" i="91"/>
  <c r="E73" i="91" s="1"/>
  <c r="D73" i="91" s="1"/>
  <c r="G73" i="91" s="1"/>
  <c r="E19" i="91"/>
  <c r="D19" i="91" s="1"/>
  <c r="G19" i="91" s="1"/>
  <c r="F20" i="91" s="1"/>
  <c r="E19" i="92"/>
  <c r="D19" i="92" s="1"/>
  <c r="G19" i="92" s="1"/>
  <c r="F20" i="92" s="1"/>
  <c r="E76" i="88"/>
  <c r="D76" i="88" s="1"/>
  <c r="G76" i="88" s="1"/>
  <c r="F77" i="88" s="1"/>
  <c r="E19" i="89"/>
  <c r="D19" i="89" s="1"/>
  <c r="G19" i="89" s="1"/>
  <c r="F20" i="89" s="1"/>
  <c r="E19" i="88"/>
  <c r="D19" i="88" s="1"/>
  <c r="G19" i="88" s="1"/>
  <c r="F20" i="88" s="1"/>
  <c r="E75" i="89"/>
  <c r="D75" i="89" s="1"/>
  <c r="G75" i="89" s="1"/>
  <c r="F76" i="89" s="1"/>
  <c r="E88" i="92" l="1"/>
  <c r="D88" i="92" s="1"/>
  <c r="G88" i="92" s="1"/>
  <c r="F89" i="92" s="1"/>
  <c r="F74" i="91"/>
  <c r="E74" i="91" s="1"/>
  <c r="D74" i="91" s="1"/>
  <c r="G74" i="91" s="1"/>
  <c r="E20" i="91"/>
  <c r="D20" i="91" s="1"/>
  <c r="G20" i="91" s="1"/>
  <c r="F21" i="91" s="1"/>
  <c r="E20" i="92"/>
  <c r="D20" i="92" s="1"/>
  <c r="G20" i="92" s="1"/>
  <c r="F21" i="92" s="1"/>
  <c r="E77" i="88"/>
  <c r="D77" i="88" s="1"/>
  <c r="G77" i="88" s="1"/>
  <c r="F78" i="88" s="1"/>
  <c r="E20" i="89"/>
  <c r="D20" i="89" s="1"/>
  <c r="G20" i="89" s="1"/>
  <c r="F21" i="89" s="1"/>
  <c r="E20" i="88"/>
  <c r="D20" i="88" s="1"/>
  <c r="G20" i="88" s="1"/>
  <c r="F21" i="88" s="1"/>
  <c r="E76" i="89"/>
  <c r="D76" i="89" s="1"/>
  <c r="G76" i="89" s="1"/>
  <c r="F77" i="89" s="1"/>
  <c r="E89" i="92" l="1"/>
  <c r="D89" i="92" s="1"/>
  <c r="G89" i="92" s="1"/>
  <c r="F90" i="92" s="1"/>
  <c r="F75" i="91"/>
  <c r="E75" i="91" s="1"/>
  <c r="D75" i="91" s="1"/>
  <c r="G75" i="91" s="1"/>
  <c r="F76" i="91" s="1"/>
  <c r="E76" i="91" s="1"/>
  <c r="D76" i="91" s="1"/>
  <c r="G76" i="91" s="1"/>
  <c r="F77" i="91" s="1"/>
  <c r="E77" i="91" s="1"/>
  <c r="D77" i="91" s="1"/>
  <c r="G77" i="91" s="1"/>
  <c r="F78" i="91" s="1"/>
  <c r="E21" i="92"/>
  <c r="D21" i="92" s="1"/>
  <c r="G21" i="92" s="1"/>
  <c r="F22" i="92" s="1"/>
  <c r="E21" i="91"/>
  <c r="D21" i="91" s="1"/>
  <c r="G21" i="91" s="1"/>
  <c r="F22" i="91" s="1"/>
  <c r="E78" i="88"/>
  <c r="D78" i="88" s="1"/>
  <c r="G78" i="88" s="1"/>
  <c r="F79" i="88" s="1"/>
  <c r="E21" i="89"/>
  <c r="D21" i="89" s="1"/>
  <c r="G21" i="89" s="1"/>
  <c r="F22" i="89" s="1"/>
  <c r="E77" i="89"/>
  <c r="D77" i="89" s="1"/>
  <c r="G77" i="89" s="1"/>
  <c r="F78" i="89" s="1"/>
  <c r="E21" i="88"/>
  <c r="D21" i="88" s="1"/>
  <c r="G21" i="88" s="1"/>
  <c r="F22" i="88" s="1"/>
  <c r="E90" i="92" l="1"/>
  <c r="D90" i="92" s="1"/>
  <c r="G90" i="92" s="1"/>
  <c r="F91" i="92" s="1"/>
  <c r="E78" i="91"/>
  <c r="D78" i="91" s="1"/>
  <c r="G78" i="91" s="1"/>
  <c r="F79" i="91" s="1"/>
  <c r="E22" i="91"/>
  <c r="D22" i="91" s="1"/>
  <c r="G22" i="91" s="1"/>
  <c r="F23" i="91" s="1"/>
  <c r="E22" i="92"/>
  <c r="D22" i="92" s="1"/>
  <c r="G22" i="92" s="1"/>
  <c r="F23" i="92" s="1"/>
  <c r="E79" i="88"/>
  <c r="D79" i="88" s="1"/>
  <c r="G79" i="88" s="1"/>
  <c r="F80" i="88" s="1"/>
  <c r="E78" i="89"/>
  <c r="D78" i="89" s="1"/>
  <c r="G78" i="89" s="1"/>
  <c r="F79" i="89" s="1"/>
  <c r="E22" i="89"/>
  <c r="D22" i="89" s="1"/>
  <c r="G22" i="89" s="1"/>
  <c r="F23" i="89" s="1"/>
  <c r="E22" i="88"/>
  <c r="D22" i="88" s="1"/>
  <c r="G22" i="88" s="1"/>
  <c r="F23" i="88" s="1"/>
  <c r="E91" i="92" l="1"/>
  <c r="D91" i="92" s="1"/>
  <c r="G91" i="92" s="1"/>
  <c r="F92" i="92" s="1"/>
  <c r="E23" i="91"/>
  <c r="D23" i="91" s="1"/>
  <c r="G23" i="91" s="1"/>
  <c r="F24" i="91" s="1"/>
  <c r="E23" i="92"/>
  <c r="D23" i="92" s="1"/>
  <c r="G23" i="92" s="1"/>
  <c r="F24" i="92" s="1"/>
  <c r="E79" i="91"/>
  <c r="D79" i="91" s="1"/>
  <c r="G79" i="91" s="1"/>
  <c r="F80" i="91" s="1"/>
  <c r="E80" i="88"/>
  <c r="D80" i="88" s="1"/>
  <c r="G80" i="88" s="1"/>
  <c r="F81" i="88" s="1"/>
  <c r="E23" i="88"/>
  <c r="D23" i="88" s="1"/>
  <c r="G23" i="88" s="1"/>
  <c r="F24" i="88" s="1"/>
  <c r="E23" i="89"/>
  <c r="D23" i="89" s="1"/>
  <c r="G23" i="89" s="1"/>
  <c r="F24" i="89" s="1"/>
  <c r="E79" i="89"/>
  <c r="D79" i="89" s="1"/>
  <c r="G79" i="89" s="1"/>
  <c r="F80" i="89" s="1"/>
  <c r="E92" i="92" l="1"/>
  <c r="D92" i="92" s="1"/>
  <c r="G92" i="92" s="1"/>
  <c r="F93" i="92" s="1"/>
  <c r="E80" i="91"/>
  <c r="D80" i="91" s="1"/>
  <c r="G80" i="91" s="1"/>
  <c r="F81" i="91" s="1"/>
  <c r="E24" i="92"/>
  <c r="D24" i="92" s="1"/>
  <c r="G24" i="92" s="1"/>
  <c r="F25" i="92" s="1"/>
  <c r="E24" i="91"/>
  <c r="D24" i="91" s="1"/>
  <c r="G24" i="91" s="1"/>
  <c r="F25" i="91" s="1"/>
  <c r="E81" i="88"/>
  <c r="D81" i="88" s="1"/>
  <c r="G81" i="88" s="1"/>
  <c r="F82" i="88" s="1"/>
  <c r="E24" i="89"/>
  <c r="D24" i="89" s="1"/>
  <c r="G24" i="89" s="1"/>
  <c r="F25" i="89" s="1"/>
  <c r="E24" i="88"/>
  <c r="D24" i="88" s="1"/>
  <c r="G24" i="88" s="1"/>
  <c r="F25" i="88" s="1"/>
  <c r="E80" i="89"/>
  <c r="D80" i="89" s="1"/>
  <c r="G80" i="89" s="1"/>
  <c r="F81" i="89" s="1"/>
  <c r="E93" i="92" l="1"/>
  <c r="D93" i="92" s="1"/>
  <c r="G93" i="92" s="1"/>
  <c r="F94" i="92" s="1"/>
  <c r="E81" i="91"/>
  <c r="D81" i="91" s="1"/>
  <c r="G81" i="91" s="1"/>
  <c r="F82" i="91" s="1"/>
  <c r="E82" i="91" s="1"/>
  <c r="D82" i="91" s="1"/>
  <c r="G82" i="91" s="1"/>
  <c r="F83" i="91" s="1"/>
  <c r="E83" i="91" s="1"/>
  <c r="D83" i="91" s="1"/>
  <c r="G83" i="91" s="1"/>
  <c r="F84" i="91" s="1"/>
  <c r="E84" i="91" s="1"/>
  <c r="D84" i="91" s="1"/>
  <c r="G84" i="91" s="1"/>
  <c r="F85" i="91" s="1"/>
  <c r="E85" i="91" s="1"/>
  <c r="D85" i="91" s="1"/>
  <c r="G85" i="91" s="1"/>
  <c r="F86" i="91" s="1"/>
  <c r="E86" i="91" s="1"/>
  <c r="D86" i="91" s="1"/>
  <c r="G86" i="91" s="1"/>
  <c r="E25" i="91"/>
  <c r="D25" i="91" s="1"/>
  <c r="G25" i="91" s="1"/>
  <c r="F26" i="91" s="1"/>
  <c r="E25" i="92"/>
  <c r="D25" i="92" s="1"/>
  <c r="G25" i="92" s="1"/>
  <c r="F26" i="92" s="1"/>
  <c r="E82" i="88"/>
  <c r="D82" i="88" s="1"/>
  <c r="G82" i="88" s="1"/>
  <c r="F83" i="88" s="1"/>
  <c r="E25" i="88"/>
  <c r="D25" i="88" s="1"/>
  <c r="G25" i="88" s="1"/>
  <c r="F26" i="88" s="1"/>
  <c r="E25" i="89"/>
  <c r="D25" i="89" s="1"/>
  <c r="G25" i="89" s="1"/>
  <c r="F26" i="89" s="1"/>
  <c r="E81" i="89"/>
  <c r="D81" i="89" s="1"/>
  <c r="G81" i="89" s="1"/>
  <c r="F82" i="89" s="1"/>
  <c r="E94" i="92" l="1"/>
  <c r="D94" i="92" s="1"/>
  <c r="G94" i="92" s="1"/>
  <c r="F95" i="92" s="1"/>
  <c r="E26" i="92"/>
  <c r="D26" i="92" s="1"/>
  <c r="G26" i="92" s="1"/>
  <c r="F27" i="92" s="1"/>
  <c r="E26" i="91"/>
  <c r="D26" i="91" s="1"/>
  <c r="G26" i="91" s="1"/>
  <c r="F27" i="91" s="1"/>
  <c r="E83" i="88"/>
  <c r="D83" i="88" s="1"/>
  <c r="G83" i="88" s="1"/>
  <c r="F84" i="88" s="1"/>
  <c r="E26" i="89"/>
  <c r="D26" i="89" s="1"/>
  <c r="G26" i="89" s="1"/>
  <c r="F27" i="89" s="1"/>
  <c r="E82" i="89"/>
  <c r="D82" i="89" s="1"/>
  <c r="G82" i="89" s="1"/>
  <c r="F83" i="89" s="1"/>
  <c r="E26" i="88"/>
  <c r="D26" i="88" s="1"/>
  <c r="G26" i="88" s="1"/>
  <c r="F27" i="88" s="1"/>
  <c r="E95" i="92" l="1"/>
  <c r="D95" i="92" s="1"/>
  <c r="G95" i="92" s="1"/>
  <c r="F96" i="92" s="1"/>
  <c r="E27" i="91"/>
  <c r="D27" i="91" s="1"/>
  <c r="G27" i="91" s="1"/>
  <c r="F28" i="91" s="1"/>
  <c r="E27" i="92"/>
  <c r="D27" i="92" s="1"/>
  <c r="G27" i="92" s="1"/>
  <c r="F28" i="92" s="1"/>
  <c r="E84" i="88"/>
  <c r="D84" i="88" s="1"/>
  <c r="G84" i="88" s="1"/>
  <c r="F85" i="88" s="1"/>
  <c r="E83" i="89"/>
  <c r="D83" i="89" s="1"/>
  <c r="G83" i="89" s="1"/>
  <c r="F84" i="89" s="1"/>
  <c r="E27" i="89"/>
  <c r="D27" i="89" s="1"/>
  <c r="G27" i="89" s="1"/>
  <c r="F28" i="89" s="1"/>
  <c r="E27" i="88"/>
  <c r="D27" i="88" s="1"/>
  <c r="G27" i="88" s="1"/>
  <c r="F28" i="88" s="1"/>
  <c r="E96" i="92" l="1"/>
  <c r="D96" i="92" s="1"/>
  <c r="G96" i="92" s="1"/>
  <c r="F97" i="92" s="1"/>
  <c r="E28" i="92"/>
  <c r="D28" i="92" s="1"/>
  <c r="G28" i="92" s="1"/>
  <c r="F29" i="92" s="1"/>
  <c r="E28" i="91"/>
  <c r="D28" i="91" s="1"/>
  <c r="G28" i="91" s="1"/>
  <c r="F29" i="91" s="1"/>
  <c r="E85" i="88"/>
  <c r="D85" i="88" s="1"/>
  <c r="G85" i="88" s="1"/>
  <c r="F86" i="88" s="1"/>
  <c r="E84" i="89"/>
  <c r="D84" i="89" s="1"/>
  <c r="G84" i="89" s="1"/>
  <c r="F85" i="89" s="1"/>
  <c r="E28" i="88"/>
  <c r="D28" i="88" s="1"/>
  <c r="G28" i="88" s="1"/>
  <c r="F29" i="88" s="1"/>
  <c r="E28" i="89"/>
  <c r="D28" i="89" s="1"/>
  <c r="G28" i="89" s="1"/>
  <c r="F29" i="89" s="1"/>
  <c r="E97" i="92" l="1"/>
  <c r="D97" i="92" s="1"/>
  <c r="G97" i="92" s="1"/>
  <c r="F98" i="92" s="1"/>
  <c r="E29" i="91"/>
  <c r="D29" i="91" s="1"/>
  <c r="G29" i="91" s="1"/>
  <c r="F30" i="91" s="1"/>
  <c r="E29" i="92"/>
  <c r="D29" i="92" s="1"/>
  <c r="G29" i="92" s="1"/>
  <c r="F30" i="92" s="1"/>
  <c r="E86" i="88"/>
  <c r="D86" i="88" s="1"/>
  <c r="G86" i="88" s="1"/>
  <c r="F87" i="88" s="1"/>
  <c r="E85" i="89"/>
  <c r="D85" i="89" s="1"/>
  <c r="G85" i="89" s="1"/>
  <c r="F86" i="89" s="1"/>
  <c r="E29" i="89"/>
  <c r="D29" i="89" s="1"/>
  <c r="G29" i="89" s="1"/>
  <c r="F30" i="89" s="1"/>
  <c r="E29" i="88"/>
  <c r="D29" i="88" s="1"/>
  <c r="G29" i="88" s="1"/>
  <c r="F30" i="88" s="1"/>
  <c r="E98" i="92" l="1"/>
  <c r="D98" i="92" s="1"/>
  <c r="G98" i="92" s="1"/>
  <c r="F99" i="92" s="1"/>
  <c r="E30" i="92"/>
  <c r="D30" i="92" s="1"/>
  <c r="G30" i="92" s="1"/>
  <c r="F31" i="92" s="1"/>
  <c r="E30" i="91"/>
  <c r="D30" i="91" s="1"/>
  <c r="G30" i="91" s="1"/>
  <c r="F31" i="91" s="1"/>
  <c r="F87" i="91"/>
  <c r="E87" i="88"/>
  <c r="D87" i="88" s="1"/>
  <c r="G87" i="88" s="1"/>
  <c r="F88" i="88" s="1"/>
  <c r="E86" i="89"/>
  <c r="D86" i="89" s="1"/>
  <c r="G86" i="89" s="1"/>
  <c r="F87" i="89" s="1"/>
  <c r="E30" i="88"/>
  <c r="D30" i="88" s="1"/>
  <c r="G30" i="88" s="1"/>
  <c r="F31" i="88" s="1"/>
  <c r="E30" i="89"/>
  <c r="D30" i="89" s="1"/>
  <c r="G30" i="89" s="1"/>
  <c r="F31" i="89" s="1"/>
  <c r="E99" i="92" l="1"/>
  <c r="D99" i="92" s="1"/>
  <c r="G99" i="92" s="1"/>
  <c r="F100" i="92" s="1"/>
  <c r="E31" i="91"/>
  <c r="D31" i="91" s="1"/>
  <c r="G31" i="91" s="1"/>
  <c r="F32" i="91" s="1"/>
  <c r="E87" i="91"/>
  <c r="D87" i="91" s="1"/>
  <c r="G87" i="91" s="1"/>
  <c r="F88" i="91" s="1"/>
  <c r="E31" i="92"/>
  <c r="E88" i="88"/>
  <c r="D88" i="88" s="1"/>
  <c r="G88" i="88" s="1"/>
  <c r="F89" i="88" s="1"/>
  <c r="E87" i="89"/>
  <c r="D87" i="89" s="1"/>
  <c r="G87" i="89" s="1"/>
  <c r="F88" i="89" s="1"/>
  <c r="E31" i="89"/>
  <c r="D31" i="89" s="1"/>
  <c r="G31" i="89" s="1"/>
  <c r="F32" i="89" s="1"/>
  <c r="E31" i="88"/>
  <c r="D31" i="88" s="1"/>
  <c r="G31" i="88" s="1"/>
  <c r="F32" i="88" s="1"/>
  <c r="E100" i="92" l="1"/>
  <c r="D100" i="92" s="1"/>
  <c r="G100" i="92" s="1"/>
  <c r="F101" i="92" s="1"/>
  <c r="D31" i="92"/>
  <c r="G31" i="92" s="1"/>
  <c r="F32" i="92" s="1"/>
  <c r="E32" i="92" s="1"/>
  <c r="D32" i="92" s="1"/>
  <c r="G32" i="92" s="1"/>
  <c r="F33" i="92" s="1"/>
  <c r="E88" i="91"/>
  <c r="D88" i="91" s="1"/>
  <c r="G88" i="91" s="1"/>
  <c r="F89" i="91" s="1"/>
  <c r="E32" i="91"/>
  <c r="D32" i="91" s="1"/>
  <c r="G32" i="91" s="1"/>
  <c r="F33" i="91" s="1"/>
  <c r="E89" i="88"/>
  <c r="D89" i="88" s="1"/>
  <c r="G89" i="88" s="1"/>
  <c r="F90" i="88" s="1"/>
  <c r="E32" i="88"/>
  <c r="D32" i="88" s="1"/>
  <c r="G32" i="88" s="1"/>
  <c r="F33" i="88" s="1"/>
  <c r="E88" i="89"/>
  <c r="D88" i="89" s="1"/>
  <c r="G88" i="89" s="1"/>
  <c r="F89" i="89" s="1"/>
  <c r="E32" i="89"/>
  <c r="D32" i="89" s="1"/>
  <c r="G32" i="89" s="1"/>
  <c r="F33" i="89" s="1"/>
  <c r="E101" i="92" l="1"/>
  <c r="D101" i="92" s="1"/>
  <c r="G101" i="92" s="1"/>
  <c r="F102" i="92" s="1"/>
  <c r="E33" i="91"/>
  <c r="D33" i="91" s="1"/>
  <c r="G33" i="91" s="1"/>
  <c r="F34" i="91" s="1"/>
  <c r="E89" i="91"/>
  <c r="D89" i="91" s="1"/>
  <c r="G89" i="91" s="1"/>
  <c r="F90" i="91" s="1"/>
  <c r="E33" i="92"/>
  <c r="D33" i="92" s="1"/>
  <c r="G33" i="92" s="1"/>
  <c r="F34" i="92" s="1"/>
  <c r="E90" i="88"/>
  <c r="D90" i="88" s="1"/>
  <c r="G90" i="88" s="1"/>
  <c r="F91" i="88" s="1"/>
  <c r="E89" i="89"/>
  <c r="D89" i="89" s="1"/>
  <c r="G89" i="89" s="1"/>
  <c r="F90" i="89" s="1"/>
  <c r="E33" i="88"/>
  <c r="D33" i="88" s="1"/>
  <c r="G33" i="88" s="1"/>
  <c r="F34" i="88" s="1"/>
  <c r="E33" i="89"/>
  <c r="D33" i="89" s="1"/>
  <c r="G33" i="89" s="1"/>
  <c r="F34" i="89" s="1"/>
  <c r="E102" i="92" l="1"/>
  <c r="D102" i="92" s="1"/>
  <c r="G102" i="92" s="1"/>
  <c r="F103" i="92" s="1"/>
  <c r="E34" i="92"/>
  <c r="D34" i="92" s="1"/>
  <c r="G34" i="92" s="1"/>
  <c r="F35" i="92" s="1"/>
  <c r="E90" i="91"/>
  <c r="D90" i="91" s="1"/>
  <c r="G90" i="91" s="1"/>
  <c r="F91" i="91" s="1"/>
  <c r="E34" i="91"/>
  <c r="D34" i="91" s="1"/>
  <c r="G34" i="91" s="1"/>
  <c r="F35" i="91" s="1"/>
  <c r="E91" i="88"/>
  <c r="D91" i="88" s="1"/>
  <c r="G91" i="88" s="1"/>
  <c r="F92" i="88" s="1"/>
  <c r="E34" i="88"/>
  <c r="D34" i="88" s="1"/>
  <c r="G34" i="88" s="1"/>
  <c r="F35" i="88" s="1"/>
  <c r="E34" i="89"/>
  <c r="D34" i="89" s="1"/>
  <c r="G34" i="89" s="1"/>
  <c r="F35" i="89" s="1"/>
  <c r="E90" i="89"/>
  <c r="D90" i="89" s="1"/>
  <c r="G90" i="89" s="1"/>
  <c r="F91" i="89" s="1"/>
  <c r="E103" i="92" l="1"/>
  <c r="D103" i="92" s="1"/>
  <c r="G103" i="92" s="1"/>
  <c r="F104" i="92" s="1"/>
  <c r="E91" i="91"/>
  <c r="D91" i="91" s="1"/>
  <c r="G91" i="91" s="1"/>
  <c r="F92" i="91" s="1"/>
  <c r="E92" i="91" s="1"/>
  <c r="D92" i="91" s="1"/>
  <c r="G92" i="91" s="1"/>
  <c r="F93" i="91" s="1"/>
  <c r="E93" i="91" s="1"/>
  <c r="D93" i="91" s="1"/>
  <c r="G93" i="91" s="1"/>
  <c r="F94" i="91" s="1"/>
  <c r="E94" i="91" s="1"/>
  <c r="D94" i="91" s="1"/>
  <c r="G94" i="91" s="1"/>
  <c r="F95" i="91" s="1"/>
  <c r="E95" i="91" s="1"/>
  <c r="D95" i="91" s="1"/>
  <c r="G95" i="91" s="1"/>
  <c r="F96" i="91" s="1"/>
  <c r="E96" i="91" s="1"/>
  <c r="D96" i="91" s="1"/>
  <c r="G96" i="91" s="1"/>
  <c r="F97" i="91" s="1"/>
  <c r="E35" i="91"/>
  <c r="D35" i="91" s="1"/>
  <c r="G35" i="91" s="1"/>
  <c r="F36" i="91" s="1"/>
  <c r="E35" i="92"/>
  <c r="D35" i="92" s="1"/>
  <c r="G35" i="92" s="1"/>
  <c r="F36" i="92" s="1"/>
  <c r="E92" i="88"/>
  <c r="D92" i="88" s="1"/>
  <c r="G92" i="88" s="1"/>
  <c r="F93" i="88" s="1"/>
  <c r="E35" i="88"/>
  <c r="D35" i="88" s="1"/>
  <c r="G35" i="88" s="1"/>
  <c r="F36" i="88" s="1"/>
  <c r="E35" i="89"/>
  <c r="D35" i="89" s="1"/>
  <c r="G35" i="89" s="1"/>
  <c r="F36" i="89" s="1"/>
  <c r="E91" i="89"/>
  <c r="D91" i="89" s="1"/>
  <c r="G91" i="89" s="1"/>
  <c r="F92" i="89" s="1"/>
  <c r="E104" i="92" l="1"/>
  <c r="D104" i="92" s="1"/>
  <c r="G104" i="92" s="1"/>
  <c r="F105" i="92" s="1"/>
  <c r="E97" i="91"/>
  <c r="D97" i="91" s="1"/>
  <c r="G97" i="91" s="1"/>
  <c r="F98" i="91" s="1"/>
  <c r="E98" i="91" s="1"/>
  <c r="D98" i="91" s="1"/>
  <c r="G98" i="91" s="1"/>
  <c r="E36" i="92"/>
  <c r="D36" i="92" s="1"/>
  <c r="G36" i="92" s="1"/>
  <c r="F37" i="92" s="1"/>
  <c r="E36" i="91"/>
  <c r="D36" i="91" s="1"/>
  <c r="G36" i="91" s="1"/>
  <c r="F37" i="91" s="1"/>
  <c r="E93" i="88"/>
  <c r="D93" i="88" s="1"/>
  <c r="G93" i="88" s="1"/>
  <c r="F94" i="88" s="1"/>
  <c r="E92" i="89"/>
  <c r="D92" i="89" s="1"/>
  <c r="G92" i="89" s="1"/>
  <c r="F93" i="89" s="1"/>
  <c r="E36" i="89"/>
  <c r="D36" i="89" s="1"/>
  <c r="G36" i="89"/>
  <c r="F37" i="89" s="1"/>
  <c r="E36" i="88"/>
  <c r="D36" i="88" s="1"/>
  <c r="G36" i="88" s="1"/>
  <c r="F37" i="88" s="1"/>
  <c r="E105" i="92" l="1"/>
  <c r="D105" i="92" s="1"/>
  <c r="G105" i="92" s="1"/>
  <c r="F106" i="92" s="1"/>
  <c r="E37" i="91"/>
  <c r="D37" i="91" s="1"/>
  <c r="G37" i="91" s="1"/>
  <c r="F38" i="91" s="1"/>
  <c r="E37" i="92"/>
  <c r="D37" i="92" s="1"/>
  <c r="G37" i="92" s="1"/>
  <c r="F38" i="92" s="1"/>
  <c r="E94" i="88"/>
  <c r="D94" i="88" s="1"/>
  <c r="G94" i="88" s="1"/>
  <c r="F95" i="88" s="1"/>
  <c r="E37" i="88"/>
  <c r="D37" i="88" s="1"/>
  <c r="G37" i="88" s="1"/>
  <c r="F38" i="88" s="1"/>
  <c r="E93" i="89"/>
  <c r="D93" i="89" s="1"/>
  <c r="G93" i="89" s="1"/>
  <c r="F94" i="89" s="1"/>
  <c r="E37" i="89"/>
  <c r="D37" i="89" s="1"/>
  <c r="G37" i="89" s="1"/>
  <c r="F38" i="89" s="1"/>
  <c r="D106" i="92" l="1"/>
  <c r="G106" i="92" s="1"/>
  <c r="E38" i="91"/>
  <c r="D38" i="91" s="1"/>
  <c r="G38" i="91" s="1"/>
  <c r="F39" i="91" s="1"/>
  <c r="E38" i="92"/>
  <c r="D38" i="92" s="1"/>
  <c r="G38" i="92" s="1"/>
  <c r="F39" i="92" s="1"/>
  <c r="E95" i="88"/>
  <c r="D95" i="88" s="1"/>
  <c r="G95" i="88" s="1"/>
  <c r="F96" i="88" s="1"/>
  <c r="E38" i="89"/>
  <c r="D38" i="89" s="1"/>
  <c r="G38" i="89" s="1"/>
  <c r="F39" i="89" s="1"/>
  <c r="E94" i="89"/>
  <c r="D94" i="89" s="1"/>
  <c r="G94" i="89" s="1"/>
  <c r="F95" i="89" s="1"/>
  <c r="E38" i="88"/>
  <c r="D38" i="88" s="1"/>
  <c r="G38" i="88" s="1"/>
  <c r="F39" i="88" s="1"/>
  <c r="E39" i="92" l="1"/>
  <c r="D39" i="92" s="1"/>
  <c r="G39" i="92" s="1"/>
  <c r="F40" i="92" s="1"/>
  <c r="E39" i="91"/>
  <c r="D39" i="91" s="1"/>
  <c r="G39" i="91" s="1"/>
  <c r="F40" i="91" s="1"/>
  <c r="E96" i="88"/>
  <c r="D96" i="88" s="1"/>
  <c r="G96" i="88" s="1"/>
  <c r="F97" i="88" s="1"/>
  <c r="E95" i="89"/>
  <c r="D95" i="89" s="1"/>
  <c r="G95" i="89" s="1"/>
  <c r="F96" i="89" s="1"/>
  <c r="E39" i="89"/>
  <c r="D39" i="89" s="1"/>
  <c r="G39" i="89" s="1"/>
  <c r="F40" i="89" s="1"/>
  <c r="E39" i="88"/>
  <c r="D39" i="88" s="1"/>
  <c r="G39" i="88" s="1"/>
  <c r="F40" i="88" s="1"/>
  <c r="E40" i="91" l="1"/>
  <c r="D40" i="91" s="1"/>
  <c r="G40" i="91" s="1"/>
  <c r="F41" i="91" s="1"/>
  <c r="E40" i="92"/>
  <c r="D40" i="92" s="1"/>
  <c r="G40" i="92" s="1"/>
  <c r="F41" i="92" s="1"/>
  <c r="E97" i="88"/>
  <c r="D97" i="88" s="1"/>
  <c r="G97" i="88" s="1"/>
  <c r="F98" i="88" s="1"/>
  <c r="E40" i="88"/>
  <c r="D40" i="88" s="1"/>
  <c r="G40" i="88" s="1"/>
  <c r="F41" i="88" s="1"/>
  <c r="E40" i="89"/>
  <c r="D40" i="89" s="1"/>
  <c r="G40" i="89" s="1"/>
  <c r="F41" i="89" s="1"/>
  <c r="E96" i="89"/>
  <c r="D96" i="89" s="1"/>
  <c r="G96" i="89" s="1"/>
  <c r="F97" i="89" s="1"/>
  <c r="E41" i="92" l="1"/>
  <c r="D41" i="92" s="1"/>
  <c r="G41" i="92" s="1"/>
  <c r="F42" i="92" s="1"/>
  <c r="E41" i="91"/>
  <c r="D41" i="91" s="1"/>
  <c r="G41" i="91" s="1"/>
  <c r="F42" i="91" s="1"/>
  <c r="E98" i="88"/>
  <c r="D98" i="88" s="1"/>
  <c r="G98" i="88" s="1"/>
  <c r="F99" i="88" s="1"/>
  <c r="E97" i="89"/>
  <c r="D97" i="89" s="1"/>
  <c r="G97" i="89" s="1"/>
  <c r="F98" i="89" s="1"/>
  <c r="E41" i="89"/>
  <c r="D41" i="89" s="1"/>
  <c r="G41" i="89" s="1"/>
  <c r="F42" i="89" s="1"/>
  <c r="E41" i="88"/>
  <c r="D41" i="88" s="1"/>
  <c r="G41" i="88" s="1"/>
  <c r="F42" i="88" s="1"/>
  <c r="E42" i="91" l="1"/>
  <c r="D42" i="91" s="1"/>
  <c r="G42" i="91" s="1"/>
  <c r="F43" i="91" s="1"/>
  <c r="E42" i="92"/>
  <c r="D42" i="92" s="1"/>
  <c r="G42" i="92" s="1"/>
  <c r="F43" i="92" s="1"/>
  <c r="F99" i="91"/>
  <c r="E99" i="88"/>
  <c r="D99" i="88" s="1"/>
  <c r="G99" i="88" s="1"/>
  <c r="F100" i="88" s="1"/>
  <c r="E42" i="89"/>
  <c r="D42" i="89" s="1"/>
  <c r="G42" i="89" s="1"/>
  <c r="F43" i="89" s="1"/>
  <c r="E42" i="88"/>
  <c r="D42" i="88" s="1"/>
  <c r="G42" i="88" s="1"/>
  <c r="F43" i="88" s="1"/>
  <c r="E98" i="89"/>
  <c r="D98" i="89" s="1"/>
  <c r="G98" i="89" s="1"/>
  <c r="F99" i="89" s="1"/>
  <c r="E99" i="91" l="1"/>
  <c r="D99" i="91" s="1"/>
  <c r="G99" i="91" s="1"/>
  <c r="F100" i="91" s="1"/>
  <c r="E43" i="92"/>
  <c r="D43" i="92" s="1"/>
  <c r="G43" i="92" s="1"/>
  <c r="F44" i="92" s="1"/>
  <c r="E43" i="91"/>
  <c r="D43" i="91" s="1"/>
  <c r="G43" i="91" s="1"/>
  <c r="F44" i="91" s="1"/>
  <c r="E100" i="88"/>
  <c r="D100" i="88" s="1"/>
  <c r="G100" i="88" s="1"/>
  <c r="F101" i="88" s="1"/>
  <c r="E43" i="88"/>
  <c r="D43" i="88" s="1"/>
  <c r="G43" i="88" s="1"/>
  <c r="F44" i="88" s="1"/>
  <c r="E99" i="89"/>
  <c r="D99" i="89" s="1"/>
  <c r="G99" i="89" s="1"/>
  <c r="F100" i="89" s="1"/>
  <c r="E43" i="89"/>
  <c r="D43" i="89" s="1"/>
  <c r="G43" i="89" s="1"/>
  <c r="F44" i="89" s="1"/>
  <c r="E44" i="91" l="1"/>
  <c r="D44" i="91" s="1"/>
  <c r="G44" i="91" s="1"/>
  <c r="F45" i="91" s="1"/>
  <c r="E100" i="91"/>
  <c r="D100" i="91" s="1"/>
  <c r="G100" i="91" s="1"/>
  <c r="F101" i="91" s="1"/>
  <c r="E44" i="92"/>
  <c r="D44" i="92" s="1"/>
  <c r="G44" i="92" s="1"/>
  <c r="F45" i="92" s="1"/>
  <c r="E101" i="88"/>
  <c r="D101" i="88" s="1"/>
  <c r="G101" i="88" s="1"/>
  <c r="F102" i="88" s="1"/>
  <c r="E44" i="89"/>
  <c r="D44" i="89" s="1"/>
  <c r="G44" i="89"/>
  <c r="F45" i="89" s="1"/>
  <c r="E100" i="89"/>
  <c r="D100" i="89" s="1"/>
  <c r="G100" i="89" s="1"/>
  <c r="F101" i="89" s="1"/>
  <c r="E44" i="88"/>
  <c r="D44" i="88" s="1"/>
  <c r="G44" i="88" s="1"/>
  <c r="F45" i="88" s="1"/>
  <c r="E101" i="91" l="1"/>
  <c r="D101" i="91" s="1"/>
  <c r="G101" i="91" s="1"/>
  <c r="F102" i="91" s="1"/>
  <c r="E45" i="92"/>
  <c r="D45" i="92" s="1"/>
  <c r="G45" i="92" s="1"/>
  <c r="F46" i="92" s="1"/>
  <c r="E45" i="91"/>
  <c r="D45" i="91" s="1"/>
  <c r="G45" i="91" s="1"/>
  <c r="F46" i="91" s="1"/>
  <c r="E102" i="88"/>
  <c r="D102" i="88" s="1"/>
  <c r="G102" i="88" s="1"/>
  <c r="F103" i="88" s="1"/>
  <c r="E45" i="88"/>
  <c r="D45" i="88" s="1"/>
  <c r="G45" i="88" s="1"/>
  <c r="F46" i="88" s="1"/>
  <c r="E101" i="89"/>
  <c r="D101" i="89" s="1"/>
  <c r="G101" i="89" s="1"/>
  <c r="F102" i="89" s="1"/>
  <c r="E45" i="89"/>
  <c r="D45" i="89" s="1"/>
  <c r="G45" i="89" s="1"/>
  <c r="F46" i="89" s="1"/>
  <c r="E46" i="91" l="1"/>
  <c r="D46" i="91" s="1"/>
  <c r="G46" i="91" s="1"/>
  <c r="F47" i="91" s="1"/>
  <c r="E102" i="91"/>
  <c r="D102" i="91" s="1"/>
  <c r="G102" i="91" s="1"/>
  <c r="F103" i="91" s="1"/>
  <c r="E46" i="92"/>
  <c r="D46" i="92" s="1"/>
  <c r="G46" i="92" s="1"/>
  <c r="F47" i="92" s="1"/>
  <c r="E103" i="88"/>
  <c r="D103" i="88" s="1"/>
  <c r="G103" i="88" s="1"/>
  <c r="F104" i="88" s="1"/>
  <c r="E46" i="89"/>
  <c r="D46" i="89" s="1"/>
  <c r="G46" i="89" s="1"/>
  <c r="F47" i="89" s="1"/>
  <c r="E102" i="89"/>
  <c r="D102" i="89" s="1"/>
  <c r="G102" i="89" s="1"/>
  <c r="F103" i="89" s="1"/>
  <c r="E46" i="88"/>
  <c r="D46" i="88" s="1"/>
  <c r="G46" i="88" s="1"/>
  <c r="F47" i="88" s="1"/>
  <c r="E103" i="91" l="1"/>
  <c r="D103" i="91" s="1"/>
  <c r="G103" i="91" s="1"/>
  <c r="F104" i="91" s="1"/>
  <c r="E47" i="92"/>
  <c r="D47" i="92" s="1"/>
  <c r="G47" i="92" s="1"/>
  <c r="F48" i="92" s="1"/>
  <c r="E47" i="91"/>
  <c r="D47" i="91" s="1"/>
  <c r="G47" i="91" s="1"/>
  <c r="F48" i="91" s="1"/>
  <c r="E104" i="88"/>
  <c r="D104" i="88" s="1"/>
  <c r="G104" i="88" s="1"/>
  <c r="F105" i="88" s="1"/>
  <c r="E47" i="88"/>
  <c r="D47" i="88" s="1"/>
  <c r="G47" i="88" s="1"/>
  <c r="F48" i="88" s="1"/>
  <c r="E103" i="89"/>
  <c r="D103" i="89" s="1"/>
  <c r="G103" i="89" s="1"/>
  <c r="F104" i="89" s="1"/>
  <c r="E47" i="89"/>
  <c r="D47" i="89" s="1"/>
  <c r="G47" i="89" s="1"/>
  <c r="F48" i="89" s="1"/>
  <c r="E48" i="91" l="1"/>
  <c r="D48" i="91" s="1"/>
  <c r="G48" i="91" s="1"/>
  <c r="F49" i="91" s="1"/>
  <c r="E104" i="91"/>
  <c r="D104" i="91" s="1"/>
  <c r="G104" i="91" s="1"/>
  <c r="F105" i="91" s="1"/>
  <c r="E48" i="92"/>
  <c r="D48" i="92" s="1"/>
  <c r="G48" i="92" s="1"/>
  <c r="F49" i="92" s="1"/>
  <c r="E105" i="88"/>
  <c r="D105" i="88" s="1"/>
  <c r="G105" i="88" s="1"/>
  <c r="F106" i="88" s="1"/>
  <c r="E48" i="89"/>
  <c r="D48" i="89" s="1"/>
  <c r="G48" i="89" s="1"/>
  <c r="F49" i="89" s="1"/>
  <c r="E104" i="89"/>
  <c r="D104" i="89" s="1"/>
  <c r="G104" i="89" s="1"/>
  <c r="F105" i="89" s="1"/>
  <c r="E48" i="88"/>
  <c r="D48" i="88" s="1"/>
  <c r="G48" i="88" s="1"/>
  <c r="F49" i="88" s="1"/>
  <c r="E105" i="91" l="1"/>
  <c r="D105" i="91" s="1"/>
  <c r="G105" i="91" s="1"/>
  <c r="F106" i="91" s="1"/>
  <c r="E49" i="92"/>
  <c r="D49" i="92" s="1"/>
  <c r="G49" i="92" s="1"/>
  <c r="F50" i="92" s="1"/>
  <c r="E49" i="91"/>
  <c r="D49" i="91" s="1"/>
  <c r="G49" i="91" s="1"/>
  <c r="F50" i="91" s="1"/>
  <c r="E106" i="88"/>
  <c r="D106" i="88" s="1"/>
  <c r="G106" i="88" s="1"/>
  <c r="F107" i="88" s="1"/>
  <c r="G107" i="88" s="1"/>
  <c r="E49" i="88"/>
  <c r="D49" i="88" s="1"/>
  <c r="G49" i="88" s="1"/>
  <c r="F50" i="88" s="1"/>
  <c r="E105" i="89"/>
  <c r="D105" i="89" s="1"/>
  <c r="G105" i="89" s="1"/>
  <c r="F106" i="89" s="1"/>
  <c r="E49" i="89"/>
  <c r="D49" i="89" s="1"/>
  <c r="G49" i="89" s="1"/>
  <c r="F50" i="89" s="1"/>
  <c r="E50" i="92" l="1"/>
  <c r="D50" i="92" s="1"/>
  <c r="G50" i="92" s="1"/>
  <c r="F51" i="92" s="1"/>
  <c r="D106" i="91"/>
  <c r="G106" i="91" s="1"/>
  <c r="E50" i="91"/>
  <c r="D50" i="91" s="1"/>
  <c r="G50" i="91" s="1"/>
  <c r="F51" i="91" s="1"/>
  <c r="E106" i="89"/>
  <c r="D106" i="89" s="1"/>
  <c r="G106" i="89" s="1"/>
  <c r="F107" i="89" s="1"/>
  <c r="G107" i="89" s="1"/>
  <c r="E50" i="89"/>
  <c r="D50" i="89" s="1"/>
  <c r="G50" i="89" s="1"/>
  <c r="F51" i="89" s="1"/>
  <c r="E50" i="88"/>
  <c r="D50" i="88" s="1"/>
  <c r="G50" i="88" s="1"/>
  <c r="F51" i="88" s="1"/>
  <c r="E51" i="91" l="1"/>
  <c r="D51" i="91" s="1"/>
  <c r="G51" i="91" s="1"/>
  <c r="F52" i="91" s="1"/>
  <c r="E51" i="92"/>
  <c r="D51" i="92" s="1"/>
  <c r="G51" i="92" s="1"/>
  <c r="F52" i="92" s="1"/>
  <c r="E51" i="88"/>
  <c r="D51" i="88" s="1"/>
  <c r="G51" i="88" s="1"/>
  <c r="F52" i="88" s="1"/>
  <c r="E51" i="89"/>
  <c r="D51" i="89" s="1"/>
  <c r="G51" i="89" s="1"/>
  <c r="F52" i="89" s="1"/>
  <c r="E52" i="92" l="1"/>
  <c r="D52" i="92" s="1"/>
  <c r="G52" i="92" s="1"/>
  <c r="F53" i="92" s="1"/>
  <c r="E52" i="91"/>
  <c r="D52" i="91" s="1"/>
  <c r="G52" i="91" s="1"/>
  <c r="F53" i="91" s="1"/>
  <c r="E52" i="88"/>
  <c r="D52" i="88" s="1"/>
  <c r="G52" i="88" s="1"/>
  <c r="F53" i="88" s="1"/>
  <c r="E52" i="89"/>
  <c r="D52" i="89" s="1"/>
  <c r="G52" i="89" s="1"/>
  <c r="F53" i="89" s="1"/>
  <c r="E53" i="91" l="1"/>
  <c r="D53" i="91" s="1"/>
  <c r="G53" i="91" s="1"/>
  <c r="F54" i="91" s="1"/>
  <c r="E53" i="92"/>
  <c r="D53" i="92" s="1"/>
  <c r="G53" i="92" s="1"/>
  <c r="F54" i="92" s="1"/>
  <c r="E53" i="88"/>
  <c r="D53" i="88" s="1"/>
  <c r="G53" i="88" s="1"/>
  <c r="F54" i="88" s="1"/>
  <c r="E53" i="89"/>
  <c r="D53" i="89" s="1"/>
  <c r="G53" i="89" s="1"/>
  <c r="F54" i="89" s="1"/>
  <c r="E54" i="92" l="1"/>
  <c r="D54" i="92" s="1"/>
  <c r="G54" i="92" s="1"/>
  <c r="F55" i="92" s="1"/>
  <c r="E54" i="91"/>
  <c r="D54" i="91" s="1"/>
  <c r="G54" i="91" s="1"/>
  <c r="F55" i="91" s="1"/>
  <c r="E54" i="88"/>
  <c r="D54" i="88" s="1"/>
  <c r="G54" i="88" s="1"/>
  <c r="F55" i="88" s="1"/>
  <c r="E54" i="89"/>
  <c r="D54" i="89" s="1"/>
  <c r="G54" i="89" s="1"/>
  <c r="F55" i="89" s="1"/>
  <c r="E55" i="91" l="1"/>
  <c r="D55" i="91" s="1"/>
  <c r="G55" i="91" s="1"/>
  <c r="F56" i="91" s="1"/>
  <c r="E55" i="92"/>
  <c r="D55" i="92" s="1"/>
  <c r="G55" i="92" s="1"/>
  <c r="F56" i="92" s="1"/>
  <c r="E55" i="88"/>
  <c r="D55" i="88" s="1"/>
  <c r="G55" i="88" s="1"/>
  <c r="F56" i="88" s="1"/>
  <c r="E55" i="89"/>
  <c r="D55" i="89" s="1"/>
  <c r="G55" i="89" s="1"/>
  <c r="F56" i="89" s="1"/>
  <c r="E56" i="92" l="1"/>
  <c r="D56" i="92" s="1"/>
  <c r="G56" i="92" s="1"/>
  <c r="F57" i="92" s="1"/>
  <c r="E56" i="91"/>
  <c r="D56" i="91" s="1"/>
  <c r="G56" i="91" s="1"/>
  <c r="F57" i="91" s="1"/>
  <c r="E56" i="88"/>
  <c r="D56" i="88" s="1"/>
  <c r="G56" i="88" s="1"/>
  <c r="F57" i="88" s="1"/>
  <c r="E56" i="89"/>
  <c r="D56" i="89" s="1"/>
  <c r="G56" i="89" s="1"/>
  <c r="F57" i="89" s="1"/>
  <c r="E57" i="91" l="1"/>
  <c r="D57" i="91" s="1"/>
  <c r="G57" i="91" s="1"/>
  <c r="F58" i="91" s="1"/>
  <c r="E57" i="92"/>
  <c r="D57" i="92" s="1"/>
  <c r="G57" i="92" s="1"/>
  <c r="F58" i="92" s="1"/>
  <c r="E57" i="88"/>
  <c r="D57" i="88" s="1"/>
  <c r="G57" i="88" s="1"/>
  <c r="F58" i="88" s="1"/>
  <c r="E57" i="89"/>
  <c r="D57" i="89" s="1"/>
  <c r="G57" i="89" s="1"/>
  <c r="F58" i="89" s="1"/>
  <c r="E58" i="92" l="1"/>
  <c r="D58" i="92" s="1"/>
  <c r="G58" i="92" s="1"/>
  <c r="F59" i="92" s="1"/>
  <c r="E58" i="91"/>
  <c r="D58" i="91" s="1"/>
  <c r="G58" i="91" s="1"/>
  <c r="F59" i="91" s="1"/>
  <c r="E58" i="88"/>
  <c r="D58" i="88" s="1"/>
  <c r="G58" i="88" s="1"/>
  <c r="F59" i="88" s="1"/>
  <c r="E58" i="89"/>
  <c r="D58" i="89" s="1"/>
  <c r="G58" i="89" s="1"/>
  <c r="F59" i="89" s="1"/>
  <c r="E59" i="91" l="1"/>
  <c r="D59" i="91" s="1"/>
  <c r="G59" i="91" s="1"/>
  <c r="F60" i="91" s="1"/>
  <c r="E59" i="92"/>
  <c r="D59" i="92" s="1"/>
  <c r="G59" i="92" s="1"/>
  <c r="F60" i="92" s="1"/>
  <c r="E59" i="88"/>
  <c r="D59" i="88" s="1"/>
  <c r="G59" i="88" s="1"/>
  <c r="F60" i="88" s="1"/>
  <c r="E59" i="89"/>
  <c r="D59" i="89" s="1"/>
  <c r="G59" i="89" s="1"/>
  <c r="F60" i="89" s="1"/>
  <c r="E60" i="92" l="1"/>
  <c r="D60" i="92" s="1"/>
  <c r="G60" i="92" s="1"/>
  <c r="F61" i="92" s="1"/>
  <c r="E60" i="91"/>
  <c r="D60" i="91" s="1"/>
  <c r="G60" i="91" s="1"/>
  <c r="F61" i="91" s="1"/>
  <c r="E60" i="88"/>
  <c r="D60" i="88" s="1"/>
  <c r="G60" i="88" s="1"/>
  <c r="F61" i="88" s="1"/>
  <c r="E60" i="89"/>
  <c r="D60" i="89" s="1"/>
  <c r="G60" i="89" s="1"/>
  <c r="F61" i="89" s="1"/>
  <c r="E61" i="91" l="1"/>
  <c r="D61" i="91" s="1"/>
  <c r="G61" i="91" s="1"/>
  <c r="F62" i="91" s="1"/>
  <c r="E61" i="92"/>
  <c r="D61" i="92" s="1"/>
  <c r="G61" i="92" s="1"/>
  <c r="F62" i="92" s="1"/>
  <c r="E61" i="88"/>
  <c r="D61" i="88" s="1"/>
  <c r="G61" i="88" s="1"/>
  <c r="F62" i="88" s="1"/>
  <c r="E61" i="89"/>
  <c r="D61" i="89" s="1"/>
  <c r="G61" i="89" s="1"/>
  <c r="F62" i="89" s="1"/>
  <c r="E62" i="92" l="1"/>
  <c r="D62" i="92" s="1"/>
  <c r="G62" i="92" s="1"/>
  <c r="F63" i="92" s="1"/>
  <c r="E62" i="91"/>
  <c r="D62" i="91" s="1"/>
  <c r="G62" i="91" s="1"/>
  <c r="F63" i="91" s="1"/>
  <c r="G63" i="91" s="1"/>
  <c r="E62" i="88"/>
  <c r="D62" i="88" s="1"/>
  <c r="G62" i="88" s="1"/>
  <c r="F63" i="88" s="1"/>
  <c r="G63" i="88" s="1"/>
  <c r="E62" i="89"/>
  <c r="D62" i="89" s="1"/>
  <c r="G62" i="89" s="1"/>
  <c r="F63" i="89" s="1"/>
  <c r="G63" i="89" s="1"/>
  <c r="D63" i="92" l="1"/>
  <c r="G63" i="92" s="1"/>
  <c r="J2" i="84" l="1"/>
  <c r="N1" i="84"/>
  <c r="H1" i="84"/>
  <c r="C66" i="84" s="1"/>
  <c r="J2" i="83"/>
  <c r="N1" i="83"/>
  <c r="C71" i="83" s="1"/>
  <c r="H1" i="83"/>
  <c r="B107" i="84"/>
  <c r="B106" i="84"/>
  <c r="B105" i="84"/>
  <c r="B104" i="84"/>
  <c r="B103" i="84"/>
  <c r="B102" i="84"/>
  <c r="B101" i="84"/>
  <c r="B100" i="84"/>
  <c r="B99" i="84"/>
  <c r="B98" i="84"/>
  <c r="B97" i="84"/>
  <c r="B96" i="84"/>
  <c r="B95" i="84"/>
  <c r="B94" i="84"/>
  <c r="B93" i="84"/>
  <c r="C92" i="84"/>
  <c r="B92" i="84"/>
  <c r="C91" i="84"/>
  <c r="B91" i="84"/>
  <c r="C90" i="84"/>
  <c r="B90" i="84"/>
  <c r="C89" i="84"/>
  <c r="B89" i="84"/>
  <c r="C88" i="84"/>
  <c r="B88" i="84"/>
  <c r="C87" i="84"/>
  <c r="B87" i="84"/>
  <c r="C86" i="84"/>
  <c r="B86" i="84"/>
  <c r="C85" i="84"/>
  <c r="B85" i="84"/>
  <c r="C84" i="84"/>
  <c r="B84" i="84"/>
  <c r="C83" i="84"/>
  <c r="B83" i="84"/>
  <c r="C82" i="84"/>
  <c r="B82" i="84"/>
  <c r="C81" i="84"/>
  <c r="B81" i="84"/>
  <c r="B80" i="84"/>
  <c r="B79" i="84"/>
  <c r="B78" i="84"/>
  <c r="B77" i="84"/>
  <c r="B76" i="84"/>
  <c r="B75" i="84"/>
  <c r="B74" i="84"/>
  <c r="B73" i="84"/>
  <c r="B72" i="84"/>
  <c r="B71" i="84"/>
  <c r="B70" i="84"/>
  <c r="B69" i="84"/>
  <c r="B68" i="84"/>
  <c r="B67" i="84"/>
  <c r="B66" i="84"/>
  <c r="B65" i="84"/>
  <c r="B64" i="84"/>
  <c r="B63" i="84"/>
  <c r="B62" i="84"/>
  <c r="B61" i="84"/>
  <c r="B60" i="84"/>
  <c r="B59" i="84"/>
  <c r="B58" i="84"/>
  <c r="B57" i="84"/>
  <c r="C56" i="84"/>
  <c r="B56" i="84"/>
  <c r="B55" i="84"/>
  <c r="B54" i="84"/>
  <c r="B53" i="84"/>
  <c r="B52" i="84"/>
  <c r="B51" i="84"/>
  <c r="B50" i="84"/>
  <c r="B49" i="84"/>
  <c r="B48" i="84"/>
  <c r="B47" i="84"/>
  <c r="B46" i="84"/>
  <c r="B45" i="84"/>
  <c r="B44" i="84"/>
  <c r="B43" i="84"/>
  <c r="B42" i="84"/>
  <c r="B41" i="84"/>
  <c r="B40" i="84"/>
  <c r="B39" i="84"/>
  <c r="B38" i="84"/>
  <c r="B37" i="84"/>
  <c r="B36" i="84"/>
  <c r="B35" i="84"/>
  <c r="B34" i="84"/>
  <c r="B33" i="84"/>
  <c r="B32" i="84"/>
  <c r="B31" i="84"/>
  <c r="B30" i="84"/>
  <c r="B29" i="84"/>
  <c r="B28" i="84"/>
  <c r="B27" i="84"/>
  <c r="B26" i="84"/>
  <c r="B25" i="84"/>
  <c r="B24" i="84"/>
  <c r="B23" i="84"/>
  <c r="B22" i="84"/>
  <c r="B21" i="84"/>
  <c r="B20" i="84"/>
  <c r="B19" i="84"/>
  <c r="B18" i="84"/>
  <c r="B17" i="84"/>
  <c r="B16" i="84"/>
  <c r="B15" i="84"/>
  <c r="B14" i="84"/>
  <c r="B13" i="84"/>
  <c r="B12" i="84"/>
  <c r="B11" i="84"/>
  <c r="B10" i="84"/>
  <c r="B9" i="84"/>
  <c r="B8" i="84"/>
  <c r="B7" i="84"/>
  <c r="B6" i="84"/>
  <c r="B5" i="84"/>
  <c r="B4" i="84"/>
  <c r="E4" i="84" s="1"/>
  <c r="D1" i="84"/>
  <c r="C61" i="84" s="1"/>
  <c r="B107" i="83"/>
  <c r="B106" i="83"/>
  <c r="B105" i="83"/>
  <c r="B104" i="83"/>
  <c r="B103" i="83"/>
  <c r="B102" i="83"/>
  <c r="B101" i="83"/>
  <c r="B100" i="83"/>
  <c r="B99" i="83"/>
  <c r="B98" i="83"/>
  <c r="B97" i="83"/>
  <c r="B96" i="83"/>
  <c r="B95" i="83"/>
  <c r="B94" i="83"/>
  <c r="B93" i="83"/>
  <c r="C92" i="83"/>
  <c r="B92" i="83"/>
  <c r="C91" i="83"/>
  <c r="B91" i="83"/>
  <c r="C90" i="83"/>
  <c r="B90" i="83"/>
  <c r="C89" i="83"/>
  <c r="B89" i="83"/>
  <c r="C88" i="83"/>
  <c r="B88" i="83"/>
  <c r="C87" i="83"/>
  <c r="B87" i="83"/>
  <c r="C86" i="83"/>
  <c r="B86" i="83"/>
  <c r="C85" i="83"/>
  <c r="B85" i="83"/>
  <c r="C84" i="83"/>
  <c r="B84" i="83"/>
  <c r="C83" i="83"/>
  <c r="B83" i="83"/>
  <c r="C82" i="83"/>
  <c r="B82" i="83"/>
  <c r="C81" i="83"/>
  <c r="B81" i="83"/>
  <c r="B80" i="83"/>
  <c r="B79" i="83"/>
  <c r="B78" i="83"/>
  <c r="B77" i="83"/>
  <c r="B76" i="83"/>
  <c r="B75" i="83"/>
  <c r="B74" i="83"/>
  <c r="B73" i="83"/>
  <c r="B72" i="83"/>
  <c r="B71" i="83"/>
  <c r="B70" i="83"/>
  <c r="B69" i="83"/>
  <c r="B68" i="83"/>
  <c r="B67" i="83"/>
  <c r="B66" i="83"/>
  <c r="B65" i="83"/>
  <c r="B64" i="83"/>
  <c r="B63" i="83"/>
  <c r="B62" i="83"/>
  <c r="B61" i="83"/>
  <c r="B60" i="83"/>
  <c r="B59" i="83"/>
  <c r="B58" i="83"/>
  <c r="B57" i="83"/>
  <c r="B56" i="83"/>
  <c r="B55" i="83"/>
  <c r="B54" i="83"/>
  <c r="B53" i="83"/>
  <c r="B52" i="83"/>
  <c r="B51" i="83"/>
  <c r="B50" i="83"/>
  <c r="B49" i="83"/>
  <c r="B48" i="83"/>
  <c r="B47" i="83"/>
  <c r="B46" i="83"/>
  <c r="B45" i="83"/>
  <c r="B44" i="83"/>
  <c r="B43" i="83"/>
  <c r="B42" i="83"/>
  <c r="B41" i="83"/>
  <c r="B40" i="83"/>
  <c r="B39" i="83"/>
  <c r="B38" i="83"/>
  <c r="B37" i="83"/>
  <c r="B36" i="83"/>
  <c r="B35" i="83"/>
  <c r="B34" i="83"/>
  <c r="B33" i="83"/>
  <c r="B32" i="83"/>
  <c r="B31" i="83"/>
  <c r="B30" i="83"/>
  <c r="B29" i="83"/>
  <c r="B28" i="83"/>
  <c r="B27" i="83"/>
  <c r="B26" i="83"/>
  <c r="B25" i="83"/>
  <c r="B24" i="83"/>
  <c r="B23" i="83"/>
  <c r="B22" i="83"/>
  <c r="B21" i="83"/>
  <c r="B20" i="83"/>
  <c r="B19" i="83"/>
  <c r="B18" i="83"/>
  <c r="B17" i="83"/>
  <c r="B16" i="83"/>
  <c r="B15" i="83"/>
  <c r="B14" i="83"/>
  <c r="B13" i="83"/>
  <c r="B12" i="83"/>
  <c r="B11" i="83"/>
  <c r="B10" i="83"/>
  <c r="B9" i="83"/>
  <c r="B8" i="83"/>
  <c r="B7" i="83"/>
  <c r="B6" i="83"/>
  <c r="B5" i="83"/>
  <c r="B4" i="83"/>
  <c r="E4" i="83" s="1"/>
  <c r="C95" i="83"/>
  <c r="D1" i="83"/>
  <c r="C14" i="83" s="1"/>
  <c r="C54" i="84" l="1"/>
  <c r="C34" i="83"/>
  <c r="C6" i="83"/>
  <c r="C40" i="83"/>
  <c r="C107" i="83"/>
  <c r="C22" i="83"/>
  <c r="C43" i="83"/>
  <c r="C30" i="83"/>
  <c r="C10" i="83"/>
  <c r="C18" i="83"/>
  <c r="C60" i="83"/>
  <c r="C56" i="83"/>
  <c r="C52" i="83"/>
  <c r="C48" i="83"/>
  <c r="C44" i="83"/>
  <c r="C64" i="83"/>
  <c r="C61" i="83"/>
  <c r="C57" i="83"/>
  <c r="C53" i="83"/>
  <c r="C49" i="83"/>
  <c r="C45" i="83"/>
  <c r="C41" i="83"/>
  <c r="C37" i="83"/>
  <c r="C62" i="83"/>
  <c r="C58" i="83"/>
  <c r="C54" i="83"/>
  <c r="C50" i="83"/>
  <c r="C46" i="83"/>
  <c r="C55" i="83"/>
  <c r="C47" i="83"/>
  <c r="C51" i="83"/>
  <c r="C38" i="83"/>
  <c r="C35" i="83"/>
  <c r="C31" i="83"/>
  <c r="C27" i="83"/>
  <c r="C23" i="83"/>
  <c r="C19" i="83"/>
  <c r="C15" i="83"/>
  <c r="C11" i="83"/>
  <c r="C7" i="83"/>
  <c r="C4" i="83"/>
  <c r="D4" i="83" s="1"/>
  <c r="G4" i="83" s="1"/>
  <c r="F5" i="83" s="1"/>
  <c r="C59" i="83"/>
  <c r="C32" i="83"/>
  <c r="C28" i="83"/>
  <c r="C24" i="83"/>
  <c r="C20" i="83"/>
  <c r="C16" i="83"/>
  <c r="C12" i="83"/>
  <c r="C8" i="83"/>
  <c r="C33" i="83"/>
  <c r="C25" i="83"/>
  <c r="C17" i="83"/>
  <c r="C9" i="83"/>
  <c r="C42" i="83"/>
  <c r="C39" i="83"/>
  <c r="C36" i="83"/>
  <c r="C63" i="83"/>
  <c r="D63" i="83" s="1"/>
  <c r="C29" i="83"/>
  <c r="C21" i="83"/>
  <c r="C13" i="83"/>
  <c r="C5" i="83"/>
  <c r="C26" i="83"/>
  <c r="C68" i="83"/>
  <c r="C65" i="83"/>
  <c r="C66" i="83"/>
  <c r="C67" i="83"/>
  <c r="C104" i="83"/>
  <c r="C100" i="83"/>
  <c r="C96" i="83"/>
  <c r="C105" i="83"/>
  <c r="C101" i="83"/>
  <c r="C97" i="83"/>
  <c r="C93" i="83"/>
  <c r="C106" i="83"/>
  <c r="C102" i="83"/>
  <c r="C98" i="83"/>
  <c r="C94" i="83"/>
  <c r="C99" i="83"/>
  <c r="C80" i="83"/>
  <c r="C76" i="83"/>
  <c r="C72" i="83"/>
  <c r="C77" i="83"/>
  <c r="C73" i="83"/>
  <c r="C69" i="83"/>
  <c r="C78" i="83"/>
  <c r="C74" i="83"/>
  <c r="C70" i="83"/>
  <c r="C75" i="83"/>
  <c r="C103" i="83"/>
  <c r="C79" i="83"/>
  <c r="C78" i="84"/>
  <c r="C74" i="84"/>
  <c r="C70" i="84"/>
  <c r="C79" i="84"/>
  <c r="C75" i="84"/>
  <c r="C71" i="84"/>
  <c r="C80" i="84"/>
  <c r="C76" i="84"/>
  <c r="C72" i="84"/>
  <c r="C77" i="84"/>
  <c r="C73" i="84"/>
  <c r="C69" i="84"/>
  <c r="C6" i="84"/>
  <c r="C8" i="84"/>
  <c r="C10" i="84"/>
  <c r="C12" i="84"/>
  <c r="C14" i="84"/>
  <c r="C16" i="84"/>
  <c r="C18" i="84"/>
  <c r="C20" i="84"/>
  <c r="C22" i="84"/>
  <c r="C24" i="84"/>
  <c r="C26" i="84"/>
  <c r="C28" i="84"/>
  <c r="C30" i="84"/>
  <c r="C32" i="84"/>
  <c r="C34" i="84"/>
  <c r="C36" i="84"/>
  <c r="C38" i="84"/>
  <c r="C40" i="84"/>
  <c r="C42" i="84"/>
  <c r="C44" i="84"/>
  <c r="C46" i="84"/>
  <c r="C48" i="84"/>
  <c r="C50" i="84"/>
  <c r="C52" i="84"/>
  <c r="C57" i="84"/>
  <c r="C58" i="84"/>
  <c r="C63" i="84"/>
  <c r="D63" i="84" s="1"/>
  <c r="C59" i="84"/>
  <c r="C55" i="84"/>
  <c r="C4" i="84"/>
  <c r="D4" i="84" s="1"/>
  <c r="G4" i="84" s="1"/>
  <c r="F5" i="84" s="1"/>
  <c r="C60" i="84"/>
  <c r="C64" i="84"/>
  <c r="C5" i="84"/>
  <c r="C7" i="84"/>
  <c r="C9" i="84"/>
  <c r="C11" i="84"/>
  <c r="C13" i="84"/>
  <c r="C15" i="84"/>
  <c r="C17" i="84"/>
  <c r="C19" i="84"/>
  <c r="C21" i="84"/>
  <c r="C23" i="84"/>
  <c r="C25" i="84"/>
  <c r="C27" i="84"/>
  <c r="C29" i="84"/>
  <c r="C31" i="84"/>
  <c r="C33" i="84"/>
  <c r="C35" i="84"/>
  <c r="C37" i="84"/>
  <c r="C39" i="84"/>
  <c r="C41" i="84"/>
  <c r="C43" i="84"/>
  <c r="C45" i="84"/>
  <c r="C47" i="84"/>
  <c r="C49" i="84"/>
  <c r="C51" i="84"/>
  <c r="C53" i="84"/>
  <c r="C62" i="84"/>
  <c r="C65" i="84"/>
  <c r="C93" i="84"/>
  <c r="C97" i="84"/>
  <c r="C101" i="84"/>
  <c r="C105" i="84"/>
  <c r="C68" i="84"/>
  <c r="C96" i="84"/>
  <c r="C100" i="84"/>
  <c r="C104" i="84"/>
  <c r="C67" i="84"/>
  <c r="C95" i="84"/>
  <c r="C99" i="84"/>
  <c r="C103" i="84"/>
  <c r="C107" i="84"/>
  <c r="C94" i="84"/>
  <c r="C98" i="84"/>
  <c r="C102" i="84"/>
  <c r="C106" i="84"/>
  <c r="C81" i="81"/>
  <c r="C95" i="81"/>
  <c r="C96" i="81"/>
  <c r="C97" i="81"/>
  <c r="C98" i="81"/>
  <c r="C99" i="81"/>
  <c r="C100" i="81"/>
  <c r="C101" i="81"/>
  <c r="C102" i="81"/>
  <c r="C103" i="81"/>
  <c r="C104" i="81"/>
  <c r="C105" i="81"/>
  <c r="C106" i="81"/>
  <c r="C107" i="81"/>
  <c r="C108" i="81"/>
  <c r="C109" i="81"/>
  <c r="C110" i="81"/>
  <c r="C111" i="81"/>
  <c r="C112" i="81"/>
  <c r="C113" i="81"/>
  <c r="C114" i="81"/>
  <c r="C115" i="81"/>
  <c r="C116" i="81"/>
  <c r="C117" i="81"/>
  <c r="C118" i="81"/>
  <c r="C119" i="81"/>
  <c r="C120" i="81"/>
  <c r="C121" i="81"/>
  <c r="C122" i="81"/>
  <c r="C123" i="81"/>
  <c r="C124" i="81"/>
  <c r="C125" i="81"/>
  <c r="C126" i="81"/>
  <c r="C127" i="81"/>
  <c r="C128" i="81"/>
  <c r="C129" i="81"/>
  <c r="C130" i="81"/>
  <c r="C131" i="81"/>
  <c r="C94" i="81"/>
  <c r="C93" i="81"/>
  <c r="J2" i="81"/>
  <c r="C84" i="81"/>
  <c r="C85" i="81"/>
  <c r="C86" i="81"/>
  <c r="C87" i="81"/>
  <c r="C88" i="81"/>
  <c r="C89" i="81"/>
  <c r="C90" i="81"/>
  <c r="C91" i="81"/>
  <c r="C92" i="81"/>
  <c r="C83" i="81"/>
  <c r="C82" i="81"/>
  <c r="C70" i="81"/>
  <c r="C71" i="81"/>
  <c r="C72" i="81"/>
  <c r="C73" i="81"/>
  <c r="C74" i="81"/>
  <c r="C75" i="81"/>
  <c r="C76" i="81"/>
  <c r="C77" i="81"/>
  <c r="C78" i="81"/>
  <c r="C79" i="81"/>
  <c r="C80" i="81"/>
  <c r="C69" i="81"/>
  <c r="N1" i="81"/>
  <c r="F69" i="81"/>
  <c r="E66" i="81"/>
  <c r="D66" i="81" s="1"/>
  <c r="F66" i="81"/>
  <c r="G66" i="81" s="1"/>
  <c r="F67" i="81" s="1"/>
  <c r="E65" i="81"/>
  <c r="D65" i="81" s="1"/>
  <c r="F65" i="81"/>
  <c r="C66" i="81"/>
  <c r="C67" i="81"/>
  <c r="C68" i="81"/>
  <c r="C65" i="81"/>
  <c r="H1" i="81"/>
  <c r="B66" i="81"/>
  <c r="B67" i="81"/>
  <c r="B68" i="81"/>
  <c r="B69" i="81"/>
  <c r="B70" i="81"/>
  <c r="B71" i="81"/>
  <c r="B72" i="81"/>
  <c r="B73" i="81"/>
  <c r="B74" i="81"/>
  <c r="B75" i="81"/>
  <c r="B76" i="81"/>
  <c r="B77" i="81"/>
  <c r="B78" i="81"/>
  <c r="B79" i="81"/>
  <c r="B80" i="81"/>
  <c r="B81" i="81"/>
  <c r="B82" i="81"/>
  <c r="B83" i="81"/>
  <c r="B84" i="81"/>
  <c r="B85" i="81"/>
  <c r="B86" i="81"/>
  <c r="B87" i="81"/>
  <c r="B88" i="81"/>
  <c r="B89" i="81"/>
  <c r="B90" i="81"/>
  <c r="B91" i="81"/>
  <c r="B92" i="81"/>
  <c r="B93" i="81"/>
  <c r="B94" i="81"/>
  <c r="B95" i="81"/>
  <c r="B96" i="81"/>
  <c r="B97" i="81"/>
  <c r="B98" i="81"/>
  <c r="B99" i="81"/>
  <c r="B100" i="81"/>
  <c r="B101" i="81"/>
  <c r="B102" i="81"/>
  <c r="B103" i="81"/>
  <c r="B104" i="81"/>
  <c r="B105" i="81"/>
  <c r="B106" i="81"/>
  <c r="B107" i="81"/>
  <c r="B108" i="81"/>
  <c r="B109" i="81"/>
  <c r="B110" i="81"/>
  <c r="B111" i="81"/>
  <c r="B112" i="81"/>
  <c r="B113" i="81"/>
  <c r="B114" i="81"/>
  <c r="B115" i="81"/>
  <c r="B116" i="81"/>
  <c r="B117" i="81"/>
  <c r="B118" i="81"/>
  <c r="B119" i="81"/>
  <c r="B120" i="81"/>
  <c r="B121" i="81"/>
  <c r="B122" i="81"/>
  <c r="B123" i="81"/>
  <c r="B124" i="81"/>
  <c r="B125" i="81"/>
  <c r="B126" i="81"/>
  <c r="B127" i="81"/>
  <c r="B128" i="81"/>
  <c r="B129" i="81"/>
  <c r="B130" i="81"/>
  <c r="B131" i="81"/>
  <c r="B65" i="81"/>
  <c r="B64" i="81"/>
  <c r="E64" i="81"/>
  <c r="F64" i="81"/>
  <c r="D64" i="81"/>
  <c r="G64" i="81" s="1"/>
  <c r="C64" i="81"/>
  <c r="D1" i="81"/>
  <c r="C48" i="81" s="1"/>
  <c r="C47" i="81"/>
  <c r="C52" i="81"/>
  <c r="C61" i="81"/>
  <c r="C63" i="81"/>
  <c r="B40" i="81"/>
  <c r="B41" i="81"/>
  <c r="B42" i="81"/>
  <c r="B43" i="81"/>
  <c r="B44" i="81"/>
  <c r="B45" i="81"/>
  <c r="B46" i="81"/>
  <c r="B47" i="81"/>
  <c r="B48" i="81"/>
  <c r="B49" i="81"/>
  <c r="B50" i="81"/>
  <c r="B51" i="81"/>
  <c r="B52" i="81"/>
  <c r="B53" i="81"/>
  <c r="B54" i="81"/>
  <c r="B55" i="81"/>
  <c r="B56" i="81"/>
  <c r="B57" i="81"/>
  <c r="B58" i="81"/>
  <c r="B59" i="81"/>
  <c r="B60" i="81"/>
  <c r="B61" i="81"/>
  <c r="B62" i="81"/>
  <c r="B63" i="81"/>
  <c r="B39" i="81"/>
  <c r="B38" i="81"/>
  <c r="B37" i="81"/>
  <c r="B36" i="81"/>
  <c r="B35" i="81"/>
  <c r="B34" i="81"/>
  <c r="B33" i="81"/>
  <c r="B32" i="81"/>
  <c r="B31" i="81"/>
  <c r="B30" i="81"/>
  <c r="B29" i="81"/>
  <c r="B28" i="81"/>
  <c r="B27" i="81"/>
  <c r="B26" i="81"/>
  <c r="B25" i="81"/>
  <c r="B24" i="81"/>
  <c r="B23" i="81"/>
  <c r="B22" i="81"/>
  <c r="B21" i="81"/>
  <c r="B20" i="81"/>
  <c r="B19" i="81"/>
  <c r="C18" i="81"/>
  <c r="B18" i="81"/>
  <c r="B17" i="81"/>
  <c r="B16" i="81"/>
  <c r="B15" i="81"/>
  <c r="B14" i="81"/>
  <c r="B13" i="81"/>
  <c r="B12" i="81"/>
  <c r="B11" i="81"/>
  <c r="B10" i="81"/>
  <c r="B9" i="81"/>
  <c r="B8" i="81"/>
  <c r="B7" i="81"/>
  <c r="B6" i="81"/>
  <c r="B5" i="81"/>
  <c r="B4" i="81"/>
  <c r="E4" i="81" s="1"/>
  <c r="C101" i="80"/>
  <c r="C108" i="80"/>
  <c r="C109" i="80"/>
  <c r="C116" i="80"/>
  <c r="C117" i="80"/>
  <c r="C124" i="80"/>
  <c r="C125" i="80"/>
  <c r="C93" i="80"/>
  <c r="C70" i="80"/>
  <c r="C77" i="80"/>
  <c r="C78" i="80"/>
  <c r="C82" i="80"/>
  <c r="C83" i="80"/>
  <c r="C84" i="80"/>
  <c r="C85" i="80"/>
  <c r="C86" i="80"/>
  <c r="C87" i="80"/>
  <c r="C88" i="80"/>
  <c r="C89" i="80"/>
  <c r="C90" i="80"/>
  <c r="C91" i="80"/>
  <c r="C92" i="80"/>
  <c r="C81" i="80"/>
  <c r="N1" i="80"/>
  <c r="C71" i="80" s="1"/>
  <c r="B120" i="80"/>
  <c r="B121" i="80"/>
  <c r="B122" i="80"/>
  <c r="B123" i="80"/>
  <c r="B124" i="80"/>
  <c r="B125" i="80"/>
  <c r="B126" i="80"/>
  <c r="B127" i="80"/>
  <c r="B128" i="80"/>
  <c r="B129" i="80"/>
  <c r="B130" i="80"/>
  <c r="B131" i="80"/>
  <c r="C64" i="80"/>
  <c r="B119" i="80"/>
  <c r="B118" i="80"/>
  <c r="B117" i="80"/>
  <c r="B116" i="80"/>
  <c r="B115" i="80"/>
  <c r="B114" i="80"/>
  <c r="B113" i="80"/>
  <c r="B112" i="80"/>
  <c r="B111" i="80"/>
  <c r="B110" i="80"/>
  <c r="B109" i="80"/>
  <c r="B108" i="80"/>
  <c r="B107" i="80"/>
  <c r="B106" i="80"/>
  <c r="B105" i="80"/>
  <c r="B104" i="80"/>
  <c r="B103" i="80"/>
  <c r="B102" i="80"/>
  <c r="B101" i="80"/>
  <c r="B100" i="80"/>
  <c r="B99" i="80"/>
  <c r="B98" i="80"/>
  <c r="B97" i="80"/>
  <c r="B96" i="80"/>
  <c r="B95" i="80"/>
  <c r="B94" i="80"/>
  <c r="B93" i="80"/>
  <c r="B92" i="80"/>
  <c r="B91" i="80"/>
  <c r="B90" i="80"/>
  <c r="B89" i="80"/>
  <c r="B88" i="80"/>
  <c r="B87" i="80"/>
  <c r="B86" i="80"/>
  <c r="B85" i="80"/>
  <c r="B84" i="80"/>
  <c r="B83" i="80"/>
  <c r="B82" i="80"/>
  <c r="B81" i="80"/>
  <c r="B80" i="80"/>
  <c r="B79" i="80"/>
  <c r="B78" i="80"/>
  <c r="B77" i="80"/>
  <c r="B76" i="80"/>
  <c r="B75" i="80"/>
  <c r="B74" i="80"/>
  <c r="B73" i="80"/>
  <c r="B72" i="80"/>
  <c r="B71" i="80"/>
  <c r="B70" i="80"/>
  <c r="B69" i="80"/>
  <c r="B68" i="80"/>
  <c r="B67" i="80"/>
  <c r="B66" i="80"/>
  <c r="B65" i="80"/>
  <c r="B64" i="80"/>
  <c r="J2" i="80"/>
  <c r="C94" i="80" s="1"/>
  <c r="B6" i="80"/>
  <c r="B7" i="80"/>
  <c r="B8" i="80"/>
  <c r="B9" i="80"/>
  <c r="B10" i="80"/>
  <c r="B11" i="80"/>
  <c r="B12" i="80"/>
  <c r="B13" i="80"/>
  <c r="B14" i="80"/>
  <c r="B15" i="80"/>
  <c r="B16" i="80"/>
  <c r="B17" i="80"/>
  <c r="B18" i="80"/>
  <c r="B19" i="80"/>
  <c r="B20" i="80"/>
  <c r="B21" i="80"/>
  <c r="B22" i="80"/>
  <c r="B23" i="80"/>
  <c r="B24" i="80"/>
  <c r="B25" i="80"/>
  <c r="B26" i="80"/>
  <c r="B27" i="80"/>
  <c r="B28" i="80"/>
  <c r="B29" i="80"/>
  <c r="B30" i="80"/>
  <c r="B31" i="80"/>
  <c r="B32" i="80"/>
  <c r="B33" i="80"/>
  <c r="B34" i="80"/>
  <c r="B35" i="80"/>
  <c r="B36" i="80"/>
  <c r="B37" i="80"/>
  <c r="B38" i="80"/>
  <c r="B39" i="80"/>
  <c r="B40" i="80"/>
  <c r="B41" i="80"/>
  <c r="B42" i="80"/>
  <c r="B43" i="80"/>
  <c r="B44" i="80"/>
  <c r="B45" i="80"/>
  <c r="B46" i="80"/>
  <c r="B47" i="80"/>
  <c r="B48" i="80"/>
  <c r="B49" i="80"/>
  <c r="B50" i="80"/>
  <c r="B51" i="80"/>
  <c r="B52" i="80"/>
  <c r="B53" i="80"/>
  <c r="B54" i="80"/>
  <c r="B55" i="80"/>
  <c r="B56" i="80"/>
  <c r="B57" i="80"/>
  <c r="B58" i="80"/>
  <c r="B59" i="80"/>
  <c r="B60" i="80"/>
  <c r="B61" i="80"/>
  <c r="B62" i="80"/>
  <c r="B63" i="80"/>
  <c r="D1" i="80"/>
  <c r="C50" i="80" s="1"/>
  <c r="H1" i="80"/>
  <c r="C65" i="80" s="1"/>
  <c r="B5" i="80"/>
  <c r="B4" i="80"/>
  <c r="E4" i="80" s="1"/>
  <c r="C61" i="78"/>
  <c r="C62" i="78"/>
  <c r="C63" i="78"/>
  <c r="C64" i="78"/>
  <c r="C65" i="78"/>
  <c r="C66" i="78"/>
  <c r="C67" i="78"/>
  <c r="C68" i="78"/>
  <c r="C69" i="78"/>
  <c r="C70" i="78"/>
  <c r="C71" i="78"/>
  <c r="C72" i="78"/>
  <c r="B62" i="78"/>
  <c r="B63" i="78"/>
  <c r="B64" i="78"/>
  <c r="B65" i="78"/>
  <c r="B66" i="78"/>
  <c r="B67" i="78"/>
  <c r="B68" i="78"/>
  <c r="B69" i="78"/>
  <c r="B70" i="78"/>
  <c r="B71" i="78"/>
  <c r="B72" i="78"/>
  <c r="B73" i="78"/>
  <c r="E73" i="77"/>
  <c r="F73" i="77"/>
  <c r="C62" i="77"/>
  <c r="F62" i="77"/>
  <c r="E62" i="77" s="1"/>
  <c r="C63" i="77"/>
  <c r="C64" i="77"/>
  <c r="C65" i="77"/>
  <c r="C66" i="77"/>
  <c r="C67" i="77"/>
  <c r="C68" i="77"/>
  <c r="C69" i="77"/>
  <c r="C70" i="77"/>
  <c r="C71" i="77"/>
  <c r="C72" i="77"/>
  <c r="C61" i="77"/>
  <c r="B73" i="77"/>
  <c r="B72" i="77"/>
  <c r="B71" i="77"/>
  <c r="B70" i="77"/>
  <c r="B69" i="77"/>
  <c r="B68" i="77"/>
  <c r="B67" i="77"/>
  <c r="B66" i="77"/>
  <c r="B65" i="77"/>
  <c r="B64" i="77"/>
  <c r="B63" i="77"/>
  <c r="B62" i="77"/>
  <c r="F1" i="78"/>
  <c r="C45" i="78" s="1"/>
  <c r="F1" i="77"/>
  <c r="B61" i="78"/>
  <c r="C60" i="78"/>
  <c r="B60" i="78"/>
  <c r="C59" i="78"/>
  <c r="B59" i="78"/>
  <c r="C58" i="78"/>
  <c r="B58" i="78"/>
  <c r="C57" i="78"/>
  <c r="B57" i="78"/>
  <c r="C56" i="78"/>
  <c r="B56" i="78"/>
  <c r="C55" i="78"/>
  <c r="B55" i="78"/>
  <c r="C54" i="78"/>
  <c r="B54" i="78"/>
  <c r="C53" i="78"/>
  <c r="B53" i="78"/>
  <c r="B52" i="78"/>
  <c r="B51" i="78"/>
  <c r="B50" i="78"/>
  <c r="B49" i="78"/>
  <c r="B48" i="78"/>
  <c r="B47" i="78"/>
  <c r="B46" i="78"/>
  <c r="B45" i="78"/>
  <c r="B44" i="78"/>
  <c r="B43" i="78"/>
  <c r="B42" i="78"/>
  <c r="B41" i="78"/>
  <c r="B40" i="78"/>
  <c r="B39" i="78"/>
  <c r="C38" i="78"/>
  <c r="B38" i="78"/>
  <c r="B37" i="78"/>
  <c r="B36" i="78"/>
  <c r="B35" i="78"/>
  <c r="C34" i="78"/>
  <c r="B34" i="78"/>
  <c r="B33" i="78"/>
  <c r="B32" i="78"/>
  <c r="B31" i="78"/>
  <c r="C30" i="78"/>
  <c r="B30" i="78"/>
  <c r="B29" i="78"/>
  <c r="B28" i="78"/>
  <c r="B27" i="78"/>
  <c r="C26" i="78"/>
  <c r="B26" i="78"/>
  <c r="B25" i="78"/>
  <c r="B24" i="78"/>
  <c r="B23" i="78"/>
  <c r="C22" i="78"/>
  <c r="B22" i="78"/>
  <c r="B21" i="78"/>
  <c r="B20" i="78"/>
  <c r="B19" i="78"/>
  <c r="C18" i="78"/>
  <c r="B18" i="78"/>
  <c r="B17" i="78"/>
  <c r="B16" i="78"/>
  <c r="B15" i="78"/>
  <c r="C14" i="78"/>
  <c r="B14" i="78"/>
  <c r="B13" i="78"/>
  <c r="B12" i="78"/>
  <c r="B11" i="78"/>
  <c r="C10" i="78"/>
  <c r="B10" i="78"/>
  <c r="B9" i="78"/>
  <c r="B8" i="78"/>
  <c r="B7" i="78"/>
  <c r="C6" i="78"/>
  <c r="B6" i="78"/>
  <c r="B5" i="78"/>
  <c r="B4" i="78"/>
  <c r="E4" i="78" s="1"/>
  <c r="D1" i="78"/>
  <c r="C4" i="78" s="1"/>
  <c r="D4" i="78" s="1"/>
  <c r="G4" i="78" s="1"/>
  <c r="F5" i="78" s="1"/>
  <c r="B61" i="77"/>
  <c r="C60" i="77"/>
  <c r="B60" i="77"/>
  <c r="C59" i="77"/>
  <c r="B59" i="77"/>
  <c r="C58" i="77"/>
  <c r="B58" i="77"/>
  <c r="C57" i="77"/>
  <c r="B57" i="77"/>
  <c r="C56" i="77"/>
  <c r="B56" i="77"/>
  <c r="C55" i="77"/>
  <c r="B55" i="77"/>
  <c r="C54" i="77"/>
  <c r="B54" i="77"/>
  <c r="C53" i="77"/>
  <c r="B53" i="77"/>
  <c r="B52" i="77"/>
  <c r="C51" i="77"/>
  <c r="B51" i="77"/>
  <c r="B50" i="77"/>
  <c r="B49" i="77"/>
  <c r="B48" i="77"/>
  <c r="C47" i="77"/>
  <c r="B47" i="77"/>
  <c r="B46" i="77"/>
  <c r="B45" i="77"/>
  <c r="B44" i="77"/>
  <c r="C43" i="77"/>
  <c r="B43" i="77"/>
  <c r="B42" i="77"/>
  <c r="B41" i="77"/>
  <c r="B40" i="77"/>
  <c r="B39" i="77"/>
  <c r="B38" i="77"/>
  <c r="B37" i="77"/>
  <c r="C36" i="77"/>
  <c r="B36" i="77"/>
  <c r="B35" i="77"/>
  <c r="B34" i="77"/>
  <c r="B33" i="77"/>
  <c r="C32" i="77"/>
  <c r="B32" i="77"/>
  <c r="B31" i="77"/>
  <c r="B30" i="77"/>
  <c r="B29" i="77"/>
  <c r="C28" i="77"/>
  <c r="B28" i="77"/>
  <c r="B27" i="77"/>
  <c r="B26" i="77"/>
  <c r="B25" i="77"/>
  <c r="C24" i="77"/>
  <c r="B24" i="77"/>
  <c r="B23" i="77"/>
  <c r="B22" i="77"/>
  <c r="B21" i="77"/>
  <c r="C20" i="77"/>
  <c r="B20" i="77"/>
  <c r="B19" i="77"/>
  <c r="B18" i="77"/>
  <c r="B17" i="77"/>
  <c r="C16" i="77"/>
  <c r="B16" i="77"/>
  <c r="B15" i="77"/>
  <c r="B14" i="77"/>
  <c r="B13" i="77"/>
  <c r="C12" i="77"/>
  <c r="B12" i="77"/>
  <c r="B11" i="77"/>
  <c r="B10" i="77"/>
  <c r="B9" i="77"/>
  <c r="C8" i="77"/>
  <c r="B8" i="77"/>
  <c r="C7" i="77"/>
  <c r="B7" i="77"/>
  <c r="B6" i="77"/>
  <c r="B5" i="77"/>
  <c r="C4" i="77"/>
  <c r="B4" i="77"/>
  <c r="E4" i="77" s="1"/>
  <c r="C49" i="77"/>
  <c r="D1" i="77"/>
  <c r="C38" i="77" s="1"/>
  <c r="E5" i="84" l="1"/>
  <c r="D5" i="84" s="1"/>
  <c r="G5" i="84" s="1"/>
  <c r="F6" i="84" s="1"/>
  <c r="E5" i="83"/>
  <c r="D5" i="83" s="1"/>
  <c r="G5" i="83" s="1"/>
  <c r="F6" i="83" s="1"/>
  <c r="E67" i="81"/>
  <c r="D67" i="81" s="1"/>
  <c r="G67" i="81"/>
  <c r="F68" i="81" s="1"/>
  <c r="G65" i="81"/>
  <c r="C26" i="81"/>
  <c r="C62" i="81"/>
  <c r="C49" i="81"/>
  <c r="C14" i="81"/>
  <c r="C60" i="81"/>
  <c r="C46" i="81"/>
  <c r="C57" i="81"/>
  <c r="C45" i="81"/>
  <c r="C24" i="81"/>
  <c r="C55" i="81"/>
  <c r="C44" i="81"/>
  <c r="C10" i="81"/>
  <c r="C30" i="81"/>
  <c r="C54" i="81"/>
  <c r="C41" i="81"/>
  <c r="C53" i="81"/>
  <c r="C40" i="81"/>
  <c r="C59" i="81"/>
  <c r="C51" i="81"/>
  <c r="C43" i="81"/>
  <c r="C58" i="81"/>
  <c r="C50" i="81"/>
  <c r="C42" i="81"/>
  <c r="C39" i="81"/>
  <c r="C56" i="81"/>
  <c r="C6" i="81"/>
  <c r="C22" i="81"/>
  <c r="C7" i="81"/>
  <c r="C11" i="81"/>
  <c r="C15" i="81"/>
  <c r="C19" i="81"/>
  <c r="C23" i="81"/>
  <c r="C27" i="81"/>
  <c r="C31" i="81"/>
  <c r="C35" i="81"/>
  <c r="C16" i="81"/>
  <c r="C4" i="81"/>
  <c r="D4" i="81" s="1"/>
  <c r="G4" i="81" s="1"/>
  <c r="F5" i="81" s="1"/>
  <c r="C34" i="81"/>
  <c r="C38" i="81"/>
  <c r="C5" i="81"/>
  <c r="C9" i="81"/>
  <c r="C13" i="81"/>
  <c r="C17" i="81"/>
  <c r="C21" i="81"/>
  <c r="C25" i="81"/>
  <c r="C29" i="81"/>
  <c r="C33" i="81"/>
  <c r="C37" i="81"/>
  <c r="C8" i="81"/>
  <c r="C12" i="81"/>
  <c r="C20" i="81"/>
  <c r="C28" i="81"/>
  <c r="C32" i="81"/>
  <c r="C36" i="81"/>
  <c r="C100" i="80"/>
  <c r="C76" i="80"/>
  <c r="C131" i="80"/>
  <c r="C123" i="80"/>
  <c r="C115" i="80"/>
  <c r="C107" i="80"/>
  <c r="C99" i="80"/>
  <c r="C75" i="80"/>
  <c r="C130" i="80"/>
  <c r="C122" i="80"/>
  <c r="C114" i="80"/>
  <c r="C106" i="80"/>
  <c r="C98" i="80"/>
  <c r="C68" i="80"/>
  <c r="C74" i="80"/>
  <c r="C129" i="80"/>
  <c r="C121" i="80"/>
  <c r="C113" i="80"/>
  <c r="C105" i="80"/>
  <c r="C97" i="80"/>
  <c r="C67" i="80"/>
  <c r="C69" i="80"/>
  <c r="C73" i="80"/>
  <c r="C128" i="80"/>
  <c r="C120" i="80"/>
  <c r="C112" i="80"/>
  <c r="C104" i="80"/>
  <c r="C96" i="80"/>
  <c r="C66" i="80"/>
  <c r="C80" i="80"/>
  <c r="C72" i="80"/>
  <c r="C127" i="80"/>
  <c r="C119" i="80"/>
  <c r="C111" i="80"/>
  <c r="C103" i="80"/>
  <c r="C95" i="80"/>
  <c r="C79" i="80"/>
  <c r="C126" i="80"/>
  <c r="C118" i="80"/>
  <c r="C110" i="80"/>
  <c r="C102" i="80"/>
  <c r="C42" i="80"/>
  <c r="C57" i="80"/>
  <c r="C41" i="80"/>
  <c r="C25" i="80"/>
  <c r="C9" i="80"/>
  <c r="C56" i="80"/>
  <c r="C48" i="80"/>
  <c r="C40" i="80"/>
  <c r="C32" i="80"/>
  <c r="C24" i="80"/>
  <c r="C16" i="80"/>
  <c r="C8" i="80"/>
  <c r="C58" i="80"/>
  <c r="C34" i="80"/>
  <c r="C49" i="80"/>
  <c r="C33" i="80"/>
  <c r="C17" i="80"/>
  <c r="C63" i="80"/>
  <c r="C55" i="80"/>
  <c r="C47" i="80"/>
  <c r="C39" i="80"/>
  <c r="C31" i="80"/>
  <c r="C23" i="80"/>
  <c r="C15" i="80"/>
  <c r="C7" i="80"/>
  <c r="C10" i="80"/>
  <c r="C54" i="80"/>
  <c r="C6" i="80"/>
  <c r="C61" i="80"/>
  <c r="C53" i="80"/>
  <c r="C45" i="80"/>
  <c r="C37" i="80"/>
  <c r="C29" i="80"/>
  <c r="C21" i="80"/>
  <c r="C13" i="80"/>
  <c r="C5" i="80"/>
  <c r="C18" i="80"/>
  <c r="C46" i="80"/>
  <c r="C30" i="80"/>
  <c r="C14" i="80"/>
  <c r="C60" i="80"/>
  <c r="C52" i="80"/>
  <c r="C44" i="80"/>
  <c r="C36" i="80"/>
  <c r="C28" i="80"/>
  <c r="C20" i="80"/>
  <c r="C12" i="80"/>
  <c r="C26" i="80"/>
  <c r="C62" i="80"/>
  <c r="C38" i="80"/>
  <c r="C22" i="80"/>
  <c r="C59" i="80"/>
  <c r="C51" i="80"/>
  <c r="C43" i="80"/>
  <c r="C35" i="80"/>
  <c r="C27" i="80"/>
  <c r="C19" i="80"/>
  <c r="C11" i="80"/>
  <c r="C4" i="80"/>
  <c r="D4" i="80" s="1"/>
  <c r="G4" i="80" s="1"/>
  <c r="F5" i="80" s="1"/>
  <c r="E5" i="80" s="1"/>
  <c r="D62" i="77"/>
  <c r="G62" i="77" s="1"/>
  <c r="F63" i="77" s="1"/>
  <c r="C51" i="78"/>
  <c r="C49" i="78"/>
  <c r="C41" i="78"/>
  <c r="E5" i="78"/>
  <c r="D4" i="77"/>
  <c r="G4" i="77" s="1"/>
  <c r="F5" i="77" s="1"/>
  <c r="C5" i="77"/>
  <c r="C9" i="77"/>
  <c r="C13" i="77"/>
  <c r="C17" i="77"/>
  <c r="C21" i="77"/>
  <c r="C25" i="77"/>
  <c r="C29" i="77"/>
  <c r="C33" i="77"/>
  <c r="C37" i="77"/>
  <c r="C7" i="78"/>
  <c r="C11" i="78"/>
  <c r="C15" i="78"/>
  <c r="C19" i="78"/>
  <c r="C23" i="78"/>
  <c r="C27" i="78"/>
  <c r="C31" i="78"/>
  <c r="C35" i="78"/>
  <c r="C39" i="78"/>
  <c r="D39" i="78" s="1"/>
  <c r="C40" i="77"/>
  <c r="C44" i="77"/>
  <c r="C48" i="77"/>
  <c r="C52" i="77"/>
  <c r="C42" i="78"/>
  <c r="C46" i="78"/>
  <c r="C50" i="78"/>
  <c r="C19" i="77"/>
  <c r="C23" i="77"/>
  <c r="C27" i="77"/>
  <c r="C31" i="77"/>
  <c r="C35" i="77"/>
  <c r="C39" i="77"/>
  <c r="D39" i="77" s="1"/>
  <c r="C5" i="78"/>
  <c r="C9" i="78"/>
  <c r="C13" i="78"/>
  <c r="C17" i="78"/>
  <c r="C21" i="78"/>
  <c r="C25" i="78"/>
  <c r="C29" i="78"/>
  <c r="C33" i="78"/>
  <c r="C37" i="78"/>
  <c r="C15" i="77"/>
  <c r="C42" i="77"/>
  <c r="C46" i="77"/>
  <c r="C50" i="77"/>
  <c r="C40" i="78"/>
  <c r="C44" i="78"/>
  <c r="C48" i="78"/>
  <c r="C52" i="78"/>
  <c r="C11" i="77"/>
  <c r="C6" i="77"/>
  <c r="C10" i="77"/>
  <c r="C14" i="77"/>
  <c r="C18" i="77"/>
  <c r="C22" i="77"/>
  <c r="C26" i="77"/>
  <c r="C30" i="77"/>
  <c r="C34" i="77"/>
  <c r="C8" i="78"/>
  <c r="C12" i="78"/>
  <c r="C16" i="78"/>
  <c r="C20" i="78"/>
  <c r="C24" i="78"/>
  <c r="C28" i="78"/>
  <c r="C32" i="78"/>
  <c r="C36" i="78"/>
  <c r="C41" i="77"/>
  <c r="C45" i="77"/>
  <c r="C43" i="78"/>
  <c r="C47" i="78"/>
  <c r="E42" i="75"/>
  <c r="E41" i="75"/>
  <c r="E40" i="75"/>
  <c r="B42" i="75"/>
  <c r="B43" i="75"/>
  <c r="B44" i="75"/>
  <c r="B45" i="75"/>
  <c r="B46" i="75"/>
  <c r="B47" i="75"/>
  <c r="B48" i="75"/>
  <c r="B49" i="75"/>
  <c r="B50" i="75"/>
  <c r="B51" i="75"/>
  <c r="B52" i="75"/>
  <c r="B53" i="75"/>
  <c r="B54" i="75"/>
  <c r="B55" i="75"/>
  <c r="B56" i="75"/>
  <c r="B57" i="75"/>
  <c r="B58" i="75"/>
  <c r="B59" i="75"/>
  <c r="B60" i="75"/>
  <c r="B61" i="75"/>
  <c r="B41" i="75"/>
  <c r="B40" i="75"/>
  <c r="F40" i="75"/>
  <c r="G40" i="75" s="1"/>
  <c r="D40" i="75"/>
  <c r="C40" i="75"/>
  <c r="F40" i="74"/>
  <c r="E40" i="74"/>
  <c r="D40" i="74"/>
  <c r="C40" i="74"/>
  <c r="B40" i="74"/>
  <c r="D1" i="75"/>
  <c r="C38" i="75" s="1"/>
  <c r="C39" i="75"/>
  <c r="D39" i="75" s="1"/>
  <c r="B39" i="75"/>
  <c r="B38" i="75"/>
  <c r="C37" i="75"/>
  <c r="B37" i="75"/>
  <c r="C36" i="75"/>
  <c r="B36" i="75"/>
  <c r="C35" i="75"/>
  <c r="B35" i="75"/>
  <c r="B34" i="75"/>
  <c r="C33" i="75"/>
  <c r="B33" i="75"/>
  <c r="C32" i="75"/>
  <c r="B32" i="75"/>
  <c r="C31" i="75"/>
  <c r="B31" i="75"/>
  <c r="B30" i="75"/>
  <c r="C29" i="75"/>
  <c r="B29" i="75"/>
  <c r="C28" i="75"/>
  <c r="B28" i="75"/>
  <c r="C27" i="75"/>
  <c r="B27" i="75"/>
  <c r="B26" i="75"/>
  <c r="C25" i="75"/>
  <c r="B25" i="75"/>
  <c r="C24" i="75"/>
  <c r="B24" i="75"/>
  <c r="C23" i="75"/>
  <c r="B23" i="75"/>
  <c r="B22" i="75"/>
  <c r="C21" i="75"/>
  <c r="B21" i="75"/>
  <c r="C20" i="75"/>
  <c r="B20" i="75"/>
  <c r="C19" i="75"/>
  <c r="B19" i="75"/>
  <c r="B18" i="75"/>
  <c r="C17" i="75"/>
  <c r="B17" i="75"/>
  <c r="C16" i="75"/>
  <c r="B16" i="75"/>
  <c r="C15" i="75"/>
  <c r="B15" i="75"/>
  <c r="B14" i="75"/>
  <c r="C13" i="75"/>
  <c r="B13" i="75"/>
  <c r="C12" i="75"/>
  <c r="B12" i="75"/>
  <c r="C11" i="75"/>
  <c r="B11" i="75"/>
  <c r="B10" i="75"/>
  <c r="C9" i="75"/>
  <c r="B9" i="75"/>
  <c r="C8" i="75"/>
  <c r="B8" i="75"/>
  <c r="C7" i="75"/>
  <c r="B7" i="75"/>
  <c r="B6" i="75"/>
  <c r="C5" i="75"/>
  <c r="B5" i="75"/>
  <c r="E4" i="75"/>
  <c r="C4" i="75"/>
  <c r="D4" i="75" s="1"/>
  <c r="G4" i="75" s="1"/>
  <c r="F5" i="75" s="1"/>
  <c r="B4" i="75"/>
  <c r="C60" i="75"/>
  <c r="C59" i="75"/>
  <c r="C58" i="75"/>
  <c r="C57" i="75"/>
  <c r="C56" i="75"/>
  <c r="C55" i="75"/>
  <c r="C54" i="75"/>
  <c r="C53" i="75"/>
  <c r="F1" i="75"/>
  <c r="C51" i="75" s="1"/>
  <c r="C54" i="74"/>
  <c r="C55" i="74"/>
  <c r="C56" i="74"/>
  <c r="C57" i="74"/>
  <c r="C58" i="74"/>
  <c r="C59" i="74"/>
  <c r="C60" i="74"/>
  <c r="C53" i="74"/>
  <c r="B41" i="74"/>
  <c r="B61" i="74"/>
  <c r="B60" i="74"/>
  <c r="B59" i="74"/>
  <c r="B58" i="74"/>
  <c r="B57" i="74"/>
  <c r="B56" i="74"/>
  <c r="B55" i="74"/>
  <c r="B54" i="74"/>
  <c r="B53" i="74"/>
  <c r="B52" i="74"/>
  <c r="B51" i="74"/>
  <c r="B50" i="74"/>
  <c r="B49" i="74"/>
  <c r="B48" i="74"/>
  <c r="B47" i="74"/>
  <c r="B46" i="74"/>
  <c r="B45" i="74"/>
  <c r="B44" i="74"/>
  <c r="B43" i="74"/>
  <c r="B42" i="74"/>
  <c r="F1" i="74"/>
  <c r="B39" i="74"/>
  <c r="B38" i="74"/>
  <c r="B37" i="74"/>
  <c r="B36" i="74"/>
  <c r="B35" i="74"/>
  <c r="B34" i="74"/>
  <c r="B33" i="74"/>
  <c r="B32" i="74"/>
  <c r="B31" i="74"/>
  <c r="B30" i="74"/>
  <c r="B29" i="74"/>
  <c r="B28" i="74"/>
  <c r="B27" i="74"/>
  <c r="B26" i="74"/>
  <c r="B25" i="74"/>
  <c r="B24" i="74"/>
  <c r="B23" i="74"/>
  <c r="B22" i="74"/>
  <c r="B21" i="74"/>
  <c r="B20" i="74"/>
  <c r="B19" i="74"/>
  <c r="B18" i="74"/>
  <c r="B17" i="74"/>
  <c r="B16" i="74"/>
  <c r="B15" i="74"/>
  <c r="B14" i="74"/>
  <c r="B13" i="74"/>
  <c r="B12" i="74"/>
  <c r="B11" i="74"/>
  <c r="B10" i="74"/>
  <c r="B9" i="74"/>
  <c r="B8" i="74"/>
  <c r="B7" i="74"/>
  <c r="B6" i="74"/>
  <c r="B5" i="74"/>
  <c r="B4" i="74"/>
  <c r="E4" i="74" s="1"/>
  <c r="D1" i="74"/>
  <c r="C37" i="74" s="1"/>
  <c r="B49" i="72"/>
  <c r="B50" i="72"/>
  <c r="B51" i="72"/>
  <c r="B52" i="72"/>
  <c r="B53" i="72"/>
  <c r="B54" i="72"/>
  <c r="B55" i="72"/>
  <c r="B56" i="72"/>
  <c r="B57" i="72"/>
  <c r="B58" i="72"/>
  <c r="B59" i="72"/>
  <c r="B60" i="72"/>
  <c r="B61" i="72"/>
  <c r="B62" i="72"/>
  <c r="B62" i="71"/>
  <c r="B61" i="71"/>
  <c r="B60" i="71"/>
  <c r="B59" i="71"/>
  <c r="B58" i="71"/>
  <c r="B57" i="71"/>
  <c r="B56" i="71"/>
  <c r="B55" i="71"/>
  <c r="B54" i="71"/>
  <c r="B53" i="71"/>
  <c r="B52" i="71"/>
  <c r="B51" i="71"/>
  <c r="B50" i="71"/>
  <c r="B49" i="71"/>
  <c r="F1" i="72"/>
  <c r="C46" i="72" s="1"/>
  <c r="F1" i="71"/>
  <c r="C43" i="71" s="1"/>
  <c r="B48" i="72"/>
  <c r="B47" i="72"/>
  <c r="B46" i="72"/>
  <c r="B45" i="72"/>
  <c r="B44" i="72"/>
  <c r="B43" i="72"/>
  <c r="B42" i="72"/>
  <c r="B41" i="72"/>
  <c r="B40" i="72"/>
  <c r="B39" i="72"/>
  <c r="B38" i="72"/>
  <c r="B37" i="72"/>
  <c r="B36" i="72"/>
  <c r="B35" i="72"/>
  <c r="B34" i="72"/>
  <c r="B33" i="72"/>
  <c r="B32" i="72"/>
  <c r="B31" i="72"/>
  <c r="B30" i="72"/>
  <c r="B29" i="72"/>
  <c r="B28" i="72"/>
  <c r="B27" i="72"/>
  <c r="B26" i="72"/>
  <c r="B25" i="72"/>
  <c r="B24" i="72"/>
  <c r="B23" i="72"/>
  <c r="B22" i="72"/>
  <c r="B21" i="72"/>
  <c r="B20" i="72"/>
  <c r="B19" i="72"/>
  <c r="B18" i="72"/>
  <c r="B17" i="72"/>
  <c r="B16" i="72"/>
  <c r="B15" i="72"/>
  <c r="B14" i="72"/>
  <c r="B13" i="72"/>
  <c r="B12" i="72"/>
  <c r="B11" i="72"/>
  <c r="B10" i="72"/>
  <c r="B9" i="72"/>
  <c r="B8" i="72"/>
  <c r="B7" i="72"/>
  <c r="B6" i="72"/>
  <c r="B5" i="72"/>
  <c r="B4" i="72"/>
  <c r="E4" i="72" s="1"/>
  <c r="D1" i="72"/>
  <c r="C39" i="72" s="1"/>
  <c r="D39" i="72" s="1"/>
  <c r="B48" i="71"/>
  <c r="B47" i="71"/>
  <c r="B46" i="71"/>
  <c r="B45" i="71"/>
  <c r="B44" i="71"/>
  <c r="B43" i="71"/>
  <c r="B42" i="71"/>
  <c r="B41" i="71"/>
  <c r="B40" i="71"/>
  <c r="B39" i="71"/>
  <c r="B38" i="71"/>
  <c r="B37" i="71"/>
  <c r="B36" i="71"/>
  <c r="B35" i="71"/>
  <c r="B34" i="71"/>
  <c r="B33" i="71"/>
  <c r="B32" i="71"/>
  <c r="B31" i="71"/>
  <c r="B30" i="71"/>
  <c r="B29" i="71"/>
  <c r="B28" i="71"/>
  <c r="B27" i="71"/>
  <c r="B26" i="71"/>
  <c r="B25" i="71"/>
  <c r="B24" i="71"/>
  <c r="B23" i="71"/>
  <c r="B22" i="71"/>
  <c r="B21" i="71"/>
  <c r="B20" i="71"/>
  <c r="B19" i="71"/>
  <c r="B18" i="71"/>
  <c r="B17" i="71"/>
  <c r="B16" i="71"/>
  <c r="B15" i="71"/>
  <c r="B14" i="71"/>
  <c r="B13" i="71"/>
  <c r="B12" i="71"/>
  <c r="B11" i="71"/>
  <c r="B10" i="71"/>
  <c r="B9" i="71"/>
  <c r="B8" i="71"/>
  <c r="B7" i="71"/>
  <c r="B6" i="71"/>
  <c r="B5" i="71"/>
  <c r="B4" i="71"/>
  <c r="E4" i="71" s="1"/>
  <c r="D1" i="71"/>
  <c r="C38" i="71" s="1"/>
  <c r="B42" i="69"/>
  <c r="B43" i="69"/>
  <c r="B44" i="69"/>
  <c r="B45" i="69"/>
  <c r="B46" i="69"/>
  <c r="B47" i="69"/>
  <c r="B48" i="69"/>
  <c r="B41" i="69"/>
  <c r="E41" i="69" s="1"/>
  <c r="B40" i="69"/>
  <c r="E40" i="69"/>
  <c r="D1" i="69"/>
  <c r="C39" i="69" s="1"/>
  <c r="D39" i="69" s="1"/>
  <c r="B39" i="69"/>
  <c r="B38" i="69"/>
  <c r="B37" i="69"/>
  <c r="B36" i="69"/>
  <c r="B35" i="69"/>
  <c r="B34" i="69"/>
  <c r="B33" i="69"/>
  <c r="B32" i="69"/>
  <c r="B31" i="69"/>
  <c r="B30" i="69"/>
  <c r="B29" i="69"/>
  <c r="B28" i="69"/>
  <c r="B27" i="69"/>
  <c r="B26" i="69"/>
  <c r="B25" i="69"/>
  <c r="B24" i="69"/>
  <c r="B23" i="69"/>
  <c r="B22" i="69"/>
  <c r="B21" i="69"/>
  <c r="B20" i="69"/>
  <c r="B19" i="69"/>
  <c r="B18" i="69"/>
  <c r="B17" i="69"/>
  <c r="B16" i="69"/>
  <c r="B15" i="69"/>
  <c r="B14" i="69"/>
  <c r="B13" i="69"/>
  <c r="B12" i="69"/>
  <c r="B11" i="69"/>
  <c r="B10" i="69"/>
  <c r="B9" i="69"/>
  <c r="B8" i="69"/>
  <c r="B7" i="69"/>
  <c r="B6" i="69"/>
  <c r="B5" i="69"/>
  <c r="B4" i="69"/>
  <c r="E4" i="69" s="1"/>
  <c r="N2" i="69"/>
  <c r="L2" i="69"/>
  <c r="F2" i="69"/>
  <c r="D2" i="69"/>
  <c r="F1" i="69"/>
  <c r="C46" i="69" s="1"/>
  <c r="C48" i="68"/>
  <c r="G40" i="68"/>
  <c r="E40" i="68"/>
  <c r="F40" i="68"/>
  <c r="C47" i="68"/>
  <c r="F1" i="68"/>
  <c r="C40" i="68" s="1"/>
  <c r="B40" i="68"/>
  <c r="B48" i="68"/>
  <c r="B47" i="68"/>
  <c r="B46" i="68"/>
  <c r="B45" i="68"/>
  <c r="B44" i="68"/>
  <c r="B43" i="68"/>
  <c r="B42" i="68"/>
  <c r="B41" i="68"/>
  <c r="B39" i="68"/>
  <c r="B38" i="68"/>
  <c r="B37" i="68"/>
  <c r="B36" i="68"/>
  <c r="B35" i="68"/>
  <c r="B34" i="68"/>
  <c r="B33" i="68"/>
  <c r="B32" i="68"/>
  <c r="B31" i="68"/>
  <c r="B30" i="68"/>
  <c r="B29" i="68"/>
  <c r="B28" i="68"/>
  <c r="B27" i="68"/>
  <c r="B26" i="68"/>
  <c r="B25" i="68"/>
  <c r="B24" i="68"/>
  <c r="B23" i="68"/>
  <c r="B22" i="68"/>
  <c r="B21" i="68"/>
  <c r="B20" i="68"/>
  <c r="B19" i="68"/>
  <c r="B18" i="68"/>
  <c r="B17" i="68"/>
  <c r="B16" i="68"/>
  <c r="B15" i="68"/>
  <c r="B14" i="68"/>
  <c r="B13" i="68"/>
  <c r="B12" i="68"/>
  <c r="B11" i="68"/>
  <c r="B10" i="68"/>
  <c r="B9" i="68"/>
  <c r="B8" i="68"/>
  <c r="B7" i="68"/>
  <c r="B6" i="68"/>
  <c r="B5" i="68"/>
  <c r="B4" i="68"/>
  <c r="E4" i="68" s="1"/>
  <c r="N2" i="68"/>
  <c r="L2" i="68"/>
  <c r="F2" i="68"/>
  <c r="D2" i="68"/>
  <c r="D1" i="68"/>
  <c r="C39" i="68" s="1"/>
  <c r="D39" i="68" s="1"/>
  <c r="F2" i="65"/>
  <c r="D2" i="65"/>
  <c r="F1" i="65"/>
  <c r="C41" i="65" s="1"/>
  <c r="F2" i="64"/>
  <c r="D2" i="64"/>
  <c r="B51" i="65"/>
  <c r="B50" i="65"/>
  <c r="B49" i="65"/>
  <c r="B48" i="65"/>
  <c r="B47" i="65"/>
  <c r="B46" i="65"/>
  <c r="B45" i="65"/>
  <c r="B44" i="65"/>
  <c r="B43" i="65"/>
  <c r="B42" i="65"/>
  <c r="B41" i="65"/>
  <c r="B40" i="65"/>
  <c r="B39" i="65"/>
  <c r="B38" i="65"/>
  <c r="B37" i="65"/>
  <c r="B36" i="65"/>
  <c r="B35" i="65"/>
  <c r="B34" i="65"/>
  <c r="B33" i="65"/>
  <c r="B32" i="65"/>
  <c r="B31" i="65"/>
  <c r="B30" i="65"/>
  <c r="B29" i="65"/>
  <c r="B28" i="65"/>
  <c r="B27" i="65"/>
  <c r="B26" i="65"/>
  <c r="B25" i="65"/>
  <c r="B24" i="65"/>
  <c r="B23" i="65"/>
  <c r="B22" i="65"/>
  <c r="B21" i="65"/>
  <c r="B20" i="65"/>
  <c r="B19" i="65"/>
  <c r="B18" i="65"/>
  <c r="B17" i="65"/>
  <c r="B16" i="65"/>
  <c r="B15" i="65"/>
  <c r="B14" i="65"/>
  <c r="B13" i="65"/>
  <c r="B12" i="65"/>
  <c r="B11" i="65"/>
  <c r="B10" i="65"/>
  <c r="B9" i="65"/>
  <c r="B8" i="65"/>
  <c r="B7" i="65"/>
  <c r="B6" i="65"/>
  <c r="B5" i="65"/>
  <c r="B4" i="65"/>
  <c r="E4" i="65" s="1"/>
  <c r="N2" i="65"/>
  <c r="L2" i="65"/>
  <c r="D1" i="65"/>
  <c r="C39" i="65" s="1"/>
  <c r="D39" i="65" s="1"/>
  <c r="E6" i="83" l="1"/>
  <c r="D6" i="83" s="1"/>
  <c r="G6" i="83" s="1"/>
  <c r="F7" i="83" s="1"/>
  <c r="E6" i="84"/>
  <c r="D6" i="84" s="1"/>
  <c r="G6" i="84" s="1"/>
  <c r="F7" i="84" s="1"/>
  <c r="E68" i="81"/>
  <c r="D68" i="81" s="1"/>
  <c r="G68" i="81"/>
  <c r="E5" i="81"/>
  <c r="D5" i="81" s="1"/>
  <c r="G5" i="81" s="1"/>
  <c r="F6" i="81" s="1"/>
  <c r="D5" i="80"/>
  <c r="G5" i="80" s="1"/>
  <c r="E63" i="77"/>
  <c r="D63" i="77" s="1"/>
  <c r="G63" i="77" s="1"/>
  <c r="F64" i="77" s="1"/>
  <c r="E5" i="77"/>
  <c r="D5" i="77" s="1"/>
  <c r="G5" i="77" s="1"/>
  <c r="F6" i="77" s="1"/>
  <c r="D5" i="78"/>
  <c r="G5" i="78" s="1"/>
  <c r="F6" i="78" s="1"/>
  <c r="G40" i="74"/>
  <c r="C6" i="75"/>
  <c r="C10" i="75"/>
  <c r="C14" i="75"/>
  <c r="C18" i="75"/>
  <c r="C22" i="75"/>
  <c r="C26" i="75"/>
  <c r="C30" i="75"/>
  <c r="C34" i="75"/>
  <c r="E5" i="75"/>
  <c r="D5" i="75" s="1"/>
  <c r="G5" i="75" s="1"/>
  <c r="F6" i="75" s="1"/>
  <c r="C42" i="75"/>
  <c r="C46" i="75"/>
  <c r="C50" i="75"/>
  <c r="C41" i="75"/>
  <c r="C45" i="75"/>
  <c r="C49" i="75"/>
  <c r="C44" i="75"/>
  <c r="C48" i="75"/>
  <c r="C52" i="75"/>
  <c r="C43" i="75"/>
  <c r="C47" i="75"/>
  <c r="C16" i="74"/>
  <c r="C32" i="74"/>
  <c r="C36" i="74"/>
  <c r="C8" i="74"/>
  <c r="C12" i="74"/>
  <c r="C20" i="74"/>
  <c r="C24" i="74"/>
  <c r="C28" i="74"/>
  <c r="C4" i="74"/>
  <c r="D4" i="74" s="1"/>
  <c r="G4" i="74" s="1"/>
  <c r="F5" i="74" s="1"/>
  <c r="C44" i="74"/>
  <c r="C48" i="74"/>
  <c r="C52" i="74"/>
  <c r="C15" i="74"/>
  <c r="C27" i="74"/>
  <c r="C39" i="74"/>
  <c r="D39" i="74" s="1"/>
  <c r="C41" i="74"/>
  <c r="C23" i="74"/>
  <c r="C31" i="74"/>
  <c r="C43" i="74"/>
  <c r="C47" i="74"/>
  <c r="C51" i="74"/>
  <c r="C49" i="74"/>
  <c r="C7" i="74"/>
  <c r="C11" i="74"/>
  <c r="C6" i="74"/>
  <c r="C10" i="74"/>
  <c r="C14" i="74"/>
  <c r="C18" i="74"/>
  <c r="C22" i="74"/>
  <c r="C26" i="74"/>
  <c r="C30" i="74"/>
  <c r="C34" i="74"/>
  <c r="C38" i="74"/>
  <c r="C45" i="74"/>
  <c r="C19" i="74"/>
  <c r="C35" i="74"/>
  <c r="C42" i="74"/>
  <c r="C46" i="74"/>
  <c r="C50" i="74"/>
  <c r="C5" i="74"/>
  <c r="C9" i="74"/>
  <c r="C13" i="74"/>
  <c r="C17" i="74"/>
  <c r="C21" i="74"/>
  <c r="C25" i="74"/>
  <c r="C29" i="74"/>
  <c r="C33" i="74"/>
  <c r="C56" i="71"/>
  <c r="C49" i="71"/>
  <c r="C55" i="71"/>
  <c r="C54" i="71"/>
  <c r="C48" i="71"/>
  <c r="C60" i="71"/>
  <c r="C52" i="71"/>
  <c r="C61" i="71"/>
  <c r="C53" i="71"/>
  <c r="C59" i="71"/>
  <c r="C51" i="71"/>
  <c r="C58" i="71"/>
  <c r="C50" i="71"/>
  <c r="C4" i="71"/>
  <c r="D4" i="71" s="1"/>
  <c r="G4" i="71" s="1"/>
  <c r="F5" i="71" s="1"/>
  <c r="E5" i="71" s="1"/>
  <c r="C57" i="71"/>
  <c r="C54" i="72"/>
  <c r="C53" i="72"/>
  <c r="C60" i="72"/>
  <c r="C52" i="72"/>
  <c r="C61" i="72"/>
  <c r="C59" i="72"/>
  <c r="C51" i="72"/>
  <c r="C50" i="72"/>
  <c r="C57" i="72"/>
  <c r="C49" i="72"/>
  <c r="C58" i="72"/>
  <c r="C56" i="72"/>
  <c r="C48" i="72"/>
  <c r="C55" i="72"/>
  <c r="C41" i="71"/>
  <c r="C45" i="71"/>
  <c r="C47" i="71"/>
  <c r="C46" i="71"/>
  <c r="C5" i="71"/>
  <c r="C9" i="71"/>
  <c r="C13" i="71"/>
  <c r="C17" i="71"/>
  <c r="C21" i="71"/>
  <c r="C25" i="71"/>
  <c r="C29" i="71"/>
  <c r="C33" i="71"/>
  <c r="C37" i="71"/>
  <c r="C6" i="72"/>
  <c r="C10" i="72"/>
  <c r="C14" i="72"/>
  <c r="C18" i="72"/>
  <c r="C22" i="72"/>
  <c r="C26" i="72"/>
  <c r="C30" i="72"/>
  <c r="C34" i="72"/>
  <c r="C38" i="72"/>
  <c r="C40" i="71"/>
  <c r="C44" i="71"/>
  <c r="C41" i="72"/>
  <c r="C45" i="72"/>
  <c r="C8" i="71"/>
  <c r="C12" i="71"/>
  <c r="C16" i="71"/>
  <c r="C20" i="71"/>
  <c r="C24" i="71"/>
  <c r="C28" i="71"/>
  <c r="C32" i="71"/>
  <c r="C36" i="71"/>
  <c r="C5" i="72"/>
  <c r="C9" i="72"/>
  <c r="C13" i="72"/>
  <c r="C17" i="72"/>
  <c r="C21" i="72"/>
  <c r="C25" i="72"/>
  <c r="C29" i="72"/>
  <c r="C33" i="72"/>
  <c r="C37" i="72"/>
  <c r="C40" i="72"/>
  <c r="C44" i="72"/>
  <c r="C7" i="71"/>
  <c r="C11" i="71"/>
  <c r="C15" i="71"/>
  <c r="C19" i="71"/>
  <c r="C23" i="71"/>
  <c r="C27" i="71"/>
  <c r="C31" i="71"/>
  <c r="C35" i="71"/>
  <c r="C39" i="71"/>
  <c r="D39" i="71" s="1"/>
  <c r="C8" i="72"/>
  <c r="C12" i="72"/>
  <c r="C16" i="72"/>
  <c r="C20" i="72"/>
  <c r="C24" i="72"/>
  <c r="C28" i="72"/>
  <c r="C32" i="72"/>
  <c r="C36" i="72"/>
  <c r="C42" i="71"/>
  <c r="C4" i="72"/>
  <c r="D4" i="72" s="1"/>
  <c r="G4" i="72" s="1"/>
  <c r="F5" i="72" s="1"/>
  <c r="C43" i="72"/>
  <c r="C47" i="72"/>
  <c r="C6" i="71"/>
  <c r="C10" i="71"/>
  <c r="C14" i="71"/>
  <c r="C18" i="71"/>
  <c r="C22" i="71"/>
  <c r="C26" i="71"/>
  <c r="C30" i="71"/>
  <c r="C34" i="71"/>
  <c r="C7" i="72"/>
  <c r="C11" i="72"/>
  <c r="C15" i="72"/>
  <c r="C19" i="72"/>
  <c r="C23" i="72"/>
  <c r="C27" i="72"/>
  <c r="C31" i="72"/>
  <c r="C35" i="72"/>
  <c r="C42" i="72"/>
  <c r="C4" i="69"/>
  <c r="D4" i="69" s="1"/>
  <c r="G4" i="69" s="1"/>
  <c r="F5" i="69" s="1"/>
  <c r="C16" i="69"/>
  <c r="C20" i="69"/>
  <c r="C5" i="69"/>
  <c r="C9" i="69"/>
  <c r="C13" i="69"/>
  <c r="C17" i="69"/>
  <c r="C21" i="69"/>
  <c r="C25" i="69"/>
  <c r="C29" i="69"/>
  <c r="C33" i="69"/>
  <c r="C37" i="69"/>
  <c r="C28" i="69"/>
  <c r="C8" i="69"/>
  <c r="C24" i="69"/>
  <c r="C6" i="69"/>
  <c r="C10" i="69"/>
  <c r="C14" i="69"/>
  <c r="C18" i="69"/>
  <c r="C22" i="69"/>
  <c r="C26" i="69"/>
  <c r="C30" i="69"/>
  <c r="C34" i="69"/>
  <c r="C38" i="69"/>
  <c r="C36" i="69"/>
  <c r="C12" i="69"/>
  <c r="C32" i="69"/>
  <c r="C7" i="69"/>
  <c r="C11" i="69"/>
  <c r="C15" i="69"/>
  <c r="C19" i="69"/>
  <c r="C23" i="69"/>
  <c r="C27" i="69"/>
  <c r="C31" i="69"/>
  <c r="C35" i="69"/>
  <c r="C41" i="69"/>
  <c r="C45" i="69"/>
  <c r="C40" i="69"/>
  <c r="C44" i="69"/>
  <c r="C43" i="69"/>
  <c r="C47" i="69"/>
  <c r="C42" i="69"/>
  <c r="C4" i="68"/>
  <c r="C46" i="68"/>
  <c r="C45" i="68"/>
  <c r="C44" i="68"/>
  <c r="C43" i="68"/>
  <c r="C42" i="68"/>
  <c r="C41" i="68"/>
  <c r="C20" i="68"/>
  <c r="C36" i="68"/>
  <c r="C10" i="68"/>
  <c r="C16" i="68"/>
  <c r="C32" i="68"/>
  <c r="C6" i="68"/>
  <c r="C22" i="68"/>
  <c r="C38" i="68"/>
  <c r="C26" i="68"/>
  <c r="C12" i="68"/>
  <c r="C28" i="68"/>
  <c r="C8" i="68"/>
  <c r="C24" i="68"/>
  <c r="C18" i="68"/>
  <c r="C34" i="68"/>
  <c r="C14" i="68"/>
  <c r="C30" i="68"/>
  <c r="D4" i="68"/>
  <c r="G4" i="68" s="1"/>
  <c r="F5" i="68" s="1"/>
  <c r="C5" i="68"/>
  <c r="C9" i="68"/>
  <c r="C13" i="68"/>
  <c r="C17" i="68"/>
  <c r="C21" i="68"/>
  <c r="C25" i="68"/>
  <c r="C29" i="68"/>
  <c r="C33" i="68"/>
  <c r="C37" i="68"/>
  <c r="C7" i="68"/>
  <c r="C11" i="68"/>
  <c r="C15" i="68"/>
  <c r="C19" i="68"/>
  <c r="C23" i="68"/>
  <c r="C27" i="68"/>
  <c r="C31" i="68"/>
  <c r="C35" i="68"/>
  <c r="C17" i="65"/>
  <c r="C30" i="65"/>
  <c r="C25" i="65"/>
  <c r="C37" i="65"/>
  <c r="C14" i="65"/>
  <c r="C9" i="65"/>
  <c r="C21" i="65"/>
  <c r="C26" i="65"/>
  <c r="C38" i="65"/>
  <c r="C6" i="65"/>
  <c r="C33" i="65"/>
  <c r="C5" i="65"/>
  <c r="C10" i="65"/>
  <c r="C22" i="65"/>
  <c r="C48" i="65"/>
  <c r="C44" i="65"/>
  <c r="C49" i="65"/>
  <c r="C13" i="65"/>
  <c r="C18" i="65"/>
  <c r="C29" i="65"/>
  <c r="C34" i="65"/>
  <c r="C40" i="65"/>
  <c r="C45" i="65"/>
  <c r="C8" i="65"/>
  <c r="C12" i="65"/>
  <c r="C16" i="65"/>
  <c r="C20" i="65"/>
  <c r="C24" i="65"/>
  <c r="C28" i="65"/>
  <c r="C32" i="65"/>
  <c r="C36" i="65"/>
  <c r="C4" i="65"/>
  <c r="D4" i="65" s="1"/>
  <c r="G4" i="65" s="1"/>
  <c r="F5" i="65" s="1"/>
  <c r="C43" i="65"/>
  <c r="C47" i="65"/>
  <c r="C51" i="65"/>
  <c r="C7" i="65"/>
  <c r="C11" i="65"/>
  <c r="C15" i="65"/>
  <c r="C19" i="65"/>
  <c r="C23" i="65"/>
  <c r="C27" i="65"/>
  <c r="C31" i="65"/>
  <c r="C35" i="65"/>
  <c r="C42" i="65"/>
  <c r="C46" i="65"/>
  <c r="C50" i="65"/>
  <c r="E7" i="83" l="1"/>
  <c r="D7" i="83" s="1"/>
  <c r="G7" i="83" s="1"/>
  <c r="E7" i="84"/>
  <c r="D7" i="84" s="1"/>
  <c r="G7" i="84" s="1"/>
  <c r="E69" i="81"/>
  <c r="D69" i="81" s="1"/>
  <c r="G69" i="81" s="1"/>
  <c r="F70" i="81" s="1"/>
  <c r="E6" i="81"/>
  <c r="D6" i="81" s="1"/>
  <c r="G6" i="81" s="1"/>
  <c r="F7" i="81" s="1"/>
  <c r="F6" i="80"/>
  <c r="E64" i="77"/>
  <c r="D64" i="77" s="1"/>
  <c r="G64" i="77" s="1"/>
  <c r="F65" i="77" s="1"/>
  <c r="G6" i="77"/>
  <c r="F7" i="77" s="1"/>
  <c r="E6" i="77"/>
  <c r="D6" i="77" s="1"/>
  <c r="E6" i="78"/>
  <c r="D6" i="78" s="1"/>
  <c r="G6" i="78" s="1"/>
  <c r="F7" i="78" s="1"/>
  <c r="E6" i="75"/>
  <c r="D6" i="75" s="1"/>
  <c r="G6" i="75" s="1"/>
  <c r="F7" i="75" s="1"/>
  <c r="E5" i="74"/>
  <c r="D5" i="74" s="1"/>
  <c r="G5" i="74" s="1"/>
  <c r="F6" i="74" s="1"/>
  <c r="E5" i="72"/>
  <c r="D5" i="72" s="1"/>
  <c r="G5" i="72" s="1"/>
  <c r="F6" i="72" s="1"/>
  <c r="D5" i="71"/>
  <c r="G5" i="71" s="1"/>
  <c r="F6" i="71" s="1"/>
  <c r="E5" i="69"/>
  <c r="D5" i="69" s="1"/>
  <c r="G5" i="69" s="1"/>
  <c r="F6" i="69" s="1"/>
  <c r="E5" i="68"/>
  <c r="D5" i="68" s="1"/>
  <c r="G5" i="68" s="1"/>
  <c r="F6" i="68" s="1"/>
  <c r="E5" i="65"/>
  <c r="D5" i="65" s="1"/>
  <c r="G5" i="65" s="1"/>
  <c r="F6" i="65" s="1"/>
  <c r="F8" i="84" l="1"/>
  <c r="F64" i="84"/>
  <c r="F64" i="83"/>
  <c r="F8" i="83"/>
  <c r="E70" i="81"/>
  <c r="D70" i="81" s="1"/>
  <c r="G70" i="81" s="1"/>
  <c r="F71" i="81" s="1"/>
  <c r="E7" i="81"/>
  <c r="D7" i="81" s="1"/>
  <c r="G7" i="81" s="1"/>
  <c r="F8" i="81" s="1"/>
  <c r="E6" i="80"/>
  <c r="D6" i="80" s="1"/>
  <c r="G6" i="80" s="1"/>
  <c r="E65" i="77"/>
  <c r="D65" i="77" s="1"/>
  <c r="G65" i="77" s="1"/>
  <c r="F66" i="77" s="1"/>
  <c r="G7" i="78"/>
  <c r="F8" i="78" s="1"/>
  <c r="E7" i="78"/>
  <c r="D7" i="78" s="1"/>
  <c r="E7" i="77"/>
  <c r="D7" i="77" s="1"/>
  <c r="G7" i="77" s="1"/>
  <c r="F8" i="77" s="1"/>
  <c r="E7" i="75"/>
  <c r="D7" i="75" s="1"/>
  <c r="G7" i="75" s="1"/>
  <c r="F8" i="75" s="1"/>
  <c r="E6" i="74"/>
  <c r="D6" i="74" s="1"/>
  <c r="G6" i="74" s="1"/>
  <c r="F7" i="74" s="1"/>
  <c r="E6" i="72"/>
  <c r="D6" i="72" s="1"/>
  <c r="G6" i="72" s="1"/>
  <c r="F7" i="72" s="1"/>
  <c r="E6" i="71"/>
  <c r="D6" i="71" s="1"/>
  <c r="G6" i="71" s="1"/>
  <c r="F7" i="71" s="1"/>
  <c r="E6" i="69"/>
  <c r="D6" i="69" s="1"/>
  <c r="G6" i="69" s="1"/>
  <c r="F7" i="69" s="1"/>
  <c r="E6" i="68"/>
  <c r="D6" i="68" s="1"/>
  <c r="G6" i="68" s="1"/>
  <c r="F7" i="68" s="1"/>
  <c r="E6" i="65"/>
  <c r="D6" i="65" s="1"/>
  <c r="G6" i="65" s="1"/>
  <c r="F7" i="65" s="1"/>
  <c r="E8" i="83" l="1"/>
  <c r="E64" i="83"/>
  <c r="E64" i="84"/>
  <c r="E8" i="84"/>
  <c r="E71" i="81"/>
  <c r="D71" i="81" s="1"/>
  <c r="G71" i="81" s="1"/>
  <c r="F72" i="81" s="1"/>
  <c r="E8" i="81"/>
  <c r="D8" i="81" s="1"/>
  <c r="G8" i="81" s="1"/>
  <c r="F9" i="81" s="1"/>
  <c r="F7" i="80"/>
  <c r="E66" i="77"/>
  <c r="D66" i="77" s="1"/>
  <c r="G66" i="77" s="1"/>
  <c r="F67" i="77" s="1"/>
  <c r="E8" i="77"/>
  <c r="D8" i="77" s="1"/>
  <c r="G8" i="77" s="1"/>
  <c r="F9" i="77" s="1"/>
  <c r="E8" i="78"/>
  <c r="D8" i="78" s="1"/>
  <c r="G8" i="78" s="1"/>
  <c r="F9" i="78" s="1"/>
  <c r="E8" i="75"/>
  <c r="D8" i="75" s="1"/>
  <c r="G8" i="75" s="1"/>
  <c r="F9" i="75" s="1"/>
  <c r="E7" i="74"/>
  <c r="D7" i="74" s="1"/>
  <c r="G7" i="74" s="1"/>
  <c r="F8" i="74" s="1"/>
  <c r="E7" i="71"/>
  <c r="D7" i="71" s="1"/>
  <c r="G7" i="71" s="1"/>
  <c r="F8" i="71" s="1"/>
  <c r="E7" i="72"/>
  <c r="D7" i="72" s="1"/>
  <c r="G7" i="72" s="1"/>
  <c r="F8" i="72" s="1"/>
  <c r="E7" i="69"/>
  <c r="D7" i="69" s="1"/>
  <c r="G7" i="69" s="1"/>
  <c r="F8" i="69" s="1"/>
  <c r="E7" i="68"/>
  <c r="D7" i="68" s="1"/>
  <c r="G7" i="68" s="1"/>
  <c r="F8" i="68" s="1"/>
  <c r="E7" i="65"/>
  <c r="D7" i="65" s="1"/>
  <c r="G7" i="65" s="1"/>
  <c r="F8" i="65" s="1"/>
  <c r="D64" i="84" l="1"/>
  <c r="G64" i="84" s="1"/>
  <c r="F65" i="84" s="1"/>
  <c r="D8" i="84"/>
  <c r="G8" i="84" s="1"/>
  <c r="F9" i="84" s="1"/>
  <c r="D64" i="83"/>
  <c r="G64" i="83" s="1"/>
  <c r="F65" i="83" s="1"/>
  <c r="D8" i="83"/>
  <c r="G8" i="83" s="1"/>
  <c r="F9" i="83" s="1"/>
  <c r="E72" i="81"/>
  <c r="D72" i="81" s="1"/>
  <c r="G72" i="81" s="1"/>
  <c r="F73" i="81" s="1"/>
  <c r="E9" i="81"/>
  <c r="D9" i="81" s="1"/>
  <c r="G9" i="81" s="1"/>
  <c r="F10" i="81" s="1"/>
  <c r="E7" i="80"/>
  <c r="D7" i="80" s="1"/>
  <c r="E67" i="77"/>
  <c r="D67" i="77" s="1"/>
  <c r="G67" i="77" s="1"/>
  <c r="F68" i="77" s="1"/>
  <c r="G9" i="77"/>
  <c r="F10" i="77" s="1"/>
  <c r="E9" i="77"/>
  <c r="D9" i="77" s="1"/>
  <c r="E9" i="78"/>
  <c r="D9" i="78" s="1"/>
  <c r="G9" i="78" s="1"/>
  <c r="F10" i="78" s="1"/>
  <c r="E9" i="75"/>
  <c r="D9" i="75" s="1"/>
  <c r="G9" i="75" s="1"/>
  <c r="F10" i="75" s="1"/>
  <c r="E8" i="74"/>
  <c r="D8" i="74" s="1"/>
  <c r="G8" i="74" s="1"/>
  <c r="F9" i="74" s="1"/>
  <c r="G8" i="71"/>
  <c r="F9" i="71" s="1"/>
  <c r="E8" i="71"/>
  <c r="D8" i="71" s="1"/>
  <c r="E8" i="72"/>
  <c r="D8" i="72" s="1"/>
  <c r="G8" i="72" s="1"/>
  <c r="F9" i="72" s="1"/>
  <c r="E8" i="69"/>
  <c r="D8" i="69" s="1"/>
  <c r="G8" i="69" s="1"/>
  <c r="F9" i="69" s="1"/>
  <c r="E8" i="68"/>
  <c r="D8" i="68" s="1"/>
  <c r="G8" i="68" s="1"/>
  <c r="F9" i="68" s="1"/>
  <c r="E8" i="65"/>
  <c r="D8" i="65" s="1"/>
  <c r="G8" i="65" s="1"/>
  <c r="F9" i="65" s="1"/>
  <c r="E65" i="84" l="1"/>
  <c r="D65" i="84" s="1"/>
  <c r="G65" i="84" s="1"/>
  <c r="F66" i="84" s="1"/>
  <c r="E9" i="83"/>
  <c r="D9" i="83" s="1"/>
  <c r="G9" i="83" s="1"/>
  <c r="F10" i="83" s="1"/>
  <c r="E65" i="83"/>
  <c r="D65" i="83" s="1"/>
  <c r="G65" i="83" s="1"/>
  <c r="F66" i="83" s="1"/>
  <c r="E9" i="84"/>
  <c r="D9" i="84" s="1"/>
  <c r="G9" i="84" s="1"/>
  <c r="F10" i="84" s="1"/>
  <c r="E73" i="81"/>
  <c r="D73" i="81" s="1"/>
  <c r="G73" i="81" s="1"/>
  <c r="F74" i="81" s="1"/>
  <c r="E10" i="81"/>
  <c r="D10" i="81" s="1"/>
  <c r="G10" i="81" s="1"/>
  <c r="F11" i="81" s="1"/>
  <c r="G7" i="80"/>
  <c r="E68" i="77"/>
  <c r="D68" i="77" s="1"/>
  <c r="G68" i="77" s="1"/>
  <c r="F69" i="77" s="1"/>
  <c r="G10" i="78"/>
  <c r="F11" i="78" s="1"/>
  <c r="E10" i="78"/>
  <c r="D10" i="78" s="1"/>
  <c r="E10" i="77"/>
  <c r="D10" i="77" s="1"/>
  <c r="G10" i="77" s="1"/>
  <c r="F11" i="77" s="1"/>
  <c r="E10" i="75"/>
  <c r="D10" i="75" s="1"/>
  <c r="G10" i="75" s="1"/>
  <c r="F11" i="75" s="1"/>
  <c r="E9" i="74"/>
  <c r="D9" i="74" s="1"/>
  <c r="G9" i="74" s="1"/>
  <c r="F10" i="74" s="1"/>
  <c r="E9" i="71"/>
  <c r="D9" i="71" s="1"/>
  <c r="G9" i="71" s="1"/>
  <c r="F10" i="71" s="1"/>
  <c r="E9" i="72"/>
  <c r="D9" i="72" s="1"/>
  <c r="G9" i="72" s="1"/>
  <c r="F10" i="72" s="1"/>
  <c r="E9" i="69"/>
  <c r="D9" i="69" s="1"/>
  <c r="G9" i="69" s="1"/>
  <c r="F10" i="69" s="1"/>
  <c r="E9" i="68"/>
  <c r="D9" i="68" s="1"/>
  <c r="G9" i="68" s="1"/>
  <c r="F10" i="68" s="1"/>
  <c r="E9" i="65"/>
  <c r="D9" i="65" s="1"/>
  <c r="G9" i="65" s="1"/>
  <c r="F10" i="65" s="1"/>
  <c r="G10" i="84" l="1"/>
  <c r="F11" i="84" s="1"/>
  <c r="E10" i="84"/>
  <c r="D10" i="84" s="1"/>
  <c r="E66" i="83"/>
  <c r="D66" i="83" s="1"/>
  <c r="G66" i="83" s="1"/>
  <c r="F67" i="83" s="1"/>
  <c r="E10" i="83"/>
  <c r="D10" i="83" s="1"/>
  <c r="G10" i="83" s="1"/>
  <c r="F11" i="83" s="1"/>
  <c r="E66" i="84"/>
  <c r="D66" i="84" s="1"/>
  <c r="G66" i="84" s="1"/>
  <c r="F67" i="84" s="1"/>
  <c r="E74" i="81"/>
  <c r="D74" i="81" s="1"/>
  <c r="G74" i="81" s="1"/>
  <c r="F75" i="81" s="1"/>
  <c r="E11" i="81"/>
  <c r="D11" i="81" s="1"/>
  <c r="G11" i="81" s="1"/>
  <c r="F12" i="81" s="1"/>
  <c r="F8" i="80"/>
  <c r="E64" i="80" s="1"/>
  <c r="F64" i="80"/>
  <c r="E8" i="80"/>
  <c r="E69" i="77"/>
  <c r="D69" i="77" s="1"/>
  <c r="G69" i="77" s="1"/>
  <c r="F70" i="77" s="1"/>
  <c r="E11" i="77"/>
  <c r="D11" i="77" s="1"/>
  <c r="G11" i="77" s="1"/>
  <c r="F12" i="77" s="1"/>
  <c r="E11" i="78"/>
  <c r="D11" i="78" s="1"/>
  <c r="G11" i="78" s="1"/>
  <c r="F12" i="78" s="1"/>
  <c r="E11" i="75"/>
  <c r="D11" i="75" s="1"/>
  <c r="G11" i="75" s="1"/>
  <c r="F12" i="75" s="1"/>
  <c r="E10" i="74"/>
  <c r="D10" i="74" s="1"/>
  <c r="G10" i="74" s="1"/>
  <c r="F11" i="74" s="1"/>
  <c r="E10" i="72"/>
  <c r="D10" i="72" s="1"/>
  <c r="G10" i="72" s="1"/>
  <c r="F11" i="72" s="1"/>
  <c r="E10" i="71"/>
  <c r="D10" i="71" s="1"/>
  <c r="G10" i="71" s="1"/>
  <c r="F11" i="71" s="1"/>
  <c r="E10" i="69"/>
  <c r="D10" i="69" s="1"/>
  <c r="G10" i="69" s="1"/>
  <c r="F11" i="69" s="1"/>
  <c r="E10" i="68"/>
  <c r="D10" i="68" s="1"/>
  <c r="G10" i="68" s="1"/>
  <c r="F11" i="68" s="1"/>
  <c r="E10" i="65"/>
  <c r="D10" i="65" s="1"/>
  <c r="G10" i="65" s="1"/>
  <c r="F11" i="65" s="1"/>
  <c r="E67" i="84" l="1"/>
  <c r="D67" i="84" s="1"/>
  <c r="G67" i="84" s="1"/>
  <c r="F68" i="84" s="1"/>
  <c r="E11" i="83"/>
  <c r="D11" i="83" s="1"/>
  <c r="G11" i="83" s="1"/>
  <c r="F12" i="83" s="1"/>
  <c r="E67" i="83"/>
  <c r="D67" i="83" s="1"/>
  <c r="G67" i="83" s="1"/>
  <c r="F68" i="83" s="1"/>
  <c r="E11" i="84"/>
  <c r="D11" i="84" s="1"/>
  <c r="G11" i="84" s="1"/>
  <c r="F12" i="84" s="1"/>
  <c r="E75" i="81"/>
  <c r="D75" i="81" s="1"/>
  <c r="G75" i="81" s="1"/>
  <c r="F76" i="81" s="1"/>
  <c r="E12" i="81"/>
  <c r="D12" i="81" s="1"/>
  <c r="G12" i="81" s="1"/>
  <c r="F13" i="81" s="1"/>
  <c r="D8" i="80"/>
  <c r="G8" i="80" s="1"/>
  <c r="D64" i="80"/>
  <c r="G64" i="80" s="1"/>
  <c r="F65" i="80" s="1"/>
  <c r="E65" i="80" s="1"/>
  <c r="D65" i="80" s="1"/>
  <c r="G65" i="80" s="1"/>
  <c r="F66" i="80" s="1"/>
  <c r="E66" i="80" s="1"/>
  <c r="D66" i="80" s="1"/>
  <c r="G66" i="80" s="1"/>
  <c r="F67" i="80" s="1"/>
  <c r="E67" i="80" s="1"/>
  <c r="D67" i="80" s="1"/>
  <c r="G67" i="80" s="1"/>
  <c r="F68" i="80" s="1"/>
  <c r="E68" i="80" s="1"/>
  <c r="D68" i="80" s="1"/>
  <c r="G68" i="80" s="1"/>
  <c r="F9" i="80"/>
  <c r="E70" i="77"/>
  <c r="D70" i="77" s="1"/>
  <c r="G70" i="77" s="1"/>
  <c r="F71" i="77" s="1"/>
  <c r="G12" i="77"/>
  <c r="F13" i="77" s="1"/>
  <c r="E12" i="77"/>
  <c r="D12" i="77" s="1"/>
  <c r="E12" i="78"/>
  <c r="D12" i="78" s="1"/>
  <c r="G12" i="78" s="1"/>
  <c r="F13" i="78" s="1"/>
  <c r="E12" i="75"/>
  <c r="D12" i="75" s="1"/>
  <c r="G12" i="75" s="1"/>
  <c r="F13" i="75" s="1"/>
  <c r="E11" i="74"/>
  <c r="D11" i="74" s="1"/>
  <c r="G11" i="74" s="1"/>
  <c r="F12" i="74" s="1"/>
  <c r="E11" i="71"/>
  <c r="D11" i="71" s="1"/>
  <c r="G11" i="71" s="1"/>
  <c r="F12" i="71" s="1"/>
  <c r="E11" i="72"/>
  <c r="D11" i="72" s="1"/>
  <c r="G11" i="72" s="1"/>
  <c r="F12" i="72" s="1"/>
  <c r="E11" i="69"/>
  <c r="D11" i="69" s="1"/>
  <c r="G11" i="69" s="1"/>
  <c r="F12" i="69" s="1"/>
  <c r="E11" i="68"/>
  <c r="D11" i="68" s="1"/>
  <c r="G11" i="68" s="1"/>
  <c r="F12" i="68" s="1"/>
  <c r="E11" i="65"/>
  <c r="D11" i="65" s="1"/>
  <c r="G11" i="65" s="1"/>
  <c r="F12" i="65" s="1"/>
  <c r="E68" i="84" l="1"/>
  <c r="D68" i="84" s="1"/>
  <c r="G68" i="84" s="1"/>
  <c r="F69" i="84" s="1"/>
  <c r="E12" i="84"/>
  <c r="D12" i="84" s="1"/>
  <c r="G12" i="84" s="1"/>
  <c r="F13" i="84" s="1"/>
  <c r="E68" i="83"/>
  <c r="D68" i="83" s="1"/>
  <c r="G68" i="83" s="1"/>
  <c r="F69" i="83" s="1"/>
  <c r="E12" i="83"/>
  <c r="D12" i="83" s="1"/>
  <c r="G12" i="83"/>
  <c r="F13" i="83" s="1"/>
  <c r="E76" i="81"/>
  <c r="D76" i="81" s="1"/>
  <c r="G76" i="81" s="1"/>
  <c r="F77" i="81" s="1"/>
  <c r="E13" i="81"/>
  <c r="D13" i="81" s="1"/>
  <c r="G13" i="81" s="1"/>
  <c r="F14" i="81" s="1"/>
  <c r="F69" i="80"/>
  <c r="E69" i="80" s="1"/>
  <c r="D69" i="80" s="1"/>
  <c r="G69" i="80" s="1"/>
  <c r="F70" i="80" s="1"/>
  <c r="E70" i="80" s="1"/>
  <c r="D70" i="80" s="1"/>
  <c r="G70" i="80" s="1"/>
  <c r="F71" i="80" s="1"/>
  <c r="E71" i="80" s="1"/>
  <c r="D71" i="80" s="1"/>
  <c r="G71" i="80" s="1"/>
  <c r="F72" i="80" s="1"/>
  <c r="E72" i="80" s="1"/>
  <c r="D72" i="80" s="1"/>
  <c r="G72" i="80" s="1"/>
  <c r="F73" i="80" s="1"/>
  <c r="E73" i="80" s="1"/>
  <c r="D73" i="80" s="1"/>
  <c r="G73" i="80" s="1"/>
  <c r="F74" i="80" s="1"/>
  <c r="E74" i="80" s="1"/>
  <c r="D74" i="80" s="1"/>
  <c r="G74" i="80" s="1"/>
  <c r="F75" i="80" s="1"/>
  <c r="E75" i="80" s="1"/>
  <c r="D75" i="80" s="1"/>
  <c r="G75" i="80" s="1"/>
  <c r="F76" i="80" s="1"/>
  <c r="E76" i="80" s="1"/>
  <c r="E9" i="80"/>
  <c r="D9" i="80" s="1"/>
  <c r="G9" i="80" s="1"/>
  <c r="F10" i="80" s="1"/>
  <c r="E71" i="77"/>
  <c r="D71" i="77" s="1"/>
  <c r="G71" i="77" s="1"/>
  <c r="F72" i="77" s="1"/>
  <c r="E13" i="78"/>
  <c r="D13" i="78" s="1"/>
  <c r="G13" i="78" s="1"/>
  <c r="F14" i="78" s="1"/>
  <c r="E13" i="77"/>
  <c r="D13" i="77" s="1"/>
  <c r="G13" i="77" s="1"/>
  <c r="F14" i="77" s="1"/>
  <c r="E13" i="75"/>
  <c r="D13" i="75" s="1"/>
  <c r="G13" i="75" s="1"/>
  <c r="F14" i="75" s="1"/>
  <c r="E12" i="74"/>
  <c r="D12" i="74" s="1"/>
  <c r="G12" i="74" s="1"/>
  <c r="F13" i="74" s="1"/>
  <c r="E12" i="72"/>
  <c r="D12" i="72" s="1"/>
  <c r="G12" i="72" s="1"/>
  <c r="F13" i="72" s="1"/>
  <c r="E12" i="71"/>
  <c r="D12" i="71" s="1"/>
  <c r="G12" i="71" s="1"/>
  <c r="F13" i="71" s="1"/>
  <c r="E12" i="69"/>
  <c r="D12" i="69" s="1"/>
  <c r="G12" i="69" s="1"/>
  <c r="F13" i="69" s="1"/>
  <c r="E12" i="68"/>
  <c r="D12" i="68" s="1"/>
  <c r="G12" i="68" s="1"/>
  <c r="F13" i="68" s="1"/>
  <c r="E12" i="65"/>
  <c r="D12" i="65" s="1"/>
  <c r="G12" i="65" s="1"/>
  <c r="F13" i="65" s="1"/>
  <c r="E69" i="83" l="1"/>
  <c r="D69" i="83" s="1"/>
  <c r="G69" i="83" s="1"/>
  <c r="F70" i="83" s="1"/>
  <c r="E13" i="84"/>
  <c r="D13" i="84" s="1"/>
  <c r="G13" i="84" s="1"/>
  <c r="F14" i="84" s="1"/>
  <c r="E13" i="83"/>
  <c r="D13" i="83" s="1"/>
  <c r="G13" i="83" s="1"/>
  <c r="F14" i="83" s="1"/>
  <c r="E69" i="84"/>
  <c r="D69" i="84" s="1"/>
  <c r="G69" i="84" s="1"/>
  <c r="F70" i="84" s="1"/>
  <c r="E77" i="81"/>
  <c r="D77" i="81" s="1"/>
  <c r="G77" i="81" s="1"/>
  <c r="F78" i="81" s="1"/>
  <c r="E14" i="81"/>
  <c r="D14" i="81" s="1"/>
  <c r="G14" i="81" s="1"/>
  <c r="F15" i="81" s="1"/>
  <c r="D76" i="80"/>
  <c r="G76" i="80" s="1"/>
  <c r="F77" i="80" s="1"/>
  <c r="E77" i="80" s="1"/>
  <c r="E10" i="80"/>
  <c r="D10" i="80" s="1"/>
  <c r="G10" i="80" s="1"/>
  <c r="F11" i="80" s="1"/>
  <c r="E72" i="77"/>
  <c r="D72" i="77" s="1"/>
  <c r="G72" i="77" s="1"/>
  <c r="C73" i="77" s="1"/>
  <c r="D73" i="77" s="1"/>
  <c r="G73" i="77" s="1"/>
  <c r="G14" i="78"/>
  <c r="F15" i="78" s="1"/>
  <c r="E14" i="78"/>
  <c r="D14" i="78" s="1"/>
  <c r="E14" i="77"/>
  <c r="D14" i="77" s="1"/>
  <c r="G14" i="77" s="1"/>
  <c r="F15" i="77" s="1"/>
  <c r="E14" i="75"/>
  <c r="D14" i="75" s="1"/>
  <c r="G14" i="75" s="1"/>
  <c r="F15" i="75" s="1"/>
  <c r="E13" i="74"/>
  <c r="D13" i="74" s="1"/>
  <c r="G13" i="74" s="1"/>
  <c r="F14" i="74" s="1"/>
  <c r="E13" i="72"/>
  <c r="D13" i="72" s="1"/>
  <c r="G13" i="72" s="1"/>
  <c r="F14" i="72" s="1"/>
  <c r="E13" i="71"/>
  <c r="D13" i="71" s="1"/>
  <c r="G13" i="71" s="1"/>
  <c r="F14" i="71" s="1"/>
  <c r="E13" i="69"/>
  <c r="D13" i="69" s="1"/>
  <c r="G13" i="69" s="1"/>
  <c r="F14" i="69" s="1"/>
  <c r="E13" i="68"/>
  <c r="D13" i="68" s="1"/>
  <c r="G13" i="68" s="1"/>
  <c r="F14" i="68" s="1"/>
  <c r="E13" i="65"/>
  <c r="D13" i="65" s="1"/>
  <c r="G13" i="65" s="1"/>
  <c r="F14" i="65" s="1"/>
  <c r="E14" i="83" l="1"/>
  <c r="D14" i="83" s="1"/>
  <c r="G14" i="83" s="1"/>
  <c r="F15" i="83" s="1"/>
  <c r="E70" i="84"/>
  <c r="D70" i="84" s="1"/>
  <c r="G70" i="84" s="1"/>
  <c r="F71" i="84" s="1"/>
  <c r="E14" i="84"/>
  <c r="D14" i="84" s="1"/>
  <c r="G14" i="84" s="1"/>
  <c r="F15" i="84" s="1"/>
  <c r="E70" i="83"/>
  <c r="D70" i="83" s="1"/>
  <c r="G70" i="83" s="1"/>
  <c r="F71" i="83" s="1"/>
  <c r="E78" i="81"/>
  <c r="D78" i="81" s="1"/>
  <c r="G78" i="81" s="1"/>
  <c r="F79" i="81" s="1"/>
  <c r="E15" i="81"/>
  <c r="D15" i="81" s="1"/>
  <c r="G15" i="81" s="1"/>
  <c r="D77" i="80"/>
  <c r="G77" i="80" s="1"/>
  <c r="F78" i="80" s="1"/>
  <c r="E78" i="80" s="1"/>
  <c r="E11" i="80"/>
  <c r="D11" i="80" s="1"/>
  <c r="G11" i="80" s="1"/>
  <c r="F12" i="80" s="1"/>
  <c r="E15" i="77"/>
  <c r="D15" i="77" s="1"/>
  <c r="G15" i="77" s="1"/>
  <c r="E15" i="78"/>
  <c r="D15" i="78" s="1"/>
  <c r="G15" i="78" s="1"/>
  <c r="E15" i="75"/>
  <c r="D15" i="75" s="1"/>
  <c r="G15" i="75" s="1"/>
  <c r="F16" i="75" s="1"/>
  <c r="E14" i="74"/>
  <c r="D14" i="74" s="1"/>
  <c r="G14" i="74" s="1"/>
  <c r="F15" i="74" s="1"/>
  <c r="E14" i="71"/>
  <c r="D14" i="71" s="1"/>
  <c r="G14" i="71" s="1"/>
  <c r="F15" i="71" s="1"/>
  <c r="E14" i="72"/>
  <c r="D14" i="72" s="1"/>
  <c r="G14" i="72" s="1"/>
  <c r="F15" i="72" s="1"/>
  <c r="E14" i="69"/>
  <c r="D14" i="69" s="1"/>
  <c r="G14" i="69" s="1"/>
  <c r="F15" i="69" s="1"/>
  <c r="E14" i="68"/>
  <c r="D14" i="68" s="1"/>
  <c r="G14" i="68" s="1"/>
  <c r="F15" i="68" s="1"/>
  <c r="E14" i="65"/>
  <c r="D14" i="65" s="1"/>
  <c r="G14" i="65" s="1"/>
  <c r="F15" i="65" s="1"/>
  <c r="E15" i="84" l="1"/>
  <c r="D15" i="84" s="1"/>
  <c r="G15" i="84" s="1"/>
  <c r="F16" i="84" s="1"/>
  <c r="E71" i="83"/>
  <c r="D71" i="83" s="1"/>
  <c r="G71" i="83" s="1"/>
  <c r="F72" i="83" s="1"/>
  <c r="E71" i="84"/>
  <c r="D71" i="84" s="1"/>
  <c r="G71" i="84" s="1"/>
  <c r="F72" i="84" s="1"/>
  <c r="E15" i="83"/>
  <c r="D15" i="83" s="1"/>
  <c r="G15" i="83" s="1"/>
  <c r="F16" i="83" s="1"/>
  <c r="E79" i="81"/>
  <c r="D79" i="81" s="1"/>
  <c r="G79" i="81" s="1"/>
  <c r="F80" i="81" s="1"/>
  <c r="F16" i="81"/>
  <c r="D78" i="80"/>
  <c r="G78" i="80" s="1"/>
  <c r="F79" i="80" s="1"/>
  <c r="E79" i="80" s="1"/>
  <c r="E12" i="80"/>
  <c r="D12" i="80" s="1"/>
  <c r="G12" i="80" s="1"/>
  <c r="F13" i="80" s="1"/>
  <c r="F16" i="77"/>
  <c r="F40" i="77"/>
  <c r="F16" i="78"/>
  <c r="F40" i="78"/>
  <c r="E16" i="75"/>
  <c r="D16" i="75" s="1"/>
  <c r="G16" i="75" s="1"/>
  <c r="F17" i="75" s="1"/>
  <c r="E15" i="74"/>
  <c r="D15" i="74" s="1"/>
  <c r="G15" i="74" s="1"/>
  <c r="F16" i="74" s="1"/>
  <c r="E15" i="72"/>
  <c r="D15" i="72" s="1"/>
  <c r="G15" i="72" s="1"/>
  <c r="F16" i="72" s="1"/>
  <c r="E15" i="71"/>
  <c r="D15" i="71" s="1"/>
  <c r="G15" i="71" s="1"/>
  <c r="F16" i="71" s="1"/>
  <c r="E15" i="69"/>
  <c r="D15" i="69" s="1"/>
  <c r="G15" i="69" s="1"/>
  <c r="F16" i="69" s="1"/>
  <c r="E15" i="68"/>
  <c r="D15" i="68" s="1"/>
  <c r="G15" i="68" s="1"/>
  <c r="E15" i="65"/>
  <c r="D15" i="65" s="1"/>
  <c r="G15" i="65" s="1"/>
  <c r="E16" i="83" l="1"/>
  <c r="D16" i="83" s="1"/>
  <c r="G16" i="83" s="1"/>
  <c r="F17" i="83" s="1"/>
  <c r="E72" i="83"/>
  <c r="D72" i="83" s="1"/>
  <c r="G72" i="83" s="1"/>
  <c r="F73" i="83" s="1"/>
  <c r="E72" i="84"/>
  <c r="D72" i="84" s="1"/>
  <c r="G72" i="84" s="1"/>
  <c r="F73" i="84" s="1"/>
  <c r="E16" i="84"/>
  <c r="D16" i="84" s="1"/>
  <c r="G16" i="84" s="1"/>
  <c r="F17" i="84" s="1"/>
  <c r="E80" i="81"/>
  <c r="D80" i="81" s="1"/>
  <c r="G80" i="81" s="1"/>
  <c r="F81" i="81" s="1"/>
  <c r="E16" i="81"/>
  <c r="D79" i="80"/>
  <c r="G79" i="80" s="1"/>
  <c r="F80" i="80" s="1"/>
  <c r="E80" i="80" s="1"/>
  <c r="E13" i="80"/>
  <c r="D13" i="80" s="1"/>
  <c r="G13" i="80" s="1"/>
  <c r="F14" i="80" s="1"/>
  <c r="E40" i="78"/>
  <c r="E16" i="78"/>
  <c r="E16" i="77"/>
  <c r="E40" i="77"/>
  <c r="E17" i="75"/>
  <c r="D17" i="75" s="1"/>
  <c r="G17" i="75" s="1"/>
  <c r="F18" i="75" s="1"/>
  <c r="F41" i="75"/>
  <c r="E16" i="74"/>
  <c r="D16" i="74" s="1"/>
  <c r="G16" i="74" s="1"/>
  <c r="E16" i="71"/>
  <c r="D16" i="71" s="1"/>
  <c r="G16" i="71" s="1"/>
  <c r="F17" i="71" s="1"/>
  <c r="E16" i="72"/>
  <c r="D16" i="72" s="1"/>
  <c r="G16" i="72" s="1"/>
  <c r="F17" i="72" s="1"/>
  <c r="E16" i="69"/>
  <c r="D16" i="69" s="1"/>
  <c r="G16" i="69" s="1"/>
  <c r="F17" i="69" s="1"/>
  <c r="F16" i="68"/>
  <c r="E40" i="65"/>
  <c r="D40" i="65" s="1"/>
  <c r="F16" i="65"/>
  <c r="F40" i="65"/>
  <c r="E73" i="84" l="1"/>
  <c r="D73" i="84" s="1"/>
  <c r="G73" i="84" s="1"/>
  <c r="F74" i="84" s="1"/>
  <c r="E17" i="84"/>
  <c r="D17" i="84" s="1"/>
  <c r="G17" i="84" s="1"/>
  <c r="F18" i="84" s="1"/>
  <c r="E73" i="83"/>
  <c r="D73" i="83" s="1"/>
  <c r="G73" i="83" s="1"/>
  <c r="F74" i="83" s="1"/>
  <c r="E17" i="83"/>
  <c r="D17" i="83" s="1"/>
  <c r="G17" i="83" s="1"/>
  <c r="F18" i="83" s="1"/>
  <c r="E81" i="81"/>
  <c r="D81" i="81" s="1"/>
  <c r="G81" i="81" s="1"/>
  <c r="F82" i="81" s="1"/>
  <c r="D16" i="81"/>
  <c r="G16" i="81" s="1"/>
  <c r="D80" i="80"/>
  <c r="G80" i="80" s="1"/>
  <c r="F81" i="80" s="1"/>
  <c r="E81" i="80" s="1"/>
  <c r="E14" i="80"/>
  <c r="D14" i="80" s="1"/>
  <c r="G14" i="80" s="1"/>
  <c r="F15" i="80" s="1"/>
  <c r="D16" i="77"/>
  <c r="G16" i="77" s="1"/>
  <c r="D40" i="77"/>
  <c r="G40" i="77" s="1"/>
  <c r="D40" i="78"/>
  <c r="G40" i="78" s="1"/>
  <c r="D16" i="78"/>
  <c r="G16" i="78" s="1"/>
  <c r="E18" i="75"/>
  <c r="D18" i="75" s="1"/>
  <c r="G18" i="75" s="1"/>
  <c r="F19" i="75" s="1"/>
  <c r="D41" i="75"/>
  <c r="G41" i="75" s="1"/>
  <c r="F42" i="75" s="1"/>
  <c r="F17" i="74"/>
  <c r="F41" i="74"/>
  <c r="E41" i="74" s="1"/>
  <c r="E17" i="74"/>
  <c r="D17" i="74" s="1"/>
  <c r="G17" i="74" s="1"/>
  <c r="F18" i="74" s="1"/>
  <c r="E17" i="72"/>
  <c r="D17" i="72" s="1"/>
  <c r="G17" i="72" s="1"/>
  <c r="F18" i="72" s="1"/>
  <c r="E17" i="71"/>
  <c r="D17" i="71" s="1"/>
  <c r="G17" i="71" s="1"/>
  <c r="F18" i="71" s="1"/>
  <c r="E17" i="69"/>
  <c r="D17" i="69" s="1"/>
  <c r="G17" i="69" s="1"/>
  <c r="F18" i="69" s="1"/>
  <c r="E16" i="68"/>
  <c r="D16" i="68" s="1"/>
  <c r="G16" i="68" s="1"/>
  <c r="F17" i="68" s="1"/>
  <c r="G40" i="65"/>
  <c r="F41" i="65" s="1"/>
  <c r="E16" i="65"/>
  <c r="D16" i="65" s="1"/>
  <c r="G16" i="65" s="1"/>
  <c r="F17" i="65" s="1"/>
  <c r="E74" i="83" l="1"/>
  <c r="D74" i="83" s="1"/>
  <c r="G74" i="83" s="1"/>
  <c r="F75" i="83" s="1"/>
  <c r="E18" i="84"/>
  <c r="D18" i="84" s="1"/>
  <c r="G18" i="84" s="1"/>
  <c r="F19" i="84" s="1"/>
  <c r="E18" i="83"/>
  <c r="D18" i="83" s="1"/>
  <c r="G18" i="83" s="1"/>
  <c r="F19" i="83" s="1"/>
  <c r="E74" i="84"/>
  <c r="D74" i="84" s="1"/>
  <c r="G74" i="84" s="1"/>
  <c r="F75" i="84" s="1"/>
  <c r="E82" i="81"/>
  <c r="D82" i="81" s="1"/>
  <c r="G82" i="81" s="1"/>
  <c r="F83" i="81" s="1"/>
  <c r="F17" i="81"/>
  <c r="D81" i="80"/>
  <c r="G81" i="80" s="1"/>
  <c r="F82" i="80" s="1"/>
  <c r="E82" i="80" s="1"/>
  <c r="E15" i="80"/>
  <c r="D15" i="80" s="1"/>
  <c r="G15" i="80" s="1"/>
  <c r="F16" i="80" s="1"/>
  <c r="F17" i="77"/>
  <c r="F41" i="77"/>
  <c r="F17" i="78"/>
  <c r="F41" i="78"/>
  <c r="E19" i="75"/>
  <c r="D19" i="75" s="1"/>
  <c r="G19" i="75" s="1"/>
  <c r="F20" i="75" s="1"/>
  <c r="D42" i="75"/>
  <c r="G42" i="75" s="1"/>
  <c r="F43" i="75" s="1"/>
  <c r="E43" i="75" s="1"/>
  <c r="E18" i="74"/>
  <c r="D18" i="74" s="1"/>
  <c r="G18" i="74" s="1"/>
  <c r="F19" i="74" s="1"/>
  <c r="E18" i="71"/>
  <c r="D18" i="71" s="1"/>
  <c r="G18" i="71" s="1"/>
  <c r="F19" i="71" s="1"/>
  <c r="E18" i="72"/>
  <c r="D18" i="72" s="1"/>
  <c r="G18" i="72" s="1"/>
  <c r="F19" i="72" s="1"/>
  <c r="E18" i="69"/>
  <c r="D18" i="69" s="1"/>
  <c r="G18" i="69" s="1"/>
  <c r="F19" i="69" s="1"/>
  <c r="E17" i="68"/>
  <c r="D17" i="68" s="1"/>
  <c r="G17" i="68" s="1"/>
  <c r="F18" i="68" s="1"/>
  <c r="E17" i="65"/>
  <c r="D17" i="65" s="1"/>
  <c r="G17" i="65" s="1"/>
  <c r="F18" i="65" s="1"/>
  <c r="E41" i="65"/>
  <c r="D41" i="65" s="1"/>
  <c r="G41" i="65" s="1"/>
  <c r="F42" i="65" s="1"/>
  <c r="E75" i="84" l="1"/>
  <c r="D75" i="84" s="1"/>
  <c r="G75" i="84" s="1"/>
  <c r="F76" i="84" s="1"/>
  <c r="E19" i="84"/>
  <c r="D19" i="84" s="1"/>
  <c r="G19" i="84" s="1"/>
  <c r="F20" i="84" s="1"/>
  <c r="E19" i="83"/>
  <c r="D19" i="83" s="1"/>
  <c r="G19" i="83" s="1"/>
  <c r="F20" i="83" s="1"/>
  <c r="E75" i="83"/>
  <c r="D75" i="83" s="1"/>
  <c r="G75" i="83" s="1"/>
  <c r="F76" i="83" s="1"/>
  <c r="E83" i="81"/>
  <c r="D83" i="81" s="1"/>
  <c r="G83" i="81" s="1"/>
  <c r="F84" i="81" s="1"/>
  <c r="E17" i="81"/>
  <c r="D17" i="81" s="1"/>
  <c r="G17" i="81" s="1"/>
  <c r="F18" i="81" s="1"/>
  <c r="D82" i="80"/>
  <c r="G82" i="80" s="1"/>
  <c r="F83" i="80" s="1"/>
  <c r="E83" i="80" s="1"/>
  <c r="E16" i="80"/>
  <c r="D16" i="80" s="1"/>
  <c r="G16" i="80" s="1"/>
  <c r="F17" i="80" s="1"/>
  <c r="G17" i="77"/>
  <c r="F18" i="77" s="1"/>
  <c r="E17" i="77"/>
  <c r="D17" i="77" s="1"/>
  <c r="E41" i="78"/>
  <c r="D41" i="78" s="1"/>
  <c r="G41" i="78" s="1"/>
  <c r="F42" i="78" s="1"/>
  <c r="E17" i="78"/>
  <c r="D17" i="78" s="1"/>
  <c r="G17" i="78" s="1"/>
  <c r="F18" i="78" s="1"/>
  <c r="E41" i="77"/>
  <c r="D41" i="77" s="1"/>
  <c r="G41" i="77" s="1"/>
  <c r="F42" i="77" s="1"/>
  <c r="E20" i="75"/>
  <c r="D20" i="75" s="1"/>
  <c r="G20" i="75" s="1"/>
  <c r="F21" i="75" s="1"/>
  <c r="D43" i="75"/>
  <c r="G43" i="75" s="1"/>
  <c r="F44" i="75" s="1"/>
  <c r="E44" i="75" s="1"/>
  <c r="E19" i="74"/>
  <c r="D19" i="74" s="1"/>
  <c r="G19" i="74" s="1"/>
  <c r="F20" i="74" s="1"/>
  <c r="E19" i="72"/>
  <c r="D19" i="72" s="1"/>
  <c r="G19" i="72" s="1"/>
  <c r="F20" i="72" s="1"/>
  <c r="E19" i="71"/>
  <c r="D19" i="71" s="1"/>
  <c r="G19" i="71" s="1"/>
  <c r="F20" i="71" s="1"/>
  <c r="E19" i="69"/>
  <c r="D19" i="69" s="1"/>
  <c r="G19" i="69" s="1"/>
  <c r="F20" i="69" s="1"/>
  <c r="E18" i="68"/>
  <c r="D18" i="68" s="1"/>
  <c r="G18" i="68" s="1"/>
  <c r="F19" i="68" s="1"/>
  <c r="E42" i="65"/>
  <c r="D42" i="65" s="1"/>
  <c r="G42" i="65" s="1"/>
  <c r="F43" i="65" s="1"/>
  <c r="E18" i="65"/>
  <c r="D18" i="65" s="1"/>
  <c r="G18" i="65" s="1"/>
  <c r="F19" i="65" s="1"/>
  <c r="E76" i="83" l="1"/>
  <c r="D76" i="83" s="1"/>
  <c r="G76" i="83" s="1"/>
  <c r="F77" i="83" s="1"/>
  <c r="E20" i="84"/>
  <c r="D20" i="84" s="1"/>
  <c r="G20" i="84" s="1"/>
  <c r="F21" i="84" s="1"/>
  <c r="E20" i="83"/>
  <c r="D20" i="83" s="1"/>
  <c r="G20" i="83" s="1"/>
  <c r="F21" i="83" s="1"/>
  <c r="E76" i="84"/>
  <c r="D76" i="84" s="1"/>
  <c r="G76" i="84" s="1"/>
  <c r="F77" i="84" s="1"/>
  <c r="E84" i="81"/>
  <c r="D84" i="81" s="1"/>
  <c r="G84" i="81" s="1"/>
  <c r="F85" i="81" s="1"/>
  <c r="E18" i="81"/>
  <c r="D18" i="81" s="1"/>
  <c r="G18" i="81" s="1"/>
  <c r="F19" i="81" s="1"/>
  <c r="D83" i="80"/>
  <c r="G83" i="80" s="1"/>
  <c r="F84" i="80" s="1"/>
  <c r="E84" i="80" s="1"/>
  <c r="E17" i="80"/>
  <c r="D17" i="80" s="1"/>
  <c r="G17" i="80" s="1"/>
  <c r="G18" i="78"/>
  <c r="F19" i="78" s="1"/>
  <c r="E18" i="78"/>
  <c r="D18" i="78" s="1"/>
  <c r="E42" i="77"/>
  <c r="D42" i="77" s="1"/>
  <c r="G42" i="77" s="1"/>
  <c r="F43" i="77" s="1"/>
  <c r="E42" i="78"/>
  <c r="D42" i="78" s="1"/>
  <c r="G42" i="78" s="1"/>
  <c r="F43" i="78" s="1"/>
  <c r="E18" i="77"/>
  <c r="D18" i="77" s="1"/>
  <c r="G18" i="77" s="1"/>
  <c r="F19" i="77" s="1"/>
  <c r="E21" i="75"/>
  <c r="D21" i="75" s="1"/>
  <c r="G21" i="75" s="1"/>
  <c r="F22" i="75" s="1"/>
  <c r="D44" i="75"/>
  <c r="G44" i="75" s="1"/>
  <c r="F45" i="75" s="1"/>
  <c r="E45" i="75" s="1"/>
  <c r="E20" i="74"/>
  <c r="D20" i="74" s="1"/>
  <c r="G20" i="74" s="1"/>
  <c r="F21" i="74" s="1"/>
  <c r="E20" i="71"/>
  <c r="D20" i="71" s="1"/>
  <c r="G20" i="71" s="1"/>
  <c r="F21" i="71" s="1"/>
  <c r="E20" i="72"/>
  <c r="D20" i="72" s="1"/>
  <c r="G20" i="72" s="1"/>
  <c r="F21" i="72" s="1"/>
  <c r="E20" i="69"/>
  <c r="D20" i="69" s="1"/>
  <c r="G20" i="69" s="1"/>
  <c r="F21" i="69" s="1"/>
  <c r="E19" i="68"/>
  <c r="D19" i="68" s="1"/>
  <c r="G19" i="68" s="1"/>
  <c r="F20" i="68" s="1"/>
  <c r="E19" i="65"/>
  <c r="D19" i="65" s="1"/>
  <c r="G19" i="65" s="1"/>
  <c r="F20" i="65" s="1"/>
  <c r="E43" i="65"/>
  <c r="D43" i="65" s="1"/>
  <c r="G43" i="65" s="1"/>
  <c r="F44" i="65" s="1"/>
  <c r="E21" i="84" l="1"/>
  <c r="D21" i="84" s="1"/>
  <c r="G21" i="84" s="1"/>
  <c r="F22" i="84" s="1"/>
  <c r="E77" i="84"/>
  <c r="D77" i="84" s="1"/>
  <c r="G77" i="84" s="1"/>
  <c r="F78" i="84" s="1"/>
  <c r="E21" i="83"/>
  <c r="D21" i="83" s="1"/>
  <c r="G21" i="83" s="1"/>
  <c r="F22" i="83" s="1"/>
  <c r="E77" i="83"/>
  <c r="D77" i="83" s="1"/>
  <c r="G77" i="83" s="1"/>
  <c r="F78" i="83" s="1"/>
  <c r="E85" i="81"/>
  <c r="D85" i="81" s="1"/>
  <c r="G85" i="81" s="1"/>
  <c r="F86" i="81" s="1"/>
  <c r="E19" i="81"/>
  <c r="D19" i="81" s="1"/>
  <c r="G19" i="81" s="1"/>
  <c r="F20" i="81" s="1"/>
  <c r="D84" i="80"/>
  <c r="G84" i="80" s="1"/>
  <c r="F85" i="80" s="1"/>
  <c r="E85" i="80" s="1"/>
  <c r="F18" i="80"/>
  <c r="E43" i="78"/>
  <c r="D43" i="78" s="1"/>
  <c r="G43" i="78" s="1"/>
  <c r="F44" i="78" s="1"/>
  <c r="E19" i="77"/>
  <c r="D19" i="77" s="1"/>
  <c r="G19" i="77" s="1"/>
  <c r="F20" i="77" s="1"/>
  <c r="E43" i="77"/>
  <c r="D43" i="77" s="1"/>
  <c r="G43" i="77" s="1"/>
  <c r="F44" i="77" s="1"/>
  <c r="E19" i="78"/>
  <c r="D19" i="78" s="1"/>
  <c r="G19" i="78" s="1"/>
  <c r="F20" i="78" s="1"/>
  <c r="E22" i="75"/>
  <c r="D22" i="75" s="1"/>
  <c r="G22" i="75" s="1"/>
  <c r="F23" i="75" s="1"/>
  <c r="D45" i="75"/>
  <c r="G45" i="75" s="1"/>
  <c r="F46" i="75" s="1"/>
  <c r="E46" i="75" s="1"/>
  <c r="E21" i="74"/>
  <c r="D21" i="74" s="1"/>
  <c r="G21" i="74" s="1"/>
  <c r="F22" i="74" s="1"/>
  <c r="E21" i="71"/>
  <c r="D21" i="71" s="1"/>
  <c r="G21" i="71" s="1"/>
  <c r="F22" i="71" s="1"/>
  <c r="E21" i="72"/>
  <c r="D21" i="72" s="1"/>
  <c r="G21" i="72" s="1"/>
  <c r="F22" i="72" s="1"/>
  <c r="E21" i="69"/>
  <c r="D21" i="69" s="1"/>
  <c r="G21" i="69" s="1"/>
  <c r="F22" i="69" s="1"/>
  <c r="E20" i="68"/>
  <c r="D20" i="68" s="1"/>
  <c r="G20" i="68" s="1"/>
  <c r="F21" i="68" s="1"/>
  <c r="E44" i="65"/>
  <c r="D44" i="65" s="1"/>
  <c r="G44" i="65" s="1"/>
  <c r="F45" i="65" s="1"/>
  <c r="E20" i="65"/>
  <c r="D20" i="65" s="1"/>
  <c r="G20" i="65" s="1"/>
  <c r="F21" i="65" s="1"/>
  <c r="E78" i="83" l="1"/>
  <c r="D78" i="83" s="1"/>
  <c r="G78" i="83" s="1"/>
  <c r="F79" i="83" s="1"/>
  <c r="E22" i="83"/>
  <c r="D22" i="83" s="1"/>
  <c r="G22" i="83" s="1"/>
  <c r="F23" i="83" s="1"/>
  <c r="E78" i="84"/>
  <c r="D78" i="84" s="1"/>
  <c r="G78" i="84" s="1"/>
  <c r="F79" i="84" s="1"/>
  <c r="E22" i="84"/>
  <c r="D22" i="84" s="1"/>
  <c r="G22" i="84" s="1"/>
  <c r="F23" i="84" s="1"/>
  <c r="E86" i="81"/>
  <c r="D86" i="81" s="1"/>
  <c r="G86" i="81" s="1"/>
  <c r="F87" i="81" s="1"/>
  <c r="E20" i="81"/>
  <c r="D20" i="81" s="1"/>
  <c r="G20" i="81" s="1"/>
  <c r="F21" i="81" s="1"/>
  <c r="D85" i="80"/>
  <c r="G85" i="80" s="1"/>
  <c r="F86" i="80" s="1"/>
  <c r="E86" i="80" s="1"/>
  <c r="E18" i="80"/>
  <c r="D18" i="80" s="1"/>
  <c r="G18" i="80" s="1"/>
  <c r="F19" i="80" s="1"/>
  <c r="G44" i="77"/>
  <c r="F45" i="77" s="1"/>
  <c r="E44" i="77"/>
  <c r="D44" i="77" s="1"/>
  <c r="E20" i="78"/>
  <c r="D20" i="78" s="1"/>
  <c r="G20" i="78" s="1"/>
  <c r="F21" i="78" s="1"/>
  <c r="E20" i="77"/>
  <c r="D20" i="77" s="1"/>
  <c r="G20" i="77" s="1"/>
  <c r="F21" i="77" s="1"/>
  <c r="E44" i="78"/>
  <c r="D44" i="78" s="1"/>
  <c r="G44" i="78" s="1"/>
  <c r="F45" i="78" s="1"/>
  <c r="E23" i="75"/>
  <c r="D23" i="75" s="1"/>
  <c r="G23" i="75" s="1"/>
  <c r="F24" i="75" s="1"/>
  <c r="D46" i="75"/>
  <c r="G46" i="75" s="1"/>
  <c r="F47" i="75" s="1"/>
  <c r="E47" i="75" s="1"/>
  <c r="E22" i="74"/>
  <c r="D22" i="74" s="1"/>
  <c r="G22" i="74" s="1"/>
  <c r="F23" i="74" s="1"/>
  <c r="E22" i="72"/>
  <c r="D22" i="72" s="1"/>
  <c r="G22" i="72" s="1"/>
  <c r="F23" i="72" s="1"/>
  <c r="E22" i="71"/>
  <c r="D22" i="71" s="1"/>
  <c r="G22" i="71" s="1"/>
  <c r="F23" i="71" s="1"/>
  <c r="E22" i="69"/>
  <c r="D22" i="69" s="1"/>
  <c r="G22" i="69" s="1"/>
  <c r="F23" i="69" s="1"/>
  <c r="E21" i="68"/>
  <c r="D21" i="68" s="1"/>
  <c r="G21" i="68" s="1"/>
  <c r="F22" i="68" s="1"/>
  <c r="E21" i="65"/>
  <c r="D21" i="65" s="1"/>
  <c r="G21" i="65" s="1"/>
  <c r="F22" i="65" s="1"/>
  <c r="E45" i="65"/>
  <c r="D45" i="65" s="1"/>
  <c r="G45" i="65" s="1"/>
  <c r="F46" i="65" s="1"/>
  <c r="E23" i="84" l="1"/>
  <c r="D23" i="84" s="1"/>
  <c r="G23" i="84" s="1"/>
  <c r="F24" i="84" s="1"/>
  <c r="E79" i="84"/>
  <c r="D79" i="84" s="1"/>
  <c r="G79" i="84" s="1"/>
  <c r="F80" i="84" s="1"/>
  <c r="E23" i="83"/>
  <c r="D23" i="83" s="1"/>
  <c r="G23" i="83" s="1"/>
  <c r="F24" i="83" s="1"/>
  <c r="E79" i="83"/>
  <c r="D79" i="83" s="1"/>
  <c r="G79" i="83" s="1"/>
  <c r="F80" i="83" s="1"/>
  <c r="E87" i="81"/>
  <c r="D87" i="81" s="1"/>
  <c r="G87" i="81" s="1"/>
  <c r="F88" i="81" s="1"/>
  <c r="E21" i="81"/>
  <c r="D21" i="81" s="1"/>
  <c r="G21" i="81" s="1"/>
  <c r="F22" i="81" s="1"/>
  <c r="D86" i="80"/>
  <c r="G86" i="80" s="1"/>
  <c r="F87" i="80" s="1"/>
  <c r="E87" i="80" s="1"/>
  <c r="E19" i="80"/>
  <c r="D19" i="80" s="1"/>
  <c r="G19" i="80" s="1"/>
  <c r="F20" i="80" s="1"/>
  <c r="E45" i="78"/>
  <c r="D45" i="78" s="1"/>
  <c r="G45" i="78" s="1"/>
  <c r="F46" i="78" s="1"/>
  <c r="E21" i="77"/>
  <c r="D21" i="77" s="1"/>
  <c r="G21" i="77" s="1"/>
  <c r="F22" i="77" s="1"/>
  <c r="E21" i="78"/>
  <c r="D21" i="78" s="1"/>
  <c r="G21" i="78" s="1"/>
  <c r="F22" i="78" s="1"/>
  <c r="E45" i="77"/>
  <c r="D45" i="77" s="1"/>
  <c r="G45" i="77" s="1"/>
  <c r="F46" i="77" s="1"/>
  <c r="E24" i="75"/>
  <c r="D24" i="75" s="1"/>
  <c r="G24" i="75" s="1"/>
  <c r="F25" i="75" s="1"/>
  <c r="D47" i="75"/>
  <c r="G47" i="75" s="1"/>
  <c r="F48" i="75" s="1"/>
  <c r="E48" i="75" s="1"/>
  <c r="E23" i="74"/>
  <c r="D23" i="74" s="1"/>
  <c r="G23" i="74" s="1"/>
  <c r="F24" i="74" s="1"/>
  <c r="E23" i="71"/>
  <c r="D23" i="71" s="1"/>
  <c r="G23" i="71" s="1"/>
  <c r="F24" i="71" s="1"/>
  <c r="E23" i="72"/>
  <c r="D23" i="72" s="1"/>
  <c r="G23" i="72" s="1"/>
  <c r="F24" i="72" s="1"/>
  <c r="E23" i="69"/>
  <c r="D23" i="69" s="1"/>
  <c r="G23" i="69"/>
  <c r="F24" i="69" s="1"/>
  <c r="E22" i="68"/>
  <c r="D22" i="68" s="1"/>
  <c r="G22" i="68" s="1"/>
  <c r="F23" i="68" s="1"/>
  <c r="E46" i="65"/>
  <c r="D46" i="65" s="1"/>
  <c r="G46" i="65" s="1"/>
  <c r="F47" i="65" s="1"/>
  <c r="E22" i="65"/>
  <c r="D22" i="65" s="1"/>
  <c r="G22" i="65" s="1"/>
  <c r="F23" i="65" s="1"/>
  <c r="E80" i="84" l="1"/>
  <c r="D80" i="84" s="1"/>
  <c r="G80" i="84" s="1"/>
  <c r="F81" i="84" s="1"/>
  <c r="E80" i="83"/>
  <c r="D80" i="83" s="1"/>
  <c r="G80" i="83" s="1"/>
  <c r="F81" i="83" s="1"/>
  <c r="E24" i="83"/>
  <c r="D24" i="83" s="1"/>
  <c r="G24" i="83" s="1"/>
  <c r="F25" i="83" s="1"/>
  <c r="E24" i="84"/>
  <c r="D24" i="84" s="1"/>
  <c r="G24" i="84" s="1"/>
  <c r="F25" i="84" s="1"/>
  <c r="E88" i="81"/>
  <c r="D88" i="81" s="1"/>
  <c r="G88" i="81" s="1"/>
  <c r="F89" i="81" s="1"/>
  <c r="E22" i="81"/>
  <c r="D22" i="81" s="1"/>
  <c r="G22" i="81" s="1"/>
  <c r="F23" i="81" s="1"/>
  <c r="D87" i="80"/>
  <c r="G87" i="80" s="1"/>
  <c r="F88" i="80" s="1"/>
  <c r="E88" i="80" s="1"/>
  <c r="E20" i="80"/>
  <c r="D20" i="80" s="1"/>
  <c r="G20" i="80" s="1"/>
  <c r="F21" i="80" s="1"/>
  <c r="G22" i="78"/>
  <c r="F23" i="78" s="1"/>
  <c r="E22" i="78"/>
  <c r="D22" i="78" s="1"/>
  <c r="E46" i="77"/>
  <c r="D46" i="77" s="1"/>
  <c r="G46" i="77" s="1"/>
  <c r="F47" i="77" s="1"/>
  <c r="E22" i="77"/>
  <c r="D22" i="77" s="1"/>
  <c r="G22" i="77" s="1"/>
  <c r="F23" i="77" s="1"/>
  <c r="E46" i="78"/>
  <c r="D46" i="78" s="1"/>
  <c r="G46" i="78" s="1"/>
  <c r="F47" i="78" s="1"/>
  <c r="E25" i="75"/>
  <c r="D25" i="75" s="1"/>
  <c r="G25" i="75" s="1"/>
  <c r="F26" i="75" s="1"/>
  <c r="D48" i="75"/>
  <c r="G48" i="75" s="1"/>
  <c r="F49" i="75" s="1"/>
  <c r="E49" i="75" s="1"/>
  <c r="E24" i="74"/>
  <c r="D24" i="74" s="1"/>
  <c r="G24" i="74" s="1"/>
  <c r="F25" i="74" s="1"/>
  <c r="E24" i="72"/>
  <c r="D24" i="72" s="1"/>
  <c r="G24" i="72" s="1"/>
  <c r="F25" i="72" s="1"/>
  <c r="E24" i="71"/>
  <c r="D24" i="71" s="1"/>
  <c r="G24" i="71" s="1"/>
  <c r="F25" i="71" s="1"/>
  <c r="E24" i="69"/>
  <c r="D24" i="69" s="1"/>
  <c r="G24" i="69" s="1"/>
  <c r="F25" i="69" s="1"/>
  <c r="E23" i="68"/>
  <c r="D23" i="68" s="1"/>
  <c r="G23" i="68" s="1"/>
  <c r="F24" i="68" s="1"/>
  <c r="E23" i="65"/>
  <c r="D23" i="65" s="1"/>
  <c r="G23" i="65" s="1"/>
  <c r="F24" i="65" s="1"/>
  <c r="E47" i="65"/>
  <c r="D47" i="65" s="1"/>
  <c r="G47" i="65" s="1"/>
  <c r="F48" i="65" s="1"/>
  <c r="E81" i="83" l="1"/>
  <c r="D81" i="83" s="1"/>
  <c r="G81" i="83" s="1"/>
  <c r="F82" i="83" s="1"/>
  <c r="E25" i="84"/>
  <c r="D25" i="84" s="1"/>
  <c r="G25" i="84" s="1"/>
  <c r="F26" i="84" s="1"/>
  <c r="E25" i="83"/>
  <c r="D25" i="83" s="1"/>
  <c r="G25" i="83" s="1"/>
  <c r="F26" i="83" s="1"/>
  <c r="E81" i="84"/>
  <c r="D81" i="84" s="1"/>
  <c r="G81" i="84" s="1"/>
  <c r="F82" i="84" s="1"/>
  <c r="E89" i="81"/>
  <c r="D89" i="81" s="1"/>
  <c r="G89" i="81" s="1"/>
  <c r="F90" i="81" s="1"/>
  <c r="E23" i="81"/>
  <c r="D23" i="81" s="1"/>
  <c r="G23" i="81" s="1"/>
  <c r="F24" i="81" s="1"/>
  <c r="D88" i="80"/>
  <c r="G88" i="80" s="1"/>
  <c r="F89" i="80" s="1"/>
  <c r="E89" i="80" s="1"/>
  <c r="E21" i="80"/>
  <c r="D21" i="80" s="1"/>
  <c r="G21" i="80" s="1"/>
  <c r="F22" i="80" s="1"/>
  <c r="E47" i="78"/>
  <c r="D47" i="78" s="1"/>
  <c r="G47" i="78" s="1"/>
  <c r="F48" i="78" s="1"/>
  <c r="E23" i="77"/>
  <c r="D23" i="77" s="1"/>
  <c r="G23" i="77" s="1"/>
  <c r="F24" i="77" s="1"/>
  <c r="E47" i="77"/>
  <c r="D47" i="77" s="1"/>
  <c r="G47" i="77" s="1"/>
  <c r="F48" i="77" s="1"/>
  <c r="E23" i="78"/>
  <c r="D23" i="78" s="1"/>
  <c r="G23" i="78" s="1"/>
  <c r="F24" i="78" s="1"/>
  <c r="E26" i="75"/>
  <c r="D26" i="75" s="1"/>
  <c r="G26" i="75" s="1"/>
  <c r="F27" i="75" s="1"/>
  <c r="D49" i="75"/>
  <c r="G49" i="75" s="1"/>
  <c r="F50" i="75" s="1"/>
  <c r="E50" i="75" s="1"/>
  <c r="E25" i="74"/>
  <c r="D25" i="74" s="1"/>
  <c r="G25" i="74" s="1"/>
  <c r="F26" i="74" s="1"/>
  <c r="E25" i="71"/>
  <c r="D25" i="71" s="1"/>
  <c r="G25" i="71" s="1"/>
  <c r="F26" i="71" s="1"/>
  <c r="E25" i="72"/>
  <c r="D25" i="72" s="1"/>
  <c r="G25" i="72" s="1"/>
  <c r="F26" i="72" s="1"/>
  <c r="E25" i="69"/>
  <c r="D25" i="69" s="1"/>
  <c r="G25" i="69" s="1"/>
  <c r="F26" i="69" s="1"/>
  <c r="E24" i="68"/>
  <c r="D24" i="68" s="1"/>
  <c r="G24" i="68" s="1"/>
  <c r="F25" i="68" s="1"/>
  <c r="E48" i="65"/>
  <c r="D48" i="65" s="1"/>
  <c r="G48" i="65" s="1"/>
  <c r="F49" i="65" s="1"/>
  <c r="E24" i="65"/>
  <c r="D24" i="65" s="1"/>
  <c r="G24" i="65" s="1"/>
  <c r="F25" i="65" s="1"/>
  <c r="E26" i="84" l="1"/>
  <c r="D26" i="84" s="1"/>
  <c r="G26" i="84" s="1"/>
  <c r="F27" i="84" s="1"/>
  <c r="E82" i="84"/>
  <c r="D82" i="84" s="1"/>
  <c r="G82" i="84" s="1"/>
  <c r="F83" i="84" s="1"/>
  <c r="E26" i="83"/>
  <c r="D26" i="83" s="1"/>
  <c r="G26" i="83" s="1"/>
  <c r="F27" i="83" s="1"/>
  <c r="E82" i="83"/>
  <c r="D82" i="83" s="1"/>
  <c r="G82" i="83" s="1"/>
  <c r="F83" i="83" s="1"/>
  <c r="E90" i="81"/>
  <c r="D90" i="81" s="1"/>
  <c r="G90" i="81" s="1"/>
  <c r="F91" i="81" s="1"/>
  <c r="E24" i="81"/>
  <c r="D24" i="81" s="1"/>
  <c r="G24" i="81" s="1"/>
  <c r="F25" i="81" s="1"/>
  <c r="D89" i="80"/>
  <c r="G89" i="80" s="1"/>
  <c r="F90" i="80" s="1"/>
  <c r="E90" i="80" s="1"/>
  <c r="E22" i="80"/>
  <c r="D22" i="80" s="1"/>
  <c r="G22" i="80" s="1"/>
  <c r="F23" i="80" s="1"/>
  <c r="G24" i="78"/>
  <c r="F25" i="78" s="1"/>
  <c r="E24" i="78"/>
  <c r="D24" i="78" s="1"/>
  <c r="E48" i="77"/>
  <c r="D48" i="77" s="1"/>
  <c r="G48" i="77" s="1"/>
  <c r="F49" i="77" s="1"/>
  <c r="E24" i="77"/>
  <c r="D24" i="77" s="1"/>
  <c r="G24" i="77" s="1"/>
  <c r="F25" i="77" s="1"/>
  <c r="E48" i="78"/>
  <c r="D48" i="78" s="1"/>
  <c r="G48" i="78" s="1"/>
  <c r="F49" i="78" s="1"/>
  <c r="E27" i="75"/>
  <c r="D27" i="75" s="1"/>
  <c r="G27" i="75" s="1"/>
  <c r="F28" i="75" s="1"/>
  <c r="D50" i="75"/>
  <c r="G50" i="75" s="1"/>
  <c r="F51" i="75" s="1"/>
  <c r="E51" i="75" s="1"/>
  <c r="E26" i="74"/>
  <c r="D26" i="74" s="1"/>
  <c r="G26" i="74" s="1"/>
  <c r="F27" i="74" s="1"/>
  <c r="E26" i="72"/>
  <c r="D26" i="72" s="1"/>
  <c r="G26" i="72" s="1"/>
  <c r="F27" i="72" s="1"/>
  <c r="E26" i="71"/>
  <c r="D26" i="71" s="1"/>
  <c r="G26" i="71" s="1"/>
  <c r="F27" i="71" s="1"/>
  <c r="E26" i="69"/>
  <c r="D26" i="69" s="1"/>
  <c r="G26" i="69" s="1"/>
  <c r="F27" i="69" s="1"/>
  <c r="E25" i="68"/>
  <c r="D25" i="68" s="1"/>
  <c r="G25" i="68" s="1"/>
  <c r="F26" i="68" s="1"/>
  <c r="E25" i="65"/>
  <c r="D25" i="65" s="1"/>
  <c r="G25" i="65" s="1"/>
  <c r="F26" i="65" s="1"/>
  <c r="E49" i="65"/>
  <c r="D49" i="65" s="1"/>
  <c r="G49" i="65" s="1"/>
  <c r="F50" i="65" s="1"/>
  <c r="E27" i="83" l="1"/>
  <c r="D27" i="83" s="1"/>
  <c r="G27" i="83" s="1"/>
  <c r="F28" i="83" s="1"/>
  <c r="E83" i="84"/>
  <c r="D83" i="84" s="1"/>
  <c r="G83" i="84" s="1"/>
  <c r="F84" i="84" s="1"/>
  <c r="E83" i="83"/>
  <c r="D83" i="83" s="1"/>
  <c r="G83" i="83" s="1"/>
  <c r="F84" i="83" s="1"/>
  <c r="E27" i="84"/>
  <c r="D27" i="84" s="1"/>
  <c r="G27" i="84" s="1"/>
  <c r="F28" i="84" s="1"/>
  <c r="E91" i="81"/>
  <c r="D91" i="81" s="1"/>
  <c r="G91" i="81" s="1"/>
  <c r="F92" i="81" s="1"/>
  <c r="E25" i="81"/>
  <c r="D25" i="81" s="1"/>
  <c r="G25" i="81" s="1"/>
  <c r="F26" i="81" s="1"/>
  <c r="D90" i="80"/>
  <c r="G90" i="80" s="1"/>
  <c r="F91" i="80" s="1"/>
  <c r="E91" i="80" s="1"/>
  <c r="E23" i="80"/>
  <c r="D23" i="80" s="1"/>
  <c r="G23" i="80" s="1"/>
  <c r="F24" i="80" s="1"/>
  <c r="G25" i="77"/>
  <c r="F26" i="77" s="1"/>
  <c r="E25" i="77"/>
  <c r="D25" i="77" s="1"/>
  <c r="E49" i="78"/>
  <c r="D49" i="78" s="1"/>
  <c r="G49" i="78" s="1"/>
  <c r="F50" i="78" s="1"/>
  <c r="E49" i="77"/>
  <c r="D49" i="77" s="1"/>
  <c r="G49" i="77" s="1"/>
  <c r="F50" i="77" s="1"/>
  <c r="E25" i="78"/>
  <c r="D25" i="78" s="1"/>
  <c r="G25" i="78" s="1"/>
  <c r="F26" i="78" s="1"/>
  <c r="E28" i="75"/>
  <c r="D28" i="75" s="1"/>
  <c r="G28" i="75" s="1"/>
  <c r="F29" i="75" s="1"/>
  <c r="D51" i="75"/>
  <c r="G51" i="75" s="1"/>
  <c r="F52" i="75" s="1"/>
  <c r="E52" i="75" s="1"/>
  <c r="E27" i="74"/>
  <c r="D27" i="74" s="1"/>
  <c r="G27" i="74" s="1"/>
  <c r="E27" i="72"/>
  <c r="D27" i="72" s="1"/>
  <c r="G27" i="72" s="1"/>
  <c r="E27" i="71"/>
  <c r="D27" i="71" s="1"/>
  <c r="G27" i="71" s="1"/>
  <c r="E27" i="69"/>
  <c r="D27" i="69" s="1"/>
  <c r="G27" i="69" s="1"/>
  <c r="F28" i="69" s="1"/>
  <c r="E26" i="68"/>
  <c r="D26" i="68" s="1"/>
  <c r="G26" i="68" s="1"/>
  <c r="F27" i="68" s="1"/>
  <c r="E50" i="65"/>
  <c r="D50" i="65" s="1"/>
  <c r="G50" i="65" s="1"/>
  <c r="F51" i="65" s="1"/>
  <c r="E26" i="65"/>
  <c r="D26" i="65" s="1"/>
  <c r="G26" i="65" s="1"/>
  <c r="F27" i="65" s="1"/>
  <c r="E28" i="84" l="1"/>
  <c r="D28" i="84" s="1"/>
  <c r="G28" i="84" s="1"/>
  <c r="F29" i="84" s="1"/>
  <c r="E84" i="83"/>
  <c r="D84" i="83" s="1"/>
  <c r="G84" i="83" s="1"/>
  <c r="F85" i="83" s="1"/>
  <c r="E28" i="83"/>
  <c r="D28" i="83" s="1"/>
  <c r="G28" i="83" s="1"/>
  <c r="F29" i="83" s="1"/>
  <c r="E84" i="84"/>
  <c r="D84" i="84" s="1"/>
  <c r="G84" i="84" s="1"/>
  <c r="F85" i="84" s="1"/>
  <c r="E92" i="81"/>
  <c r="D92" i="81" s="1"/>
  <c r="G92" i="81" s="1"/>
  <c r="F93" i="81" s="1"/>
  <c r="E26" i="81"/>
  <c r="D26" i="81" s="1"/>
  <c r="G26" i="81" s="1"/>
  <c r="F27" i="81" s="1"/>
  <c r="D91" i="80"/>
  <c r="G91" i="80" s="1"/>
  <c r="F92" i="80" s="1"/>
  <c r="E92" i="80" s="1"/>
  <c r="E24" i="80"/>
  <c r="D24" i="80" s="1"/>
  <c r="G24" i="80" s="1"/>
  <c r="F25" i="80" s="1"/>
  <c r="E50" i="77"/>
  <c r="D50" i="77" s="1"/>
  <c r="G50" i="77" s="1"/>
  <c r="F51" i="77" s="1"/>
  <c r="E26" i="78"/>
  <c r="D26" i="78" s="1"/>
  <c r="G26" i="78" s="1"/>
  <c r="F27" i="78" s="1"/>
  <c r="E50" i="78"/>
  <c r="D50" i="78" s="1"/>
  <c r="G50" i="78" s="1"/>
  <c r="F51" i="78" s="1"/>
  <c r="E26" i="77"/>
  <c r="D26" i="77" s="1"/>
  <c r="G26" i="77" s="1"/>
  <c r="F27" i="77" s="1"/>
  <c r="E29" i="75"/>
  <c r="D29" i="75" s="1"/>
  <c r="G29" i="75" s="1"/>
  <c r="F30" i="75" s="1"/>
  <c r="D52" i="75"/>
  <c r="G52" i="75" s="1"/>
  <c r="F53" i="75" s="1"/>
  <c r="E53" i="75" s="1"/>
  <c r="F28" i="74"/>
  <c r="F28" i="71"/>
  <c r="F40" i="71"/>
  <c r="F28" i="72"/>
  <c r="F40" i="72"/>
  <c r="E28" i="69"/>
  <c r="D28" i="69" s="1"/>
  <c r="G28" i="69" s="1"/>
  <c r="F29" i="69" s="1"/>
  <c r="F40" i="69"/>
  <c r="E27" i="68"/>
  <c r="D27" i="68" s="1"/>
  <c r="G27" i="68" s="1"/>
  <c r="F28" i="68" s="1"/>
  <c r="E27" i="65"/>
  <c r="D27" i="65" s="1"/>
  <c r="G27" i="65" s="1"/>
  <c r="F28" i="65" s="1"/>
  <c r="D51" i="65"/>
  <c r="G51" i="65" s="1"/>
  <c r="E29" i="83" l="1"/>
  <c r="D29" i="83" s="1"/>
  <c r="G29" i="83" s="1"/>
  <c r="F30" i="83" s="1"/>
  <c r="E85" i="83"/>
  <c r="D85" i="83" s="1"/>
  <c r="G85" i="83" s="1"/>
  <c r="F86" i="83" s="1"/>
  <c r="E85" i="84"/>
  <c r="D85" i="84" s="1"/>
  <c r="G85" i="84" s="1"/>
  <c r="F86" i="84" s="1"/>
  <c r="E29" i="84"/>
  <c r="D29" i="84" s="1"/>
  <c r="G29" i="84" s="1"/>
  <c r="F30" i="84" s="1"/>
  <c r="E93" i="81"/>
  <c r="D93" i="81" s="1"/>
  <c r="G93" i="81" s="1"/>
  <c r="F94" i="81" s="1"/>
  <c r="E27" i="81"/>
  <c r="D27" i="81" s="1"/>
  <c r="G27" i="81" s="1"/>
  <c r="F28" i="81" s="1"/>
  <c r="D92" i="80"/>
  <c r="G92" i="80" s="1"/>
  <c r="F93" i="80" s="1"/>
  <c r="E93" i="80" s="1"/>
  <c r="E25" i="80"/>
  <c r="D25" i="80" s="1"/>
  <c r="G25" i="80" s="1"/>
  <c r="F26" i="80" s="1"/>
  <c r="E27" i="77"/>
  <c r="D27" i="77" s="1"/>
  <c r="G27" i="77" s="1"/>
  <c r="F28" i="77" s="1"/>
  <c r="E51" i="77"/>
  <c r="D51" i="77" s="1"/>
  <c r="G51" i="77" s="1"/>
  <c r="F52" i="77" s="1"/>
  <c r="E51" i="78"/>
  <c r="D51" i="78" s="1"/>
  <c r="G51" i="78" s="1"/>
  <c r="F52" i="78" s="1"/>
  <c r="E27" i="78"/>
  <c r="D27" i="78" s="1"/>
  <c r="G27" i="78" s="1"/>
  <c r="F28" i="78" s="1"/>
  <c r="E30" i="75"/>
  <c r="D30" i="75" s="1"/>
  <c r="G30" i="75" s="1"/>
  <c r="F31" i="75" s="1"/>
  <c r="D53" i="75"/>
  <c r="G53" i="75" s="1"/>
  <c r="F54" i="75" s="1"/>
  <c r="E54" i="75" s="1"/>
  <c r="E28" i="74"/>
  <c r="D28" i="74" s="1"/>
  <c r="G28" i="74" s="1"/>
  <c r="F29" i="74" s="1"/>
  <c r="D41" i="74"/>
  <c r="G41" i="74" s="1"/>
  <c r="F42" i="74" s="1"/>
  <c r="E28" i="71"/>
  <c r="D28" i="71" s="1"/>
  <c r="G28" i="71" s="1"/>
  <c r="F29" i="71" s="1"/>
  <c r="E40" i="71"/>
  <c r="D40" i="71" s="1"/>
  <c r="G40" i="71" s="1"/>
  <c r="F41" i="71" s="1"/>
  <c r="E28" i="72"/>
  <c r="D28" i="72" s="1"/>
  <c r="G28" i="72" s="1"/>
  <c r="F29" i="72" s="1"/>
  <c r="E40" i="72"/>
  <c r="D40" i="72" s="1"/>
  <c r="G40" i="72" s="1"/>
  <c r="F41" i="72" s="1"/>
  <c r="E29" i="69"/>
  <c r="D29" i="69" s="1"/>
  <c r="G29" i="69" s="1"/>
  <c r="F30" i="69" s="1"/>
  <c r="D40" i="69"/>
  <c r="G40" i="69" s="1"/>
  <c r="F41" i="69" s="1"/>
  <c r="E28" i="68"/>
  <c r="D28" i="68" s="1"/>
  <c r="G28" i="68" s="1"/>
  <c r="F29" i="68" s="1"/>
  <c r="D40" i="68"/>
  <c r="E28" i="65"/>
  <c r="D28" i="65" s="1"/>
  <c r="G28" i="65" s="1"/>
  <c r="F29" i="65" s="1"/>
  <c r="E30" i="84" l="1"/>
  <c r="D30" i="84" s="1"/>
  <c r="G30" i="84" s="1"/>
  <c r="F31" i="84" s="1"/>
  <c r="E86" i="83"/>
  <c r="D86" i="83" s="1"/>
  <c r="G86" i="83" s="1"/>
  <c r="F87" i="83" s="1"/>
  <c r="E86" i="84"/>
  <c r="D86" i="84" s="1"/>
  <c r="G86" i="84" s="1"/>
  <c r="F87" i="84" s="1"/>
  <c r="E30" i="83"/>
  <c r="D30" i="83" s="1"/>
  <c r="G30" i="83" s="1"/>
  <c r="F31" i="83" s="1"/>
  <c r="E94" i="81"/>
  <c r="D94" i="81" s="1"/>
  <c r="G94" i="81" s="1"/>
  <c r="F95" i="81" s="1"/>
  <c r="E28" i="81"/>
  <c r="D28" i="81" s="1"/>
  <c r="G28" i="81" s="1"/>
  <c r="F29" i="81" s="1"/>
  <c r="D93" i="80"/>
  <c r="G93" i="80" s="1"/>
  <c r="F94" i="80" s="1"/>
  <c r="E94" i="80" s="1"/>
  <c r="E26" i="80"/>
  <c r="D26" i="80" s="1"/>
  <c r="G26" i="80" s="1"/>
  <c r="F27" i="80" s="1"/>
  <c r="E52" i="78"/>
  <c r="D52" i="78" s="1"/>
  <c r="G52" i="78" s="1"/>
  <c r="F53" i="78" s="1"/>
  <c r="E28" i="78"/>
  <c r="D28" i="78" s="1"/>
  <c r="G28" i="78" s="1"/>
  <c r="F29" i="78" s="1"/>
  <c r="E52" i="77"/>
  <c r="D52" i="77" s="1"/>
  <c r="G52" i="77" s="1"/>
  <c r="F53" i="77" s="1"/>
  <c r="E28" i="77"/>
  <c r="D28" i="77" s="1"/>
  <c r="G28" i="77" s="1"/>
  <c r="F29" i="77" s="1"/>
  <c r="E31" i="75"/>
  <c r="D31" i="75" s="1"/>
  <c r="G31" i="75" s="1"/>
  <c r="F32" i="75" s="1"/>
  <c r="D54" i="75"/>
  <c r="G54" i="75" s="1"/>
  <c r="F55" i="75" s="1"/>
  <c r="E55" i="75" s="1"/>
  <c r="E42" i="74"/>
  <c r="D42" i="74" s="1"/>
  <c r="G42" i="74" s="1"/>
  <c r="F43" i="74" s="1"/>
  <c r="E29" i="74"/>
  <c r="D29" i="74" s="1"/>
  <c r="G29" i="74" s="1"/>
  <c r="F30" i="74" s="1"/>
  <c r="E41" i="72"/>
  <c r="D41" i="72" s="1"/>
  <c r="G41" i="72" s="1"/>
  <c r="F42" i="72" s="1"/>
  <c r="E29" i="72"/>
  <c r="D29" i="72" s="1"/>
  <c r="G29" i="72" s="1"/>
  <c r="F30" i="72" s="1"/>
  <c r="E41" i="71"/>
  <c r="D41" i="71" s="1"/>
  <c r="G41" i="71" s="1"/>
  <c r="F42" i="71" s="1"/>
  <c r="E29" i="71"/>
  <c r="D29" i="71" s="1"/>
  <c r="G29" i="71" s="1"/>
  <c r="F30" i="71" s="1"/>
  <c r="E30" i="69"/>
  <c r="D30" i="69" s="1"/>
  <c r="G30" i="69" s="1"/>
  <c r="F31" i="69" s="1"/>
  <c r="D41" i="69"/>
  <c r="G41" i="69" s="1"/>
  <c r="F42" i="69" s="1"/>
  <c r="E42" i="69" s="1"/>
  <c r="E29" i="68"/>
  <c r="D29" i="68" s="1"/>
  <c r="G29" i="68" s="1"/>
  <c r="F30" i="68" s="1"/>
  <c r="F41" i="68"/>
  <c r="E29" i="65"/>
  <c r="D29" i="65" s="1"/>
  <c r="G29" i="65" s="1"/>
  <c r="F30" i="65" s="1"/>
  <c r="E31" i="83" l="1"/>
  <c r="D31" i="83" s="1"/>
  <c r="G31" i="83" s="1"/>
  <c r="F32" i="83" s="1"/>
  <c r="E87" i="83"/>
  <c r="D87" i="83" s="1"/>
  <c r="G87" i="83" s="1"/>
  <c r="F88" i="83" s="1"/>
  <c r="E87" i="84"/>
  <c r="D87" i="84" s="1"/>
  <c r="G87" i="84" s="1"/>
  <c r="F88" i="84" s="1"/>
  <c r="E31" i="84"/>
  <c r="D31" i="84" s="1"/>
  <c r="G31" i="84" s="1"/>
  <c r="F32" i="84" s="1"/>
  <c r="E95" i="81"/>
  <c r="D95" i="81" s="1"/>
  <c r="G95" i="81" s="1"/>
  <c r="F96" i="81" s="1"/>
  <c r="E29" i="81"/>
  <c r="D29" i="81" s="1"/>
  <c r="G29" i="81" s="1"/>
  <c r="F30" i="81" s="1"/>
  <c r="D94" i="80"/>
  <c r="G94" i="80" s="1"/>
  <c r="F95" i="80" s="1"/>
  <c r="E95" i="80" s="1"/>
  <c r="E27" i="80"/>
  <c r="D27" i="80" s="1"/>
  <c r="G27" i="80" s="1"/>
  <c r="F28" i="80" s="1"/>
  <c r="E53" i="77"/>
  <c r="D53" i="77" s="1"/>
  <c r="G53" i="77" s="1"/>
  <c r="F54" i="77" s="1"/>
  <c r="E53" i="78"/>
  <c r="D53" i="78" s="1"/>
  <c r="G53" i="78" s="1"/>
  <c r="F54" i="78" s="1"/>
  <c r="E29" i="77"/>
  <c r="D29" i="77" s="1"/>
  <c r="G29" i="77" s="1"/>
  <c r="F30" i="77" s="1"/>
  <c r="E29" i="78"/>
  <c r="D29" i="78" s="1"/>
  <c r="G29" i="78" s="1"/>
  <c r="F30" i="78" s="1"/>
  <c r="E32" i="75"/>
  <c r="D32" i="75" s="1"/>
  <c r="G32" i="75" s="1"/>
  <c r="F33" i="75" s="1"/>
  <c r="D55" i="75"/>
  <c r="G55" i="75" s="1"/>
  <c r="F56" i="75" s="1"/>
  <c r="E56" i="75" s="1"/>
  <c r="E30" i="74"/>
  <c r="D30" i="74" s="1"/>
  <c r="G30" i="74" s="1"/>
  <c r="F31" i="74" s="1"/>
  <c r="E43" i="74"/>
  <c r="D43" i="74" s="1"/>
  <c r="G43" i="74" s="1"/>
  <c r="F44" i="74" s="1"/>
  <c r="E42" i="71"/>
  <c r="D42" i="71" s="1"/>
  <c r="G42" i="71" s="1"/>
  <c r="F43" i="71" s="1"/>
  <c r="E30" i="72"/>
  <c r="D30" i="72" s="1"/>
  <c r="G30" i="72" s="1"/>
  <c r="F31" i="72" s="1"/>
  <c r="E30" i="71"/>
  <c r="D30" i="71" s="1"/>
  <c r="G30" i="71" s="1"/>
  <c r="F31" i="71" s="1"/>
  <c r="E42" i="72"/>
  <c r="D42" i="72" s="1"/>
  <c r="G42" i="72" s="1"/>
  <c r="F43" i="72" s="1"/>
  <c r="E31" i="69"/>
  <c r="D31" i="69" s="1"/>
  <c r="G31" i="69" s="1"/>
  <c r="F32" i="69" s="1"/>
  <c r="D42" i="69"/>
  <c r="G42" i="69" s="1"/>
  <c r="F43" i="69" s="1"/>
  <c r="E43" i="69" s="1"/>
  <c r="E30" i="68"/>
  <c r="D30" i="68" s="1"/>
  <c r="G30" i="68" s="1"/>
  <c r="F31" i="68" s="1"/>
  <c r="E41" i="68"/>
  <c r="D41" i="68" s="1"/>
  <c r="G41" i="68" s="1"/>
  <c r="F42" i="68" s="1"/>
  <c r="E30" i="65"/>
  <c r="D30" i="65" s="1"/>
  <c r="G30" i="65" s="1"/>
  <c r="F31" i="65" s="1"/>
  <c r="E88" i="84" l="1"/>
  <c r="D88" i="84" s="1"/>
  <c r="G88" i="84" s="1"/>
  <c r="F89" i="84" s="1"/>
  <c r="E88" i="83"/>
  <c r="D88" i="83" s="1"/>
  <c r="G88" i="83" s="1"/>
  <c r="F89" i="83" s="1"/>
  <c r="E32" i="84"/>
  <c r="D32" i="84" s="1"/>
  <c r="G32" i="84" s="1"/>
  <c r="F33" i="84" s="1"/>
  <c r="E32" i="83"/>
  <c r="D32" i="83" s="1"/>
  <c r="G32" i="83" s="1"/>
  <c r="F33" i="83" s="1"/>
  <c r="E96" i="81"/>
  <c r="D96" i="81" s="1"/>
  <c r="G96" i="81" s="1"/>
  <c r="F97" i="81" s="1"/>
  <c r="E30" i="81"/>
  <c r="D30" i="81" s="1"/>
  <c r="G30" i="81" s="1"/>
  <c r="F31" i="81" s="1"/>
  <c r="D95" i="80"/>
  <c r="G95" i="80" s="1"/>
  <c r="F96" i="80" s="1"/>
  <c r="E96" i="80" s="1"/>
  <c r="E28" i="80"/>
  <c r="D28" i="80" s="1"/>
  <c r="G28" i="80" s="1"/>
  <c r="F29" i="80" s="1"/>
  <c r="E30" i="77"/>
  <c r="D30" i="77" s="1"/>
  <c r="G30" i="77" s="1"/>
  <c r="F31" i="77" s="1"/>
  <c r="E30" i="78"/>
  <c r="D30" i="78" s="1"/>
  <c r="G30" i="78" s="1"/>
  <c r="F31" i="78" s="1"/>
  <c r="E54" i="78"/>
  <c r="D54" i="78" s="1"/>
  <c r="G54" i="78" s="1"/>
  <c r="F55" i="78" s="1"/>
  <c r="E54" i="77"/>
  <c r="D54" i="77" s="1"/>
  <c r="G54" i="77" s="1"/>
  <c r="F55" i="77" s="1"/>
  <c r="E33" i="75"/>
  <c r="D33" i="75" s="1"/>
  <c r="G33" i="75" s="1"/>
  <c r="F34" i="75" s="1"/>
  <c r="D56" i="75"/>
  <c r="G56" i="75" s="1"/>
  <c r="F57" i="75" s="1"/>
  <c r="E57" i="75" s="1"/>
  <c r="E44" i="74"/>
  <c r="D44" i="74" s="1"/>
  <c r="G44" i="74" s="1"/>
  <c r="F45" i="74" s="1"/>
  <c r="E31" i="74"/>
  <c r="D31" i="74" s="1"/>
  <c r="G31" i="74" s="1"/>
  <c r="F32" i="74" s="1"/>
  <c r="E43" i="72"/>
  <c r="D43" i="72" s="1"/>
  <c r="G43" i="72" s="1"/>
  <c r="F44" i="72" s="1"/>
  <c r="E31" i="71"/>
  <c r="D31" i="71" s="1"/>
  <c r="G31" i="71" s="1"/>
  <c r="F32" i="71" s="1"/>
  <c r="E31" i="72"/>
  <c r="D31" i="72" s="1"/>
  <c r="G31" i="72" s="1"/>
  <c r="F32" i="72" s="1"/>
  <c r="E43" i="71"/>
  <c r="D43" i="71" s="1"/>
  <c r="G43" i="71" s="1"/>
  <c r="F44" i="71" s="1"/>
  <c r="E32" i="69"/>
  <c r="D32" i="69" s="1"/>
  <c r="G32" i="69" s="1"/>
  <c r="F33" i="69" s="1"/>
  <c r="D43" i="69"/>
  <c r="G43" i="69" s="1"/>
  <c r="F44" i="69" s="1"/>
  <c r="E44" i="69" s="1"/>
  <c r="E42" i="68"/>
  <c r="D42" i="68" s="1"/>
  <c r="G42" i="68" s="1"/>
  <c r="F43" i="68" s="1"/>
  <c r="E31" i="68"/>
  <c r="D31" i="68" s="1"/>
  <c r="G31" i="68" s="1"/>
  <c r="F32" i="68" s="1"/>
  <c r="E31" i="65"/>
  <c r="D31" i="65" s="1"/>
  <c r="G31" i="65" s="1"/>
  <c r="F32" i="65" s="1"/>
  <c r="E33" i="84" l="1"/>
  <c r="D33" i="84" s="1"/>
  <c r="G33" i="84" s="1"/>
  <c r="F34" i="84" s="1"/>
  <c r="E89" i="83"/>
  <c r="D89" i="83" s="1"/>
  <c r="G89" i="83" s="1"/>
  <c r="F90" i="83" s="1"/>
  <c r="E33" i="83"/>
  <c r="D33" i="83" s="1"/>
  <c r="G33" i="83" s="1"/>
  <c r="F34" i="83" s="1"/>
  <c r="E89" i="84"/>
  <c r="D89" i="84" s="1"/>
  <c r="G89" i="84" s="1"/>
  <c r="F90" i="84" s="1"/>
  <c r="E97" i="81"/>
  <c r="D97" i="81" s="1"/>
  <c r="G97" i="81" s="1"/>
  <c r="F98" i="81" s="1"/>
  <c r="E31" i="81"/>
  <c r="D31" i="81" s="1"/>
  <c r="G31" i="81" s="1"/>
  <c r="F32" i="81" s="1"/>
  <c r="D96" i="80"/>
  <c r="G96" i="80" s="1"/>
  <c r="F97" i="80" s="1"/>
  <c r="E97" i="80" s="1"/>
  <c r="E29" i="80"/>
  <c r="D29" i="80" s="1"/>
  <c r="G29" i="80" s="1"/>
  <c r="F30" i="80" s="1"/>
  <c r="E31" i="77"/>
  <c r="D31" i="77" s="1"/>
  <c r="G31" i="77" s="1"/>
  <c r="F32" i="77" s="1"/>
  <c r="E55" i="78"/>
  <c r="D55" i="78" s="1"/>
  <c r="G55" i="78" s="1"/>
  <c r="F56" i="78" s="1"/>
  <c r="E55" i="77"/>
  <c r="D55" i="77" s="1"/>
  <c r="G55" i="77" s="1"/>
  <c r="F56" i="77" s="1"/>
  <c r="E31" i="78"/>
  <c r="D31" i="78" s="1"/>
  <c r="G31" i="78" s="1"/>
  <c r="F32" i="78" s="1"/>
  <c r="E34" i="75"/>
  <c r="D34" i="75" s="1"/>
  <c r="G34" i="75" s="1"/>
  <c r="F35" i="75" s="1"/>
  <c r="D57" i="75"/>
  <c r="G57" i="75" s="1"/>
  <c r="F58" i="75" s="1"/>
  <c r="E58" i="75" s="1"/>
  <c r="E32" i="74"/>
  <c r="D32" i="74" s="1"/>
  <c r="G32" i="74" s="1"/>
  <c r="F33" i="74" s="1"/>
  <c r="E45" i="74"/>
  <c r="D45" i="74" s="1"/>
  <c r="G45" i="74" s="1"/>
  <c r="F46" i="74" s="1"/>
  <c r="E32" i="72"/>
  <c r="D32" i="72" s="1"/>
  <c r="G32" i="72" s="1"/>
  <c r="F33" i="72" s="1"/>
  <c r="E32" i="71"/>
  <c r="D32" i="71" s="1"/>
  <c r="G32" i="71" s="1"/>
  <c r="F33" i="71" s="1"/>
  <c r="E44" i="71"/>
  <c r="D44" i="71" s="1"/>
  <c r="G44" i="71" s="1"/>
  <c r="F45" i="71" s="1"/>
  <c r="E44" i="72"/>
  <c r="D44" i="72" s="1"/>
  <c r="G44" i="72" s="1"/>
  <c r="F45" i="72" s="1"/>
  <c r="E33" i="69"/>
  <c r="D33" i="69" s="1"/>
  <c r="G33" i="69" s="1"/>
  <c r="F34" i="69" s="1"/>
  <c r="D44" i="69"/>
  <c r="G44" i="69" s="1"/>
  <c r="F45" i="69" s="1"/>
  <c r="E45" i="69" s="1"/>
  <c r="E32" i="68"/>
  <c r="D32" i="68" s="1"/>
  <c r="G32" i="68" s="1"/>
  <c r="F33" i="68" s="1"/>
  <c r="E43" i="68"/>
  <c r="D43" i="68" s="1"/>
  <c r="G43" i="68" s="1"/>
  <c r="F44" i="68" s="1"/>
  <c r="E32" i="65"/>
  <c r="D32" i="65" s="1"/>
  <c r="G32" i="65" s="1"/>
  <c r="F33" i="65" s="1"/>
  <c r="E90" i="83" l="1"/>
  <c r="D90" i="83" s="1"/>
  <c r="G90" i="83" s="1"/>
  <c r="F91" i="83" s="1"/>
  <c r="E90" i="84"/>
  <c r="D90" i="84" s="1"/>
  <c r="G90" i="84" s="1"/>
  <c r="F91" i="84" s="1"/>
  <c r="E34" i="83"/>
  <c r="D34" i="83" s="1"/>
  <c r="G34" i="83" s="1"/>
  <c r="F35" i="83" s="1"/>
  <c r="E34" i="84"/>
  <c r="D34" i="84" s="1"/>
  <c r="G34" i="84" s="1"/>
  <c r="F35" i="84" s="1"/>
  <c r="E98" i="81"/>
  <c r="D98" i="81" s="1"/>
  <c r="G98" i="81" s="1"/>
  <c r="F99" i="81" s="1"/>
  <c r="E32" i="81"/>
  <c r="D32" i="81" s="1"/>
  <c r="G32" i="81" s="1"/>
  <c r="F33" i="81" s="1"/>
  <c r="D97" i="80"/>
  <c r="G97" i="80" s="1"/>
  <c r="F98" i="80" s="1"/>
  <c r="E98" i="80" s="1"/>
  <c r="E30" i="80"/>
  <c r="D30" i="80" s="1"/>
  <c r="G30" i="80" s="1"/>
  <c r="F31" i="80" s="1"/>
  <c r="G32" i="77"/>
  <c r="F33" i="77" s="1"/>
  <c r="E32" i="77"/>
  <c r="D32" i="77" s="1"/>
  <c r="E56" i="77"/>
  <c r="D56" i="77" s="1"/>
  <c r="G56" i="77" s="1"/>
  <c r="F57" i="77" s="1"/>
  <c r="E32" i="78"/>
  <c r="D32" i="78" s="1"/>
  <c r="G32" i="78" s="1"/>
  <c r="F33" i="78" s="1"/>
  <c r="E56" i="78"/>
  <c r="D56" i="78" s="1"/>
  <c r="G56" i="78" s="1"/>
  <c r="F57" i="78" s="1"/>
  <c r="E35" i="75"/>
  <c r="D35" i="75" s="1"/>
  <c r="G35" i="75" s="1"/>
  <c r="F36" i="75" s="1"/>
  <c r="D58" i="75"/>
  <c r="G58" i="75" s="1"/>
  <c r="F59" i="75" s="1"/>
  <c r="E59" i="75" s="1"/>
  <c r="E46" i="74"/>
  <c r="D46" i="74" s="1"/>
  <c r="G46" i="74" s="1"/>
  <c r="F47" i="74" s="1"/>
  <c r="E33" i="74"/>
  <c r="D33" i="74" s="1"/>
  <c r="G33" i="74" s="1"/>
  <c r="F34" i="74" s="1"/>
  <c r="E33" i="72"/>
  <c r="D33" i="72" s="1"/>
  <c r="G33" i="72" s="1"/>
  <c r="F34" i="72" s="1"/>
  <c r="E45" i="72"/>
  <c r="D45" i="72" s="1"/>
  <c r="G45" i="72" s="1"/>
  <c r="F46" i="72" s="1"/>
  <c r="E45" i="71"/>
  <c r="D45" i="71" s="1"/>
  <c r="G45" i="71" s="1"/>
  <c r="F46" i="71" s="1"/>
  <c r="E33" i="71"/>
  <c r="D33" i="71" s="1"/>
  <c r="G33" i="71" s="1"/>
  <c r="F34" i="71" s="1"/>
  <c r="E34" i="69"/>
  <c r="D34" i="69" s="1"/>
  <c r="G34" i="69" s="1"/>
  <c r="F35" i="69" s="1"/>
  <c r="D45" i="69"/>
  <c r="G45" i="69" s="1"/>
  <c r="F46" i="69" s="1"/>
  <c r="E46" i="69" s="1"/>
  <c r="E44" i="68"/>
  <c r="D44" i="68" s="1"/>
  <c r="G44" i="68" s="1"/>
  <c r="F45" i="68" s="1"/>
  <c r="E33" i="68"/>
  <c r="D33" i="68" s="1"/>
  <c r="G33" i="68" s="1"/>
  <c r="F34" i="68" s="1"/>
  <c r="E33" i="65"/>
  <c r="D33" i="65" s="1"/>
  <c r="G33" i="65" s="1"/>
  <c r="F34" i="65" s="1"/>
  <c r="E35" i="83" l="1"/>
  <c r="D35" i="83" s="1"/>
  <c r="G35" i="83" s="1"/>
  <c r="F36" i="83" s="1"/>
  <c r="E91" i="84"/>
  <c r="D91" i="84" s="1"/>
  <c r="G91" i="84" s="1"/>
  <c r="F92" i="84" s="1"/>
  <c r="E35" i="84"/>
  <c r="D35" i="84" s="1"/>
  <c r="G35" i="84" s="1"/>
  <c r="F36" i="84" s="1"/>
  <c r="E91" i="83"/>
  <c r="D91" i="83" s="1"/>
  <c r="G91" i="83" s="1"/>
  <c r="F92" i="83" s="1"/>
  <c r="E99" i="81"/>
  <c r="D99" i="81" s="1"/>
  <c r="G99" i="81" s="1"/>
  <c r="F100" i="81" s="1"/>
  <c r="E33" i="81"/>
  <c r="D33" i="81" s="1"/>
  <c r="G33" i="81" s="1"/>
  <c r="F34" i="81" s="1"/>
  <c r="D98" i="80"/>
  <c r="G98" i="80" s="1"/>
  <c r="F99" i="80" s="1"/>
  <c r="E99" i="80" s="1"/>
  <c r="E31" i="80"/>
  <c r="D31" i="80" s="1"/>
  <c r="G31" i="80" s="1"/>
  <c r="F32" i="80" s="1"/>
  <c r="E33" i="78"/>
  <c r="D33" i="78" s="1"/>
  <c r="G33" i="78" s="1"/>
  <c r="F34" i="78" s="1"/>
  <c r="E57" i="78"/>
  <c r="D57" i="78" s="1"/>
  <c r="G57" i="78" s="1"/>
  <c r="F58" i="78" s="1"/>
  <c r="E57" i="77"/>
  <c r="D57" i="77" s="1"/>
  <c r="G57" i="77" s="1"/>
  <c r="F58" i="77" s="1"/>
  <c r="E33" i="77"/>
  <c r="D33" i="77" s="1"/>
  <c r="G33" i="77" s="1"/>
  <c r="F34" i="77" s="1"/>
  <c r="E36" i="75"/>
  <c r="D36" i="75" s="1"/>
  <c r="G36" i="75" s="1"/>
  <c r="F37" i="75" s="1"/>
  <c r="D59" i="75"/>
  <c r="G59" i="75" s="1"/>
  <c r="F60" i="75" s="1"/>
  <c r="E60" i="75" s="1"/>
  <c r="E34" i="74"/>
  <c r="D34" i="74" s="1"/>
  <c r="G34" i="74" s="1"/>
  <c r="F35" i="74" s="1"/>
  <c r="E47" i="74"/>
  <c r="D47" i="74" s="1"/>
  <c r="G47" i="74" s="1"/>
  <c r="F48" i="74" s="1"/>
  <c r="E34" i="71"/>
  <c r="D34" i="71" s="1"/>
  <c r="G34" i="71" s="1"/>
  <c r="F35" i="71" s="1"/>
  <c r="E46" i="71"/>
  <c r="D46" i="71" s="1"/>
  <c r="G46" i="71" s="1"/>
  <c r="F47" i="71" s="1"/>
  <c r="E46" i="72"/>
  <c r="D46" i="72" s="1"/>
  <c r="G46" i="72" s="1"/>
  <c r="F47" i="72" s="1"/>
  <c r="E34" i="72"/>
  <c r="D34" i="72" s="1"/>
  <c r="G34" i="72" s="1"/>
  <c r="F35" i="72" s="1"/>
  <c r="E35" i="69"/>
  <c r="D35" i="69" s="1"/>
  <c r="G35" i="69" s="1"/>
  <c r="F36" i="69" s="1"/>
  <c r="D46" i="69"/>
  <c r="G46" i="69" s="1"/>
  <c r="F47" i="69" s="1"/>
  <c r="E47" i="69" s="1"/>
  <c r="E34" i="68"/>
  <c r="D34" i="68" s="1"/>
  <c r="G34" i="68" s="1"/>
  <c r="F35" i="68" s="1"/>
  <c r="E45" i="68"/>
  <c r="D45" i="68" s="1"/>
  <c r="G45" i="68" s="1"/>
  <c r="F46" i="68" s="1"/>
  <c r="E34" i="65"/>
  <c r="D34" i="65" s="1"/>
  <c r="G34" i="65" s="1"/>
  <c r="F35" i="65" s="1"/>
  <c r="E92" i="84" l="1"/>
  <c r="D92" i="84" s="1"/>
  <c r="G92" i="84" s="1"/>
  <c r="F93" i="84" s="1"/>
  <c r="E92" i="83"/>
  <c r="D92" i="83" s="1"/>
  <c r="G92" i="83" s="1"/>
  <c r="F93" i="83" s="1"/>
  <c r="E36" i="84"/>
  <c r="D36" i="84" s="1"/>
  <c r="G36" i="84" s="1"/>
  <c r="F37" i="84" s="1"/>
  <c r="E36" i="83"/>
  <c r="D36" i="83" s="1"/>
  <c r="G36" i="83" s="1"/>
  <c r="F37" i="83" s="1"/>
  <c r="E100" i="81"/>
  <c r="D100" i="81" s="1"/>
  <c r="G100" i="81" s="1"/>
  <c r="F101" i="81" s="1"/>
  <c r="E34" i="81"/>
  <c r="D34" i="81" s="1"/>
  <c r="G34" i="81" s="1"/>
  <c r="F35" i="81" s="1"/>
  <c r="D99" i="80"/>
  <c r="G99" i="80" s="1"/>
  <c r="F100" i="80" s="1"/>
  <c r="E100" i="80" s="1"/>
  <c r="E32" i="80"/>
  <c r="D32" i="80" s="1"/>
  <c r="G32" i="80" s="1"/>
  <c r="F33" i="80" s="1"/>
  <c r="E58" i="77"/>
  <c r="D58" i="77" s="1"/>
  <c r="G58" i="77" s="1"/>
  <c r="F59" i="77" s="1"/>
  <c r="E34" i="78"/>
  <c r="D34" i="78" s="1"/>
  <c r="G34" i="78" s="1"/>
  <c r="F35" i="78" s="1"/>
  <c r="E34" i="77"/>
  <c r="D34" i="77" s="1"/>
  <c r="G34" i="77" s="1"/>
  <c r="F35" i="77" s="1"/>
  <c r="E58" i="78"/>
  <c r="D58" i="78" s="1"/>
  <c r="G58" i="78" s="1"/>
  <c r="F59" i="78" s="1"/>
  <c r="E37" i="75"/>
  <c r="D37" i="75" s="1"/>
  <c r="G37" i="75" s="1"/>
  <c r="F38" i="75" s="1"/>
  <c r="D60" i="75"/>
  <c r="G60" i="75" s="1"/>
  <c r="E48" i="74"/>
  <c r="D48" i="74" s="1"/>
  <c r="G48" i="74" s="1"/>
  <c r="F49" i="74" s="1"/>
  <c r="E35" i="74"/>
  <c r="D35" i="74" s="1"/>
  <c r="G35" i="74" s="1"/>
  <c r="F36" i="74" s="1"/>
  <c r="E35" i="72"/>
  <c r="D35" i="72" s="1"/>
  <c r="G35" i="72" s="1"/>
  <c r="F36" i="72" s="1"/>
  <c r="E47" i="72"/>
  <c r="D47" i="72" s="1"/>
  <c r="G47" i="72" s="1"/>
  <c r="E47" i="71"/>
  <c r="D47" i="71" s="1"/>
  <c r="G47" i="71" s="1"/>
  <c r="E35" i="71"/>
  <c r="D35" i="71" s="1"/>
  <c r="G35" i="71" s="1"/>
  <c r="F36" i="71" s="1"/>
  <c r="E36" i="69"/>
  <c r="D36" i="69" s="1"/>
  <c r="G36" i="69" s="1"/>
  <c r="F37" i="69" s="1"/>
  <c r="D47" i="69"/>
  <c r="G47" i="69" s="1"/>
  <c r="E46" i="68"/>
  <c r="D46" i="68" s="1"/>
  <c r="G46" i="68" s="1"/>
  <c r="F47" i="68" s="1"/>
  <c r="E35" i="68"/>
  <c r="D35" i="68" s="1"/>
  <c r="G35" i="68" s="1"/>
  <c r="F36" i="68" s="1"/>
  <c r="E35" i="65"/>
  <c r="D35" i="65" s="1"/>
  <c r="G35" i="65" s="1"/>
  <c r="F36" i="65" s="1"/>
  <c r="E37" i="83" l="1"/>
  <c r="D37" i="83" s="1"/>
  <c r="G37" i="83" s="1"/>
  <c r="F38" i="83" s="1"/>
  <c r="E93" i="83"/>
  <c r="D93" i="83" s="1"/>
  <c r="G93" i="83" s="1"/>
  <c r="F94" i="83" s="1"/>
  <c r="E37" i="84"/>
  <c r="D37" i="84" s="1"/>
  <c r="G37" i="84" s="1"/>
  <c r="F38" i="84" s="1"/>
  <c r="E93" i="84"/>
  <c r="D93" i="84" s="1"/>
  <c r="G93" i="84" s="1"/>
  <c r="F94" i="84" s="1"/>
  <c r="E101" i="81"/>
  <c r="D101" i="81" s="1"/>
  <c r="G101" i="81" s="1"/>
  <c r="F102" i="81" s="1"/>
  <c r="E35" i="81"/>
  <c r="D35" i="81" s="1"/>
  <c r="G35" i="81" s="1"/>
  <c r="F36" i="81" s="1"/>
  <c r="D100" i="80"/>
  <c r="G100" i="80" s="1"/>
  <c r="F101" i="80" s="1"/>
  <c r="E101" i="80" s="1"/>
  <c r="E33" i="80"/>
  <c r="D33" i="80" s="1"/>
  <c r="G33" i="80" s="1"/>
  <c r="F34" i="80" s="1"/>
  <c r="E35" i="77"/>
  <c r="D35" i="77" s="1"/>
  <c r="G35" i="77" s="1"/>
  <c r="F36" i="77" s="1"/>
  <c r="E59" i="77"/>
  <c r="D59" i="77" s="1"/>
  <c r="G59" i="77" s="1"/>
  <c r="F60" i="77" s="1"/>
  <c r="E59" i="78"/>
  <c r="D59" i="78" s="1"/>
  <c r="G59" i="78" s="1"/>
  <c r="F60" i="78" s="1"/>
  <c r="E35" i="78"/>
  <c r="D35" i="78" s="1"/>
  <c r="G35" i="78" s="1"/>
  <c r="F36" i="78" s="1"/>
  <c r="E38" i="75"/>
  <c r="D38" i="75" s="1"/>
  <c r="G38" i="75" s="1"/>
  <c r="F39" i="75" s="1"/>
  <c r="G39" i="75" s="1"/>
  <c r="F61" i="75"/>
  <c r="E36" i="74"/>
  <c r="D36" i="74" s="1"/>
  <c r="G36" i="74" s="1"/>
  <c r="F37" i="74" s="1"/>
  <c r="E49" i="74"/>
  <c r="D49" i="74" s="1"/>
  <c r="G49" i="74" s="1"/>
  <c r="F50" i="74" s="1"/>
  <c r="E36" i="71"/>
  <c r="D36" i="71" s="1"/>
  <c r="G36" i="71" s="1"/>
  <c r="F37" i="71" s="1"/>
  <c r="F48" i="72"/>
  <c r="E48" i="72" s="1"/>
  <c r="F48" i="71"/>
  <c r="E36" i="72"/>
  <c r="D36" i="72" s="1"/>
  <c r="G36" i="72" s="1"/>
  <c r="F37" i="72" s="1"/>
  <c r="E37" i="69"/>
  <c r="D37" i="69" s="1"/>
  <c r="G37" i="69" s="1"/>
  <c r="F38" i="69" s="1"/>
  <c r="F48" i="69"/>
  <c r="E48" i="69" s="1"/>
  <c r="E36" i="68"/>
  <c r="D36" i="68" s="1"/>
  <c r="G36" i="68" s="1"/>
  <c r="F37" i="68" s="1"/>
  <c r="E47" i="68"/>
  <c r="D47" i="68" s="1"/>
  <c r="G47" i="68" s="1"/>
  <c r="F48" i="68" s="1"/>
  <c r="E36" i="65"/>
  <c r="D36" i="65" s="1"/>
  <c r="G36" i="65" s="1"/>
  <c r="F37" i="65" s="1"/>
  <c r="E94" i="84" l="1"/>
  <c r="D94" i="84" s="1"/>
  <c r="G94" i="84" s="1"/>
  <c r="F95" i="84" s="1"/>
  <c r="E94" i="83"/>
  <c r="D94" i="83" s="1"/>
  <c r="G94" i="83" s="1"/>
  <c r="F95" i="83" s="1"/>
  <c r="E38" i="84"/>
  <c r="D38" i="84" s="1"/>
  <c r="G38" i="84" s="1"/>
  <c r="F39" i="84" s="1"/>
  <c r="E38" i="83"/>
  <c r="D38" i="83" s="1"/>
  <c r="G38" i="83" s="1"/>
  <c r="F39" i="83" s="1"/>
  <c r="E102" i="81"/>
  <c r="D102" i="81" s="1"/>
  <c r="G102" i="81" s="1"/>
  <c r="F103" i="81" s="1"/>
  <c r="E36" i="81"/>
  <c r="D36" i="81" s="1"/>
  <c r="G36" i="81" s="1"/>
  <c r="F37" i="81" s="1"/>
  <c r="D101" i="80"/>
  <c r="G101" i="80" s="1"/>
  <c r="F102" i="80" s="1"/>
  <c r="E102" i="80" s="1"/>
  <c r="E34" i="80"/>
  <c r="D34" i="80" s="1"/>
  <c r="G34" i="80" s="1"/>
  <c r="F35" i="80" s="1"/>
  <c r="G36" i="78"/>
  <c r="F37" i="78" s="1"/>
  <c r="E36" i="78"/>
  <c r="D36" i="78" s="1"/>
  <c r="E60" i="78"/>
  <c r="D60" i="78" s="1"/>
  <c r="G60" i="78" s="1"/>
  <c r="F61" i="78" s="1"/>
  <c r="E36" i="77"/>
  <c r="D36" i="77" s="1"/>
  <c r="G36" i="77" s="1"/>
  <c r="F37" i="77" s="1"/>
  <c r="E60" i="77"/>
  <c r="D60" i="77" s="1"/>
  <c r="G60" i="77" s="1"/>
  <c r="E61" i="75"/>
  <c r="C61" i="75" s="1"/>
  <c r="D61" i="75" s="1"/>
  <c r="G61" i="75" s="1"/>
  <c r="E50" i="74"/>
  <c r="D50" i="74" s="1"/>
  <c r="G50" i="74" s="1"/>
  <c r="F51" i="74" s="1"/>
  <c r="E37" i="74"/>
  <c r="D37" i="74" s="1"/>
  <c r="G37" i="74" s="1"/>
  <c r="F38" i="74" s="1"/>
  <c r="E37" i="72"/>
  <c r="D37" i="72" s="1"/>
  <c r="G37" i="72" s="1"/>
  <c r="F38" i="72" s="1"/>
  <c r="E37" i="71"/>
  <c r="D37" i="71" s="1"/>
  <c r="G37" i="71" s="1"/>
  <c r="F38" i="71" s="1"/>
  <c r="E48" i="71"/>
  <c r="D48" i="71" s="1"/>
  <c r="G48" i="71" s="1"/>
  <c r="F49" i="71" s="1"/>
  <c r="E49" i="71" s="1"/>
  <c r="D49" i="71" s="1"/>
  <c r="G49" i="71" s="1"/>
  <c r="F50" i="71" s="1"/>
  <c r="E50" i="71" s="1"/>
  <c r="D50" i="71" s="1"/>
  <c r="G50" i="71" s="1"/>
  <c r="F51" i="71" s="1"/>
  <c r="E51" i="71" s="1"/>
  <c r="D51" i="71" s="1"/>
  <c r="G51" i="71" s="1"/>
  <c r="F52" i="71" s="1"/>
  <c r="E52" i="71" s="1"/>
  <c r="D52" i="71" s="1"/>
  <c r="G52" i="71" s="1"/>
  <c r="F53" i="71" s="1"/>
  <c r="E53" i="71" s="1"/>
  <c r="D53" i="71" s="1"/>
  <c r="G53" i="71" s="1"/>
  <c r="F54" i="71" s="1"/>
  <c r="E54" i="71" s="1"/>
  <c r="D54" i="71" s="1"/>
  <c r="G54" i="71" s="1"/>
  <c r="F55" i="71" s="1"/>
  <c r="E55" i="71" s="1"/>
  <c r="D55" i="71" s="1"/>
  <c r="G55" i="71" s="1"/>
  <c r="F56" i="71" s="1"/>
  <c r="E56" i="71" s="1"/>
  <c r="D56" i="71" s="1"/>
  <c r="G56" i="71" s="1"/>
  <c r="F57" i="71" s="1"/>
  <c r="E57" i="71" s="1"/>
  <c r="D57" i="71" s="1"/>
  <c r="G57" i="71" s="1"/>
  <c r="F58" i="71" s="1"/>
  <c r="E58" i="71" s="1"/>
  <c r="D58" i="71" s="1"/>
  <c r="G58" i="71" s="1"/>
  <c r="F59" i="71" s="1"/>
  <c r="E59" i="71" s="1"/>
  <c r="D59" i="71" s="1"/>
  <c r="G59" i="71" s="1"/>
  <c r="F60" i="71" s="1"/>
  <c r="E60" i="71" s="1"/>
  <c r="D60" i="71" s="1"/>
  <c r="G60" i="71" s="1"/>
  <c r="F61" i="71" s="1"/>
  <c r="E61" i="71" s="1"/>
  <c r="D61" i="71" s="1"/>
  <c r="G61" i="71" s="1"/>
  <c r="F62" i="71" s="1"/>
  <c r="E62" i="71" s="1"/>
  <c r="C62" i="71" s="1"/>
  <c r="D48" i="72"/>
  <c r="G48" i="72" s="1"/>
  <c r="F49" i="72" s="1"/>
  <c r="E38" i="69"/>
  <c r="D38" i="69" s="1"/>
  <c r="G38" i="69" s="1"/>
  <c r="F39" i="69" s="1"/>
  <c r="G39" i="69" s="1"/>
  <c r="C48" i="69"/>
  <c r="D48" i="69" s="1"/>
  <c r="G48" i="69" s="1"/>
  <c r="E48" i="68"/>
  <c r="D48" i="68" s="1"/>
  <c r="G48" i="68" s="1"/>
  <c r="E37" i="68"/>
  <c r="D37" i="68" s="1"/>
  <c r="G37" i="68" s="1"/>
  <c r="F38" i="68" s="1"/>
  <c r="E37" i="65"/>
  <c r="D37" i="65" s="1"/>
  <c r="G37" i="65" s="1"/>
  <c r="F38" i="65" s="1"/>
  <c r="E39" i="83" l="1"/>
  <c r="D39" i="83" s="1"/>
  <c r="G39" i="83" s="1"/>
  <c r="F40" i="83" s="1"/>
  <c r="E39" i="84"/>
  <c r="D39" i="84" s="1"/>
  <c r="G39" i="84" s="1"/>
  <c r="F40" i="84" s="1"/>
  <c r="E95" i="83"/>
  <c r="D95" i="83" s="1"/>
  <c r="G95" i="83" s="1"/>
  <c r="F96" i="83" s="1"/>
  <c r="E95" i="84"/>
  <c r="D95" i="84" s="1"/>
  <c r="G95" i="84" s="1"/>
  <c r="F96" i="84" s="1"/>
  <c r="E103" i="81"/>
  <c r="D103" i="81" s="1"/>
  <c r="G103" i="81" s="1"/>
  <c r="F104" i="81" s="1"/>
  <c r="E37" i="81"/>
  <c r="D37" i="81" s="1"/>
  <c r="G37" i="81" s="1"/>
  <c r="F38" i="81" s="1"/>
  <c r="D102" i="80"/>
  <c r="G102" i="80" s="1"/>
  <c r="F103" i="80" s="1"/>
  <c r="E103" i="80" s="1"/>
  <c r="E35" i="80"/>
  <c r="D35" i="80" s="1"/>
  <c r="G35" i="80" s="1"/>
  <c r="F36" i="80" s="1"/>
  <c r="G37" i="77"/>
  <c r="F38" i="77" s="1"/>
  <c r="E37" i="77"/>
  <c r="D37" i="77" s="1"/>
  <c r="F61" i="77"/>
  <c r="E61" i="78"/>
  <c r="D61" i="78" s="1"/>
  <c r="G61" i="78" s="1"/>
  <c r="F62" i="78" s="1"/>
  <c r="E37" i="78"/>
  <c r="D37" i="78" s="1"/>
  <c r="G37" i="78" s="1"/>
  <c r="F38" i="78" s="1"/>
  <c r="E38" i="74"/>
  <c r="D38" i="74" s="1"/>
  <c r="G38" i="74" s="1"/>
  <c r="F39" i="74" s="1"/>
  <c r="G39" i="74" s="1"/>
  <c r="E51" i="74"/>
  <c r="D51" i="74" s="1"/>
  <c r="G51" i="74" s="1"/>
  <c r="F52" i="74" s="1"/>
  <c r="E49" i="72"/>
  <c r="D49" i="72" s="1"/>
  <c r="G49" i="72" s="1"/>
  <c r="F50" i="72" s="1"/>
  <c r="E38" i="71"/>
  <c r="D38" i="71" s="1"/>
  <c r="G38" i="71" s="1"/>
  <c r="F39" i="71" s="1"/>
  <c r="G39" i="71" s="1"/>
  <c r="E38" i="72"/>
  <c r="D38" i="72" s="1"/>
  <c r="G38" i="72" s="1"/>
  <c r="F39" i="72" s="1"/>
  <c r="G39" i="72" s="1"/>
  <c r="E38" i="68"/>
  <c r="D38" i="68" s="1"/>
  <c r="G38" i="68" s="1"/>
  <c r="F39" i="68" s="1"/>
  <c r="G39" i="68" s="1"/>
  <c r="E38" i="65"/>
  <c r="D38" i="65" s="1"/>
  <c r="G38" i="65" s="1"/>
  <c r="F39" i="65" s="1"/>
  <c r="G39" i="65" s="1"/>
  <c r="E96" i="84" l="1"/>
  <c r="D96" i="84" s="1"/>
  <c r="G96" i="84" s="1"/>
  <c r="F97" i="84" s="1"/>
  <c r="E96" i="83"/>
  <c r="D96" i="83" s="1"/>
  <c r="G96" i="83" s="1"/>
  <c r="F97" i="83" s="1"/>
  <c r="E40" i="84"/>
  <c r="D40" i="84" s="1"/>
  <c r="G40" i="84" s="1"/>
  <c r="F41" i="84" s="1"/>
  <c r="E40" i="83"/>
  <c r="D40" i="83" s="1"/>
  <c r="G40" i="83" s="1"/>
  <c r="F41" i="83" s="1"/>
  <c r="E104" i="81"/>
  <c r="D104" i="81" s="1"/>
  <c r="G104" i="81" s="1"/>
  <c r="F105" i="81" s="1"/>
  <c r="E38" i="81"/>
  <c r="D38" i="81" s="1"/>
  <c r="G38" i="81" s="1"/>
  <c r="F39" i="81" s="1"/>
  <c r="D103" i="80"/>
  <c r="G103" i="80" s="1"/>
  <c r="F104" i="80" s="1"/>
  <c r="E104" i="80" s="1"/>
  <c r="E36" i="80"/>
  <c r="D36" i="80" s="1"/>
  <c r="G36" i="80" s="1"/>
  <c r="F37" i="80" s="1"/>
  <c r="E62" i="78"/>
  <c r="D62" i="78" s="1"/>
  <c r="G62" i="78" s="1"/>
  <c r="F63" i="78" s="1"/>
  <c r="G38" i="78"/>
  <c r="F39" i="78" s="1"/>
  <c r="G39" i="78" s="1"/>
  <c r="E38" i="78"/>
  <c r="D38" i="78" s="1"/>
  <c r="E61" i="77"/>
  <c r="D61" i="77" s="1"/>
  <c r="G61" i="77" s="1"/>
  <c r="G38" i="77"/>
  <c r="F39" i="77" s="1"/>
  <c r="G39" i="77" s="1"/>
  <c r="E38" i="77"/>
  <c r="D38" i="77" s="1"/>
  <c r="E52" i="74"/>
  <c r="D52" i="74" s="1"/>
  <c r="G52" i="74" s="1"/>
  <c r="F53" i="74" s="1"/>
  <c r="E50" i="72"/>
  <c r="D50" i="72" s="1"/>
  <c r="G50" i="72" s="1"/>
  <c r="F51" i="72" s="1"/>
  <c r="L2" i="64"/>
  <c r="N2" i="64"/>
  <c r="F1" i="64"/>
  <c r="C50" i="64" s="1"/>
  <c r="E66" i="62"/>
  <c r="E64" i="62"/>
  <c r="C65" i="62"/>
  <c r="C66" i="62"/>
  <c r="C67" i="62"/>
  <c r="C64" i="62"/>
  <c r="N2" i="62"/>
  <c r="E54" i="62"/>
  <c r="E53" i="62"/>
  <c r="E42" i="62"/>
  <c r="E41" i="62"/>
  <c r="L2" i="62"/>
  <c r="C60" i="62" s="1"/>
  <c r="E40" i="62"/>
  <c r="F40" i="62"/>
  <c r="F1" i="62"/>
  <c r="F2" i="62"/>
  <c r="B51" i="64"/>
  <c r="B50" i="64"/>
  <c r="B49" i="64"/>
  <c r="B48" i="64"/>
  <c r="B47" i="64"/>
  <c r="B46" i="64"/>
  <c r="B45" i="64"/>
  <c r="B44" i="64"/>
  <c r="B43" i="64"/>
  <c r="B42" i="64"/>
  <c r="B41" i="64"/>
  <c r="B40" i="64"/>
  <c r="B39" i="64"/>
  <c r="B38" i="64"/>
  <c r="B37" i="64"/>
  <c r="B36" i="64"/>
  <c r="B35" i="64"/>
  <c r="B34" i="64"/>
  <c r="B33" i="64"/>
  <c r="B32" i="64"/>
  <c r="B31" i="64"/>
  <c r="B30" i="64"/>
  <c r="B29" i="64"/>
  <c r="B28" i="64"/>
  <c r="B27" i="64"/>
  <c r="B26" i="64"/>
  <c r="B25" i="64"/>
  <c r="B24" i="64"/>
  <c r="B23" i="64"/>
  <c r="B22" i="64"/>
  <c r="B21" i="64"/>
  <c r="B20" i="64"/>
  <c r="B19" i="64"/>
  <c r="B18" i="64"/>
  <c r="B17" i="64"/>
  <c r="B16" i="64"/>
  <c r="B15" i="64"/>
  <c r="B14" i="64"/>
  <c r="B13" i="64"/>
  <c r="B12" i="64"/>
  <c r="B11" i="64"/>
  <c r="B10" i="64"/>
  <c r="B9" i="64"/>
  <c r="B8" i="64"/>
  <c r="B7" i="64"/>
  <c r="B6" i="64"/>
  <c r="B5" i="64"/>
  <c r="B4" i="64"/>
  <c r="E4" i="64" s="1"/>
  <c r="D1" i="64"/>
  <c r="C39" i="64" s="1"/>
  <c r="D39" i="64" s="1"/>
  <c r="E41" i="83" l="1"/>
  <c r="D41" i="83" s="1"/>
  <c r="G41" i="83" s="1"/>
  <c r="F42" i="83" s="1"/>
  <c r="E41" i="84"/>
  <c r="D41" i="84" s="1"/>
  <c r="G41" i="84" s="1"/>
  <c r="F42" i="84" s="1"/>
  <c r="E97" i="83"/>
  <c r="D97" i="83" s="1"/>
  <c r="G97" i="83" s="1"/>
  <c r="F98" i="83" s="1"/>
  <c r="E97" i="84"/>
  <c r="D97" i="84" s="1"/>
  <c r="G97" i="84" s="1"/>
  <c r="F98" i="84" s="1"/>
  <c r="E105" i="81"/>
  <c r="D105" i="81" s="1"/>
  <c r="G105" i="81" s="1"/>
  <c r="F106" i="81" s="1"/>
  <c r="E39" i="81"/>
  <c r="D39" i="81" s="1"/>
  <c r="G39" i="81" s="1"/>
  <c r="F40" i="81" s="1"/>
  <c r="E40" i="81" s="1"/>
  <c r="D40" i="81" s="1"/>
  <c r="G40" i="81" s="1"/>
  <c r="F41" i="81" s="1"/>
  <c r="D104" i="80"/>
  <c r="G104" i="80" s="1"/>
  <c r="F105" i="80" s="1"/>
  <c r="E105" i="80" s="1"/>
  <c r="E37" i="80"/>
  <c r="D37" i="80" s="1"/>
  <c r="G37" i="80" s="1"/>
  <c r="F38" i="80" s="1"/>
  <c r="E63" i="78"/>
  <c r="D63" i="78" s="1"/>
  <c r="G63" i="78" s="1"/>
  <c r="F64" i="78" s="1"/>
  <c r="E64" i="78" s="1"/>
  <c r="D64" i="78" s="1"/>
  <c r="G64" i="78" s="1"/>
  <c r="F65" i="78" s="1"/>
  <c r="E65" i="78" s="1"/>
  <c r="D65" i="78" s="1"/>
  <c r="G65" i="78" s="1"/>
  <c r="F66" i="78" s="1"/>
  <c r="E66" i="78" s="1"/>
  <c r="D66" i="78" s="1"/>
  <c r="G66" i="78" s="1"/>
  <c r="F67" i="78" s="1"/>
  <c r="E67" i="78" s="1"/>
  <c r="D67" i="78" s="1"/>
  <c r="G67" i="78" s="1"/>
  <c r="F68" i="78" s="1"/>
  <c r="E68" i="78" s="1"/>
  <c r="D68" i="78" s="1"/>
  <c r="G68" i="78" s="1"/>
  <c r="F69" i="78" s="1"/>
  <c r="E69" i="78" s="1"/>
  <c r="D69" i="78" s="1"/>
  <c r="G69" i="78" s="1"/>
  <c r="F70" i="78" s="1"/>
  <c r="E70" i="78" s="1"/>
  <c r="D70" i="78" s="1"/>
  <c r="G70" i="78" s="1"/>
  <c r="F71" i="78" s="1"/>
  <c r="E71" i="78" s="1"/>
  <c r="D71" i="78" s="1"/>
  <c r="G71" i="78" s="1"/>
  <c r="F72" i="78" s="1"/>
  <c r="E53" i="74"/>
  <c r="D53" i="74" s="1"/>
  <c r="G53" i="74" s="1"/>
  <c r="F54" i="74" s="1"/>
  <c r="E51" i="72"/>
  <c r="D51" i="72" s="1"/>
  <c r="G51" i="72" s="1"/>
  <c r="F52" i="72" s="1"/>
  <c r="C58" i="62"/>
  <c r="C57" i="62"/>
  <c r="C56" i="62"/>
  <c r="C63" i="62"/>
  <c r="C55" i="62"/>
  <c r="C52" i="62"/>
  <c r="C62" i="62"/>
  <c r="C54" i="62"/>
  <c r="C61" i="62"/>
  <c r="C53" i="62"/>
  <c r="C59" i="62"/>
  <c r="C24" i="64"/>
  <c r="C6" i="64"/>
  <c r="C20" i="64"/>
  <c r="C29" i="64"/>
  <c r="C38" i="64"/>
  <c r="C16" i="64"/>
  <c r="C25" i="64"/>
  <c r="C34" i="64"/>
  <c r="C12" i="64"/>
  <c r="C21" i="64"/>
  <c r="C30" i="64"/>
  <c r="C4" i="64"/>
  <c r="D4" i="64" s="1"/>
  <c r="G4" i="64" s="1"/>
  <c r="F5" i="64" s="1"/>
  <c r="E5" i="64" s="1"/>
  <c r="D5" i="64" s="1"/>
  <c r="G5" i="64" s="1"/>
  <c r="F6" i="64" s="1"/>
  <c r="C8" i="64"/>
  <c r="C17" i="64"/>
  <c r="C26" i="64"/>
  <c r="C10" i="64"/>
  <c r="C33" i="64"/>
  <c r="C13" i="64"/>
  <c r="C22" i="64"/>
  <c r="C36" i="64"/>
  <c r="C9" i="64"/>
  <c r="C18" i="64"/>
  <c r="C32" i="64"/>
  <c r="C5" i="64"/>
  <c r="C14" i="64"/>
  <c r="C28" i="64"/>
  <c r="C37" i="64"/>
  <c r="C41" i="64"/>
  <c r="C45" i="64"/>
  <c r="C40" i="64"/>
  <c r="C44" i="64"/>
  <c r="C48" i="64"/>
  <c r="C49" i="64"/>
  <c r="C43" i="64"/>
  <c r="C47" i="64"/>
  <c r="C51" i="64"/>
  <c r="C7" i="64"/>
  <c r="C11" i="64"/>
  <c r="C15" i="64"/>
  <c r="C19" i="64"/>
  <c r="C23" i="64"/>
  <c r="C27" i="64"/>
  <c r="C31" i="64"/>
  <c r="C35" i="64"/>
  <c r="C42" i="64"/>
  <c r="C46" i="64"/>
  <c r="D2" i="62"/>
  <c r="C48" i="62"/>
  <c r="E98" i="84" l="1"/>
  <c r="D98" i="84" s="1"/>
  <c r="G98" i="84" s="1"/>
  <c r="F99" i="84" s="1"/>
  <c r="E98" i="83"/>
  <c r="D98" i="83" s="1"/>
  <c r="G98" i="83" s="1"/>
  <c r="F99" i="83" s="1"/>
  <c r="E42" i="84"/>
  <c r="D42" i="84" s="1"/>
  <c r="G42" i="84" s="1"/>
  <c r="F43" i="84" s="1"/>
  <c r="E42" i="83"/>
  <c r="D42" i="83" s="1"/>
  <c r="G42" i="83" s="1"/>
  <c r="F43" i="83" s="1"/>
  <c r="E106" i="81"/>
  <c r="D106" i="81" s="1"/>
  <c r="G106" i="81" s="1"/>
  <c r="F107" i="81" s="1"/>
  <c r="E41" i="81"/>
  <c r="D41" i="81" s="1"/>
  <c r="G41" i="81" s="1"/>
  <c r="F42" i="81" s="1"/>
  <c r="E42" i="81" s="1"/>
  <c r="D42" i="81" s="1"/>
  <c r="G42" i="81" s="1"/>
  <c r="F43" i="81" s="1"/>
  <c r="E43" i="81" s="1"/>
  <c r="D43" i="81" s="1"/>
  <c r="G43" i="81" s="1"/>
  <c r="F44" i="81" s="1"/>
  <c r="E44" i="81" s="1"/>
  <c r="D44" i="81" s="1"/>
  <c r="G44" i="81" s="1"/>
  <c r="F45" i="81" s="1"/>
  <c r="E45" i="81" s="1"/>
  <c r="D45" i="81" s="1"/>
  <c r="G45" i="81" s="1"/>
  <c r="F46" i="81" s="1"/>
  <c r="E46" i="81" s="1"/>
  <c r="D46" i="81" s="1"/>
  <c r="G46" i="81" s="1"/>
  <c r="F47" i="81" s="1"/>
  <c r="E47" i="81" s="1"/>
  <c r="D47" i="81" s="1"/>
  <c r="G47" i="81" s="1"/>
  <c r="F48" i="81" s="1"/>
  <c r="E48" i="81" s="1"/>
  <c r="D48" i="81" s="1"/>
  <c r="G48" i="81" s="1"/>
  <c r="F49" i="81" s="1"/>
  <c r="E49" i="81" s="1"/>
  <c r="D49" i="81" s="1"/>
  <c r="G49" i="81" s="1"/>
  <c r="F50" i="81" s="1"/>
  <c r="E50" i="81" s="1"/>
  <c r="D50" i="81" s="1"/>
  <c r="G50" i="81" s="1"/>
  <c r="F51" i="81" s="1"/>
  <c r="E51" i="81" s="1"/>
  <c r="D51" i="81" s="1"/>
  <c r="G51" i="81" s="1"/>
  <c r="F52" i="81" s="1"/>
  <c r="D105" i="80"/>
  <c r="G105" i="80" s="1"/>
  <c r="F106" i="80" s="1"/>
  <c r="E106" i="80" s="1"/>
  <c r="E38" i="80"/>
  <c r="D38" i="80" s="1"/>
  <c r="G38" i="80" s="1"/>
  <c r="E72" i="78"/>
  <c r="D72" i="78" s="1"/>
  <c r="G72" i="78" s="1"/>
  <c r="F73" i="78" s="1"/>
  <c r="E73" i="78" s="1"/>
  <c r="E54" i="74"/>
  <c r="D54" i="74" s="1"/>
  <c r="G54" i="74" s="1"/>
  <c r="F55" i="74" s="1"/>
  <c r="E52" i="72"/>
  <c r="D52" i="72" s="1"/>
  <c r="G52" i="72" s="1"/>
  <c r="F53" i="72" s="1"/>
  <c r="E6" i="64"/>
  <c r="D6" i="64" s="1"/>
  <c r="G6" i="64" s="1"/>
  <c r="F7" i="64" s="1"/>
  <c r="C42" i="62"/>
  <c r="C47" i="62"/>
  <c r="C45" i="62"/>
  <c r="C50" i="62"/>
  <c r="C44" i="62"/>
  <c r="C49" i="62"/>
  <c r="C46" i="62"/>
  <c r="C51" i="62"/>
  <c r="C43" i="62"/>
  <c r="D1" i="62"/>
  <c r="C15" i="62" s="1"/>
  <c r="B42" i="62"/>
  <c r="B43" i="62"/>
  <c r="B44" i="62"/>
  <c r="B45" i="62"/>
  <c r="B46" i="62"/>
  <c r="B47" i="62"/>
  <c r="B48" i="62"/>
  <c r="B49" i="62"/>
  <c r="B50" i="62"/>
  <c r="B51" i="62"/>
  <c r="B52" i="62"/>
  <c r="B53" i="62"/>
  <c r="B54" i="62"/>
  <c r="B55" i="62"/>
  <c r="B56" i="62"/>
  <c r="B57" i="62"/>
  <c r="B58" i="62"/>
  <c r="B59" i="62"/>
  <c r="B60" i="62"/>
  <c r="B61" i="62"/>
  <c r="B62" i="62"/>
  <c r="B63" i="62"/>
  <c r="B64" i="62"/>
  <c r="B65" i="62"/>
  <c r="B66" i="62"/>
  <c r="B67" i="62"/>
  <c r="B41" i="62"/>
  <c r="B40" i="62"/>
  <c r="B6" i="62"/>
  <c r="B7" i="62"/>
  <c r="B8" i="62"/>
  <c r="B9" i="62"/>
  <c r="B10" i="62"/>
  <c r="B11" i="62"/>
  <c r="B12" i="62"/>
  <c r="B13" i="62"/>
  <c r="B14" i="62"/>
  <c r="B15" i="62"/>
  <c r="B16" i="62"/>
  <c r="B17" i="62"/>
  <c r="B18" i="62"/>
  <c r="B19" i="62"/>
  <c r="B20" i="62"/>
  <c r="B21" i="62"/>
  <c r="B22" i="62"/>
  <c r="B23" i="62"/>
  <c r="B24" i="62"/>
  <c r="B25" i="62"/>
  <c r="B26" i="62"/>
  <c r="B27" i="62"/>
  <c r="B28" i="62"/>
  <c r="B29" i="62"/>
  <c r="B30" i="62"/>
  <c r="B31" i="62"/>
  <c r="B32" i="62"/>
  <c r="B33" i="62"/>
  <c r="B34" i="62"/>
  <c r="B35" i="62"/>
  <c r="B36" i="62"/>
  <c r="B37" i="62"/>
  <c r="B38" i="62"/>
  <c r="B39" i="62"/>
  <c r="B5" i="62"/>
  <c r="B4" i="62"/>
  <c r="E4" i="62" s="1"/>
  <c r="C52" i="60"/>
  <c r="E43" i="83" l="1"/>
  <c r="D43" i="83" s="1"/>
  <c r="G43" i="83" s="1"/>
  <c r="F44" i="83" s="1"/>
  <c r="E43" i="84"/>
  <c r="D43" i="84" s="1"/>
  <c r="G43" i="84" s="1"/>
  <c r="F44" i="84" s="1"/>
  <c r="E99" i="83"/>
  <c r="D99" i="83" s="1"/>
  <c r="G99" i="83" s="1"/>
  <c r="F100" i="83" s="1"/>
  <c r="E99" i="84"/>
  <c r="D99" i="84" s="1"/>
  <c r="G99" i="84" s="1"/>
  <c r="F100" i="84" s="1"/>
  <c r="E107" i="81"/>
  <c r="D107" i="81" s="1"/>
  <c r="G107" i="81" s="1"/>
  <c r="F108" i="81" s="1"/>
  <c r="G52" i="81"/>
  <c r="F53" i="81" s="1"/>
  <c r="E52" i="81"/>
  <c r="D52" i="81" s="1"/>
  <c r="D106" i="80"/>
  <c r="G106" i="80" s="1"/>
  <c r="F107" i="80" s="1"/>
  <c r="E107" i="80" s="1"/>
  <c r="F39" i="80"/>
  <c r="C73" i="78"/>
  <c r="D73" i="78" s="1"/>
  <c r="G73" i="78" s="1"/>
  <c r="E55" i="74"/>
  <c r="D55" i="74" s="1"/>
  <c r="G55" i="74" s="1"/>
  <c r="F56" i="74" s="1"/>
  <c r="E53" i="72"/>
  <c r="D53" i="72" s="1"/>
  <c r="G53" i="72" s="1"/>
  <c r="F54" i="72" s="1"/>
  <c r="E7" i="64"/>
  <c r="D7" i="64" s="1"/>
  <c r="G7" i="64" s="1"/>
  <c r="F8" i="64" s="1"/>
  <c r="C7" i="62"/>
  <c r="C34" i="62"/>
  <c r="C39" i="62"/>
  <c r="C35" i="62"/>
  <c r="C31" i="62"/>
  <c r="C27" i="62"/>
  <c r="C4" i="62"/>
  <c r="D4" i="62" s="1"/>
  <c r="G4" i="62" s="1"/>
  <c r="F5" i="62" s="1"/>
  <c r="E5" i="62" s="1"/>
  <c r="C32" i="62"/>
  <c r="C24" i="62"/>
  <c r="C20" i="62"/>
  <c r="C16" i="62"/>
  <c r="C8" i="62"/>
  <c r="C36" i="62"/>
  <c r="C28" i="62"/>
  <c r="C12" i="62"/>
  <c r="C26" i="62"/>
  <c r="C18" i="62"/>
  <c r="C37" i="62"/>
  <c r="C33" i="62"/>
  <c r="C29" i="62"/>
  <c r="C25" i="62"/>
  <c r="C21" i="62"/>
  <c r="C17" i="62"/>
  <c r="C13" i="62"/>
  <c r="C9" i="62"/>
  <c r="C5" i="62"/>
  <c r="C38" i="62"/>
  <c r="C30" i="62"/>
  <c r="C22" i="62"/>
  <c r="C10" i="62"/>
  <c r="C23" i="62"/>
  <c r="C11" i="62"/>
  <c r="C40" i="62"/>
  <c r="C41" i="62"/>
  <c r="C19" i="62"/>
  <c r="C6" i="62"/>
  <c r="C14" i="62"/>
  <c r="E100" i="83" l="1"/>
  <c r="D100" i="83" s="1"/>
  <c r="G100" i="83" s="1"/>
  <c r="F101" i="83" s="1"/>
  <c r="E44" i="84"/>
  <c r="D44" i="84" s="1"/>
  <c r="G44" i="84" s="1"/>
  <c r="F45" i="84" s="1"/>
  <c r="E100" i="84"/>
  <c r="D100" i="84" s="1"/>
  <c r="G100" i="84" s="1"/>
  <c r="F101" i="84" s="1"/>
  <c r="E44" i="83"/>
  <c r="D44" i="83" s="1"/>
  <c r="G44" i="83" s="1"/>
  <c r="F45" i="83" s="1"/>
  <c r="E108" i="81"/>
  <c r="D108" i="81" s="1"/>
  <c r="G108" i="81" s="1"/>
  <c r="F109" i="81" s="1"/>
  <c r="E53" i="81"/>
  <c r="D53" i="81" s="1"/>
  <c r="G53" i="81" s="1"/>
  <c r="F54" i="81" s="1"/>
  <c r="E54" i="81" s="1"/>
  <c r="D54" i="81" s="1"/>
  <c r="G54" i="81" s="1"/>
  <c r="F55" i="81" s="1"/>
  <c r="E55" i="81" s="1"/>
  <c r="D55" i="81" s="1"/>
  <c r="G55" i="81" s="1"/>
  <c r="F56" i="81" s="1"/>
  <c r="E56" i="81" s="1"/>
  <c r="D56" i="81" s="1"/>
  <c r="G56" i="81" s="1"/>
  <c r="F57" i="81" s="1"/>
  <c r="E57" i="81" s="1"/>
  <c r="D57" i="81" s="1"/>
  <c r="G57" i="81" s="1"/>
  <c r="F58" i="81" s="1"/>
  <c r="E58" i="81" s="1"/>
  <c r="D58" i="81" s="1"/>
  <c r="G58" i="81" s="1"/>
  <c r="F59" i="81" s="1"/>
  <c r="E59" i="81" s="1"/>
  <c r="D59" i="81" s="1"/>
  <c r="G59" i="81" s="1"/>
  <c r="F60" i="81" s="1"/>
  <c r="D107" i="80"/>
  <c r="G107" i="80" s="1"/>
  <c r="F108" i="80" s="1"/>
  <c r="E108" i="80" s="1"/>
  <c r="E39" i="80"/>
  <c r="D39" i="80" s="1"/>
  <c r="E56" i="74"/>
  <c r="D56" i="74" s="1"/>
  <c r="G56" i="74" s="1"/>
  <c r="F57" i="74" s="1"/>
  <c r="E54" i="72"/>
  <c r="D54" i="72" s="1"/>
  <c r="G54" i="72" s="1"/>
  <c r="F55" i="72" s="1"/>
  <c r="E8" i="64"/>
  <c r="D8" i="64" s="1"/>
  <c r="G8" i="64" s="1"/>
  <c r="F9" i="64" s="1"/>
  <c r="D5" i="62"/>
  <c r="G5" i="62" s="1"/>
  <c r="F6" i="62" s="1"/>
  <c r="E6" i="62" s="1"/>
  <c r="E45" i="83" l="1"/>
  <c r="D45" i="83" s="1"/>
  <c r="G45" i="83" s="1"/>
  <c r="F46" i="83" s="1"/>
  <c r="E45" i="84"/>
  <c r="D45" i="84" s="1"/>
  <c r="G45" i="84" s="1"/>
  <c r="F46" i="84" s="1"/>
  <c r="E101" i="84"/>
  <c r="D101" i="84" s="1"/>
  <c r="G101" i="84" s="1"/>
  <c r="F102" i="84" s="1"/>
  <c r="E101" i="83"/>
  <c r="D101" i="83" s="1"/>
  <c r="G101" i="83" s="1"/>
  <c r="F102" i="83" s="1"/>
  <c r="E109" i="81"/>
  <c r="D109" i="81" s="1"/>
  <c r="G109" i="81" s="1"/>
  <c r="F110" i="81" s="1"/>
  <c r="E60" i="81"/>
  <c r="D60" i="81" s="1"/>
  <c r="G60" i="81" s="1"/>
  <c r="F61" i="81" s="1"/>
  <c r="E61" i="81" s="1"/>
  <c r="D61" i="81" s="1"/>
  <c r="G61" i="81" s="1"/>
  <c r="F62" i="81" s="1"/>
  <c r="E62" i="81" s="1"/>
  <c r="D62" i="81" s="1"/>
  <c r="G62" i="81" s="1"/>
  <c r="F63" i="81" s="1"/>
  <c r="D63" i="81" s="1"/>
  <c r="G63" i="81" s="1"/>
  <c r="D108" i="80"/>
  <c r="G108" i="80" s="1"/>
  <c r="F109" i="80" s="1"/>
  <c r="E109" i="80" s="1"/>
  <c r="G39" i="80"/>
  <c r="F40" i="80" s="1"/>
  <c r="E57" i="74"/>
  <c r="D57" i="74" s="1"/>
  <c r="G57" i="74" s="1"/>
  <c r="F58" i="74" s="1"/>
  <c r="E55" i="72"/>
  <c r="D55" i="72" s="1"/>
  <c r="G55" i="72" s="1"/>
  <c r="F56" i="72" s="1"/>
  <c r="E9" i="64"/>
  <c r="D9" i="64" s="1"/>
  <c r="G9" i="64" s="1"/>
  <c r="F10" i="64" s="1"/>
  <c r="D6" i="62"/>
  <c r="G6" i="62" s="1"/>
  <c r="F7" i="62" s="1"/>
  <c r="E7" i="62" s="1"/>
  <c r="E102" i="84" l="1"/>
  <c r="D102" i="84" s="1"/>
  <c r="G102" i="84" s="1"/>
  <c r="F103" i="84" s="1"/>
  <c r="E102" i="83"/>
  <c r="D102" i="83" s="1"/>
  <c r="G102" i="83" s="1"/>
  <c r="F103" i="83" s="1"/>
  <c r="E46" i="84"/>
  <c r="D46" i="84" s="1"/>
  <c r="G46" i="84" s="1"/>
  <c r="F47" i="84" s="1"/>
  <c r="E46" i="83"/>
  <c r="D46" i="83" s="1"/>
  <c r="G46" i="83" s="1"/>
  <c r="F47" i="83" s="1"/>
  <c r="E110" i="81"/>
  <c r="D110" i="81" s="1"/>
  <c r="G110" i="81" s="1"/>
  <c r="F111" i="81" s="1"/>
  <c r="D109" i="80"/>
  <c r="G109" i="80" s="1"/>
  <c r="F110" i="80" s="1"/>
  <c r="E110" i="80" s="1"/>
  <c r="E40" i="80"/>
  <c r="D40" i="80" s="1"/>
  <c r="G40" i="80" s="1"/>
  <c r="F41" i="80" s="1"/>
  <c r="E58" i="74"/>
  <c r="D58" i="74" s="1"/>
  <c r="G58" i="74" s="1"/>
  <c r="F59" i="74" s="1"/>
  <c r="E56" i="72"/>
  <c r="D56" i="72" s="1"/>
  <c r="G56" i="72" s="1"/>
  <c r="F57" i="72" s="1"/>
  <c r="E10" i="64"/>
  <c r="D10" i="64" s="1"/>
  <c r="G10" i="64" s="1"/>
  <c r="F11" i="64" s="1"/>
  <c r="D7" i="62"/>
  <c r="G7" i="62" s="1"/>
  <c r="F8" i="62" s="1"/>
  <c r="E8" i="62" s="1"/>
  <c r="E103" i="83" l="1"/>
  <c r="D103" i="83" s="1"/>
  <c r="G103" i="83" s="1"/>
  <c r="F104" i="83" s="1"/>
  <c r="E47" i="83"/>
  <c r="D47" i="83" s="1"/>
  <c r="G47" i="83" s="1"/>
  <c r="F48" i="83" s="1"/>
  <c r="E47" i="84"/>
  <c r="D47" i="84" s="1"/>
  <c r="G47" i="84" s="1"/>
  <c r="F48" i="84" s="1"/>
  <c r="E103" i="84"/>
  <c r="D103" i="84" s="1"/>
  <c r="G103" i="84" s="1"/>
  <c r="F104" i="84" s="1"/>
  <c r="E111" i="81"/>
  <c r="D111" i="81" s="1"/>
  <c r="G111" i="81" s="1"/>
  <c r="F112" i="81" s="1"/>
  <c r="D110" i="80"/>
  <c r="G110" i="80" s="1"/>
  <c r="F111" i="80" s="1"/>
  <c r="E111" i="80" s="1"/>
  <c r="E41" i="80"/>
  <c r="D41" i="80" s="1"/>
  <c r="G41" i="80" s="1"/>
  <c r="F42" i="80" s="1"/>
  <c r="E59" i="74"/>
  <c r="D59" i="74" s="1"/>
  <c r="G59" i="74" s="1"/>
  <c r="F60" i="74" s="1"/>
  <c r="E57" i="72"/>
  <c r="D57" i="72" s="1"/>
  <c r="G57" i="72" s="1"/>
  <c r="F58" i="72" s="1"/>
  <c r="E11" i="64"/>
  <c r="D11" i="64" s="1"/>
  <c r="G11" i="64" s="1"/>
  <c r="F12" i="64" s="1"/>
  <c r="D8" i="62"/>
  <c r="G8" i="62" s="1"/>
  <c r="F9" i="62" s="1"/>
  <c r="E9" i="62" s="1"/>
  <c r="E48" i="83" l="1"/>
  <c r="D48" i="83" s="1"/>
  <c r="G48" i="83" s="1"/>
  <c r="F49" i="83" s="1"/>
  <c r="E104" i="84"/>
  <c r="D104" i="84" s="1"/>
  <c r="G104" i="84" s="1"/>
  <c r="F105" i="84" s="1"/>
  <c r="E48" i="84"/>
  <c r="D48" i="84" s="1"/>
  <c r="G48" i="84" s="1"/>
  <c r="F49" i="84" s="1"/>
  <c r="E104" i="83"/>
  <c r="D104" i="83" s="1"/>
  <c r="G104" i="83" s="1"/>
  <c r="F105" i="83" s="1"/>
  <c r="E112" i="81"/>
  <c r="D112" i="81" s="1"/>
  <c r="G112" i="81" s="1"/>
  <c r="F113" i="81" s="1"/>
  <c r="D111" i="80"/>
  <c r="G111" i="80" s="1"/>
  <c r="F112" i="80" s="1"/>
  <c r="E112" i="80" s="1"/>
  <c r="E42" i="80"/>
  <c r="D42" i="80" s="1"/>
  <c r="G42" i="80" s="1"/>
  <c r="F43" i="80" s="1"/>
  <c r="E60" i="74"/>
  <c r="D60" i="74" s="1"/>
  <c r="G60" i="74" s="1"/>
  <c r="E58" i="72"/>
  <c r="D58" i="72" s="1"/>
  <c r="G58" i="72" s="1"/>
  <c r="F59" i="72" s="1"/>
  <c r="E12" i="64"/>
  <c r="D12" i="64" s="1"/>
  <c r="G12" i="64" s="1"/>
  <c r="F13" i="64" s="1"/>
  <c r="D9" i="62"/>
  <c r="G9" i="62" s="1"/>
  <c r="F10" i="62" s="1"/>
  <c r="E10" i="62" s="1"/>
  <c r="E105" i="84" l="1"/>
  <c r="D105" i="84" s="1"/>
  <c r="G105" i="84" s="1"/>
  <c r="F106" i="84" s="1"/>
  <c r="E105" i="83"/>
  <c r="D105" i="83" s="1"/>
  <c r="G105" i="83" s="1"/>
  <c r="F106" i="83" s="1"/>
  <c r="E49" i="84"/>
  <c r="D49" i="84" s="1"/>
  <c r="G49" i="84" s="1"/>
  <c r="F50" i="84" s="1"/>
  <c r="E49" i="83"/>
  <c r="D49" i="83" s="1"/>
  <c r="G49" i="83" s="1"/>
  <c r="F50" i="83" s="1"/>
  <c r="E113" i="81"/>
  <c r="D113" i="81" s="1"/>
  <c r="G113" i="81" s="1"/>
  <c r="F114" i="81" s="1"/>
  <c r="D112" i="80"/>
  <c r="G112" i="80" s="1"/>
  <c r="F113" i="80" s="1"/>
  <c r="E113" i="80" s="1"/>
  <c r="E43" i="80"/>
  <c r="D43" i="80" s="1"/>
  <c r="G43" i="80" s="1"/>
  <c r="F44" i="80" s="1"/>
  <c r="F61" i="74"/>
  <c r="E61" i="74" s="1"/>
  <c r="E59" i="72"/>
  <c r="D59" i="72" s="1"/>
  <c r="G59" i="72" s="1"/>
  <c r="F60" i="72" s="1"/>
  <c r="E13" i="64"/>
  <c r="D13" i="64" s="1"/>
  <c r="G13" i="64" s="1"/>
  <c r="F14" i="64" s="1"/>
  <c r="D10" i="62"/>
  <c r="G10" i="62" s="1"/>
  <c r="F11" i="62" s="1"/>
  <c r="E11" i="62" s="1"/>
  <c r="E50" i="83" l="1"/>
  <c r="D50" i="83" s="1"/>
  <c r="G50" i="83" s="1"/>
  <c r="F51" i="83" s="1"/>
  <c r="E106" i="83"/>
  <c r="D106" i="83" s="1"/>
  <c r="G106" i="83" s="1"/>
  <c r="F107" i="83" s="1"/>
  <c r="E50" i="84"/>
  <c r="D50" i="84" s="1"/>
  <c r="G50" i="84" s="1"/>
  <c r="F51" i="84" s="1"/>
  <c r="E106" i="84"/>
  <c r="D106" i="84" s="1"/>
  <c r="G106" i="84" s="1"/>
  <c r="F107" i="84" s="1"/>
  <c r="E114" i="81"/>
  <c r="D114" i="81" s="1"/>
  <c r="G114" i="81" s="1"/>
  <c r="F115" i="81" s="1"/>
  <c r="D113" i="80"/>
  <c r="G113" i="80" s="1"/>
  <c r="F114" i="80" s="1"/>
  <c r="E114" i="80" s="1"/>
  <c r="E44" i="80"/>
  <c r="D44" i="80" s="1"/>
  <c r="G44" i="80" s="1"/>
  <c r="F45" i="80" s="1"/>
  <c r="D61" i="74"/>
  <c r="G61" i="74" s="1"/>
  <c r="C61" i="74"/>
  <c r="E60" i="72"/>
  <c r="D60" i="72" s="1"/>
  <c r="G60" i="72" s="1"/>
  <c r="F61" i="72" s="1"/>
  <c r="E14" i="64"/>
  <c r="D14" i="64" s="1"/>
  <c r="G14" i="64" s="1"/>
  <c r="F15" i="64" s="1"/>
  <c r="D11" i="62"/>
  <c r="G11" i="62" s="1"/>
  <c r="F12" i="62" s="1"/>
  <c r="E12" i="62" s="1"/>
  <c r="E51" i="84" l="1"/>
  <c r="D51" i="84" s="1"/>
  <c r="G51" i="84" s="1"/>
  <c r="F52" i="84" s="1"/>
  <c r="D107" i="83"/>
  <c r="G107" i="83" s="1"/>
  <c r="D107" i="84"/>
  <c r="G107" i="84" s="1"/>
  <c r="E51" i="83"/>
  <c r="D51" i="83" s="1"/>
  <c r="G51" i="83" s="1"/>
  <c r="F52" i="83" s="1"/>
  <c r="E115" i="81"/>
  <c r="D115" i="81" s="1"/>
  <c r="G115" i="81" s="1"/>
  <c r="F116" i="81" s="1"/>
  <c r="D114" i="80"/>
  <c r="G114" i="80" s="1"/>
  <c r="F115" i="80" s="1"/>
  <c r="E115" i="80" s="1"/>
  <c r="E45" i="80"/>
  <c r="D45" i="80" s="1"/>
  <c r="G45" i="80" s="1"/>
  <c r="F46" i="80" s="1"/>
  <c r="E61" i="72"/>
  <c r="D61" i="72" s="1"/>
  <c r="G61" i="72" s="1"/>
  <c r="F62" i="72" s="1"/>
  <c r="E15" i="64"/>
  <c r="D15" i="64" s="1"/>
  <c r="G15" i="64" s="1"/>
  <c r="D12" i="62"/>
  <c r="G12" i="62" s="1"/>
  <c r="F13" i="62" s="1"/>
  <c r="E13" i="62" s="1"/>
  <c r="E52" i="83" l="1"/>
  <c r="D52" i="83" s="1"/>
  <c r="G52" i="83" s="1"/>
  <c r="F53" i="83" s="1"/>
  <c r="E52" i="84"/>
  <c r="D52" i="84" s="1"/>
  <c r="G52" i="84" s="1"/>
  <c r="F53" i="84" s="1"/>
  <c r="E116" i="81"/>
  <c r="D116" i="81" s="1"/>
  <c r="G116" i="81" s="1"/>
  <c r="F117" i="81" s="1"/>
  <c r="D115" i="80"/>
  <c r="G115" i="80" s="1"/>
  <c r="F116" i="80" s="1"/>
  <c r="E116" i="80" s="1"/>
  <c r="E46" i="80"/>
  <c r="D46" i="80" s="1"/>
  <c r="G46" i="80" s="1"/>
  <c r="F47" i="80" s="1"/>
  <c r="E62" i="72"/>
  <c r="F40" i="64"/>
  <c r="E40" i="64" s="1"/>
  <c r="F16" i="64"/>
  <c r="D13" i="62"/>
  <c r="G13" i="62" s="1"/>
  <c r="F14" i="62" s="1"/>
  <c r="E14" i="62" s="1"/>
  <c r="E53" i="84" l="1"/>
  <c r="D53" i="84" s="1"/>
  <c r="G53" i="84" s="1"/>
  <c r="F54" i="84" s="1"/>
  <c r="E53" i="83"/>
  <c r="D53" i="83" s="1"/>
  <c r="G53" i="83" s="1"/>
  <c r="F54" i="83" s="1"/>
  <c r="E117" i="81"/>
  <c r="D117" i="81" s="1"/>
  <c r="G117" i="81" s="1"/>
  <c r="F118" i="81" s="1"/>
  <c r="D116" i="80"/>
  <c r="G116" i="80" s="1"/>
  <c r="F117" i="80" s="1"/>
  <c r="E117" i="80" s="1"/>
  <c r="E47" i="80"/>
  <c r="D47" i="80" s="1"/>
  <c r="G47" i="80" s="1"/>
  <c r="F48" i="80" s="1"/>
  <c r="C62" i="72"/>
  <c r="D62" i="72" s="1"/>
  <c r="G62" i="72" s="1"/>
  <c r="E16" i="64"/>
  <c r="D16" i="64" s="1"/>
  <c r="G16" i="64" s="1"/>
  <c r="F17" i="64" s="1"/>
  <c r="D14" i="62"/>
  <c r="G14" i="62" s="1"/>
  <c r="F15" i="62" s="1"/>
  <c r="E15" i="62" s="1"/>
  <c r="E54" i="84" l="1"/>
  <c r="D54" i="84" s="1"/>
  <c r="G54" i="84" s="1"/>
  <c r="F55" i="84" s="1"/>
  <c r="E54" i="83"/>
  <c r="D54" i="83" s="1"/>
  <c r="G54" i="83" s="1"/>
  <c r="F55" i="83" s="1"/>
  <c r="E118" i="81"/>
  <c r="D118" i="81" s="1"/>
  <c r="G118" i="81" s="1"/>
  <c r="F119" i="81" s="1"/>
  <c r="D117" i="80"/>
  <c r="G117" i="80" s="1"/>
  <c r="F118" i="80" s="1"/>
  <c r="E118" i="80" s="1"/>
  <c r="E48" i="80"/>
  <c r="D48" i="80" s="1"/>
  <c r="G48" i="80" s="1"/>
  <c r="F49" i="80" s="1"/>
  <c r="E17" i="64"/>
  <c r="D17" i="64" s="1"/>
  <c r="G17" i="64" s="1"/>
  <c r="F18" i="64" s="1"/>
  <c r="D15" i="62"/>
  <c r="G15" i="62" s="1"/>
  <c r="E55" i="83" l="1"/>
  <c r="D55" i="83" s="1"/>
  <c r="G55" i="83" s="1"/>
  <c r="F56" i="83" s="1"/>
  <c r="E55" i="84"/>
  <c r="D55" i="84" s="1"/>
  <c r="G55" i="84" s="1"/>
  <c r="F56" i="84" s="1"/>
  <c r="E119" i="81"/>
  <c r="D119" i="81" s="1"/>
  <c r="G119" i="81" s="1"/>
  <c r="F120" i="81" s="1"/>
  <c r="D118" i="80"/>
  <c r="G118" i="80" s="1"/>
  <c r="F119" i="80" s="1"/>
  <c r="E49" i="80"/>
  <c r="D49" i="80" s="1"/>
  <c r="G49" i="80" s="1"/>
  <c r="F50" i="80" s="1"/>
  <c r="E18" i="64"/>
  <c r="D18" i="64" s="1"/>
  <c r="G18" i="64" s="1"/>
  <c r="F19" i="64" s="1"/>
  <c r="F16" i="62"/>
  <c r="E56" i="84" l="1"/>
  <c r="D56" i="84" s="1"/>
  <c r="G56" i="84" s="1"/>
  <c r="F57" i="84" s="1"/>
  <c r="E56" i="83"/>
  <c r="D56" i="83" s="1"/>
  <c r="G56" i="83" s="1"/>
  <c r="F57" i="83" s="1"/>
  <c r="E120" i="81"/>
  <c r="D120" i="81" s="1"/>
  <c r="G120" i="81" s="1"/>
  <c r="F121" i="81" s="1"/>
  <c r="E119" i="80"/>
  <c r="D119" i="80" s="1"/>
  <c r="G119" i="80" s="1"/>
  <c r="F120" i="80" s="1"/>
  <c r="E50" i="80"/>
  <c r="D50" i="80" s="1"/>
  <c r="G50" i="80" s="1"/>
  <c r="F51" i="80" s="1"/>
  <c r="E19" i="64"/>
  <c r="D19" i="64" s="1"/>
  <c r="G19" i="64" s="1"/>
  <c r="F20" i="64" s="1"/>
  <c r="E16" i="62"/>
  <c r="D16" i="62" s="1"/>
  <c r="G16" i="62" s="1"/>
  <c r="F17" i="62" s="1"/>
  <c r="E17" i="62" s="1"/>
  <c r="D40" i="62"/>
  <c r="G40" i="62" s="1"/>
  <c r="F41" i="62" s="1"/>
  <c r="E57" i="83" l="1"/>
  <c r="D57" i="83" s="1"/>
  <c r="G57" i="83" s="1"/>
  <c r="F58" i="83" s="1"/>
  <c r="E57" i="84"/>
  <c r="D57" i="84" s="1"/>
  <c r="G57" i="84" s="1"/>
  <c r="F58" i="84" s="1"/>
  <c r="E121" i="81"/>
  <c r="D121" i="81" s="1"/>
  <c r="G121" i="81" s="1"/>
  <c r="F122" i="81" s="1"/>
  <c r="E120" i="80"/>
  <c r="D120" i="80" s="1"/>
  <c r="G120" i="80" s="1"/>
  <c r="F121" i="80" s="1"/>
  <c r="E121" i="80" s="1"/>
  <c r="D121" i="80" s="1"/>
  <c r="G121" i="80" s="1"/>
  <c r="F122" i="80" s="1"/>
  <c r="E122" i="80" s="1"/>
  <c r="D122" i="80" s="1"/>
  <c r="G122" i="80" s="1"/>
  <c r="F123" i="80" s="1"/>
  <c r="E123" i="80" s="1"/>
  <c r="D123" i="80" s="1"/>
  <c r="G123" i="80" s="1"/>
  <c r="F124" i="80" s="1"/>
  <c r="E124" i="80" s="1"/>
  <c r="D124" i="80" s="1"/>
  <c r="G124" i="80" s="1"/>
  <c r="F125" i="80" s="1"/>
  <c r="E51" i="80"/>
  <c r="D51" i="80" s="1"/>
  <c r="G51" i="80" s="1"/>
  <c r="F52" i="80" s="1"/>
  <c r="E20" i="64"/>
  <c r="D20" i="64" s="1"/>
  <c r="G20" i="64" s="1"/>
  <c r="F21" i="64" s="1"/>
  <c r="D17" i="62"/>
  <c r="G17" i="62" s="1"/>
  <c r="F18" i="62" s="1"/>
  <c r="E18" i="62" s="1"/>
  <c r="D41" i="62"/>
  <c r="G41" i="62" s="1"/>
  <c r="F42" i="62" s="1"/>
  <c r="E58" i="84" l="1"/>
  <c r="D58" i="84" s="1"/>
  <c r="G58" i="84" s="1"/>
  <c r="F59" i="84" s="1"/>
  <c r="E58" i="83"/>
  <c r="D58" i="83" s="1"/>
  <c r="G58" i="83" s="1"/>
  <c r="F59" i="83" s="1"/>
  <c r="E122" i="81"/>
  <c r="D122" i="81" s="1"/>
  <c r="G122" i="81" s="1"/>
  <c r="F123" i="81" s="1"/>
  <c r="E125" i="80"/>
  <c r="D125" i="80" s="1"/>
  <c r="G125" i="80" s="1"/>
  <c r="F126" i="80" s="1"/>
  <c r="E126" i="80" s="1"/>
  <c r="D126" i="80" s="1"/>
  <c r="G126" i="80" s="1"/>
  <c r="F127" i="80" s="1"/>
  <c r="E127" i="80" s="1"/>
  <c r="D127" i="80" s="1"/>
  <c r="G127" i="80" s="1"/>
  <c r="F128" i="80" s="1"/>
  <c r="E128" i="80" s="1"/>
  <c r="D128" i="80" s="1"/>
  <c r="G128" i="80" s="1"/>
  <c r="F129" i="80" s="1"/>
  <c r="E52" i="80"/>
  <c r="D52" i="80" s="1"/>
  <c r="G52" i="80" s="1"/>
  <c r="F53" i="80" s="1"/>
  <c r="E21" i="64"/>
  <c r="D21" i="64" s="1"/>
  <c r="G21" i="64" s="1"/>
  <c r="F22" i="64" s="1"/>
  <c r="D18" i="62"/>
  <c r="G18" i="62" s="1"/>
  <c r="F19" i="62" s="1"/>
  <c r="E19" i="62" s="1"/>
  <c r="D42" i="62"/>
  <c r="E59" i="83" l="1"/>
  <c r="D59" i="83" s="1"/>
  <c r="G59" i="83" s="1"/>
  <c r="F60" i="83" s="1"/>
  <c r="E59" i="84"/>
  <c r="D59" i="84" s="1"/>
  <c r="G59" i="84" s="1"/>
  <c r="F60" i="84" s="1"/>
  <c r="E123" i="81"/>
  <c r="D123" i="81" s="1"/>
  <c r="G123" i="81" s="1"/>
  <c r="F124" i="81" s="1"/>
  <c r="E129" i="80"/>
  <c r="D129" i="80" s="1"/>
  <c r="G129" i="80" s="1"/>
  <c r="F130" i="80" s="1"/>
  <c r="E53" i="80"/>
  <c r="D53" i="80" s="1"/>
  <c r="G53" i="80" s="1"/>
  <c r="F54" i="80" s="1"/>
  <c r="E22" i="64"/>
  <c r="D22" i="64" s="1"/>
  <c r="G22" i="64" s="1"/>
  <c r="F23" i="64" s="1"/>
  <c r="G42" i="62"/>
  <c r="F43" i="62" s="1"/>
  <c r="E43" i="62" s="1"/>
  <c r="D19" i="62"/>
  <c r="G19" i="62" s="1"/>
  <c r="F20" i="62" s="1"/>
  <c r="E20" i="62" s="1"/>
  <c r="E60" i="84" l="1"/>
  <c r="D60" i="84" s="1"/>
  <c r="G60" i="84" s="1"/>
  <c r="F61" i="84" s="1"/>
  <c r="E60" i="83"/>
  <c r="D60" i="83" s="1"/>
  <c r="G60" i="83" s="1"/>
  <c r="F61" i="83" s="1"/>
  <c r="E124" i="81"/>
  <c r="D124" i="81" s="1"/>
  <c r="G124" i="81" s="1"/>
  <c r="F125" i="81" s="1"/>
  <c r="E130" i="80"/>
  <c r="D130" i="80" s="1"/>
  <c r="G130" i="80" s="1"/>
  <c r="F131" i="80" s="1"/>
  <c r="D131" i="80" s="1"/>
  <c r="G131" i="80" s="1"/>
  <c r="E54" i="80"/>
  <c r="D54" i="80" s="1"/>
  <c r="G54" i="80" s="1"/>
  <c r="F55" i="80" s="1"/>
  <c r="E23" i="64"/>
  <c r="D23" i="64" s="1"/>
  <c r="G23" i="64" s="1"/>
  <c r="F24" i="64" s="1"/>
  <c r="D43" i="62"/>
  <c r="G43" i="62" s="1"/>
  <c r="F44" i="62" s="1"/>
  <c r="E44" i="62" s="1"/>
  <c r="D20" i="62"/>
  <c r="G20" i="62" s="1"/>
  <c r="F21" i="62" s="1"/>
  <c r="E21" i="62" s="1"/>
  <c r="E61" i="83" l="1"/>
  <c r="D61" i="83" s="1"/>
  <c r="G61" i="83" s="1"/>
  <c r="F62" i="83" s="1"/>
  <c r="E61" i="84"/>
  <c r="D61" i="84" s="1"/>
  <c r="G61" i="84" s="1"/>
  <c r="F62" i="84" s="1"/>
  <c r="E125" i="81"/>
  <c r="D125" i="81" s="1"/>
  <c r="G125" i="81" s="1"/>
  <c r="F126" i="81" s="1"/>
  <c r="E55" i="80"/>
  <c r="D55" i="80" s="1"/>
  <c r="G55" i="80" s="1"/>
  <c r="F56" i="80" s="1"/>
  <c r="E24" i="64"/>
  <c r="D24" i="64" s="1"/>
  <c r="G24" i="64" s="1"/>
  <c r="F25" i="64" s="1"/>
  <c r="D44" i="62"/>
  <c r="D21" i="62"/>
  <c r="G21" i="62" s="1"/>
  <c r="F22" i="62" s="1"/>
  <c r="E22" i="62" s="1"/>
  <c r="E62" i="84" l="1"/>
  <c r="D62" i="84" s="1"/>
  <c r="G62" i="84" s="1"/>
  <c r="F63" i="84" s="1"/>
  <c r="G63" i="84" s="1"/>
  <c r="E62" i="83"/>
  <c r="D62" i="83" s="1"/>
  <c r="G62" i="83" s="1"/>
  <c r="F63" i="83" s="1"/>
  <c r="G63" i="83" s="1"/>
  <c r="E126" i="81"/>
  <c r="D126" i="81" s="1"/>
  <c r="G126" i="81" s="1"/>
  <c r="F127" i="81" s="1"/>
  <c r="E56" i="80"/>
  <c r="D56" i="80" s="1"/>
  <c r="G56" i="80" s="1"/>
  <c r="F57" i="80" s="1"/>
  <c r="E25" i="64"/>
  <c r="D25" i="64" s="1"/>
  <c r="G25" i="64" s="1"/>
  <c r="F26" i="64" s="1"/>
  <c r="G44" i="62"/>
  <c r="F45" i="62" s="1"/>
  <c r="E45" i="62" s="1"/>
  <c r="D22" i="62"/>
  <c r="G22" i="62" s="1"/>
  <c r="F23" i="62" s="1"/>
  <c r="E23" i="62" s="1"/>
  <c r="E127" i="81" l="1"/>
  <c r="D127" i="81" s="1"/>
  <c r="G127" i="81" s="1"/>
  <c r="F128" i="81" s="1"/>
  <c r="E57" i="80"/>
  <c r="D57" i="80" s="1"/>
  <c r="G57" i="80" s="1"/>
  <c r="F58" i="80" s="1"/>
  <c r="E26" i="64"/>
  <c r="D26" i="64" s="1"/>
  <c r="G26" i="64" s="1"/>
  <c r="F27" i="64" s="1"/>
  <c r="D45" i="62"/>
  <c r="G45" i="62" s="1"/>
  <c r="F46" i="62" s="1"/>
  <c r="E46" i="62" s="1"/>
  <c r="D23" i="62"/>
  <c r="G23" i="62" s="1"/>
  <c r="F24" i="62" s="1"/>
  <c r="E24" i="62" s="1"/>
  <c r="E128" i="81" l="1"/>
  <c r="D128" i="81" s="1"/>
  <c r="G128" i="81" s="1"/>
  <c r="F129" i="81" s="1"/>
  <c r="E58" i="80"/>
  <c r="D58" i="80" s="1"/>
  <c r="G58" i="80" s="1"/>
  <c r="F59" i="80" s="1"/>
  <c r="E27" i="64"/>
  <c r="D27" i="64" s="1"/>
  <c r="G27" i="64" s="1"/>
  <c r="F28" i="64" s="1"/>
  <c r="D46" i="62"/>
  <c r="D24" i="62"/>
  <c r="G24" i="62" s="1"/>
  <c r="F25" i="62" s="1"/>
  <c r="E25" i="62" s="1"/>
  <c r="E129" i="81" l="1"/>
  <c r="D129" i="81" s="1"/>
  <c r="G129" i="81" s="1"/>
  <c r="F130" i="81" s="1"/>
  <c r="E59" i="80"/>
  <c r="D59" i="80" s="1"/>
  <c r="G59" i="80" s="1"/>
  <c r="F60" i="80" s="1"/>
  <c r="E28" i="64"/>
  <c r="D28" i="64" s="1"/>
  <c r="G28" i="64" s="1"/>
  <c r="F29" i="64" s="1"/>
  <c r="G46" i="62"/>
  <c r="F47" i="62" s="1"/>
  <c r="E47" i="62" s="1"/>
  <c r="D25" i="62"/>
  <c r="G25" i="62" s="1"/>
  <c r="F26" i="62" s="1"/>
  <c r="E26" i="62" s="1"/>
  <c r="E130" i="81" l="1"/>
  <c r="D130" i="81" s="1"/>
  <c r="G130" i="81" s="1"/>
  <c r="F131" i="81" s="1"/>
  <c r="E60" i="80"/>
  <c r="D60" i="80" s="1"/>
  <c r="G60" i="80" s="1"/>
  <c r="F61" i="80" s="1"/>
  <c r="E29" i="64"/>
  <c r="D29" i="64" s="1"/>
  <c r="G29" i="64" s="1"/>
  <c r="F30" i="64" s="1"/>
  <c r="D47" i="62"/>
  <c r="D26" i="62"/>
  <c r="G26" i="62" s="1"/>
  <c r="F27" i="62" s="1"/>
  <c r="E27" i="62" s="1"/>
  <c r="D131" i="81" l="1"/>
  <c r="G131" i="81" s="1"/>
  <c r="E61" i="80"/>
  <c r="D61" i="80" s="1"/>
  <c r="G61" i="80" s="1"/>
  <c r="F62" i="80" s="1"/>
  <c r="E30" i="64"/>
  <c r="D30" i="64" s="1"/>
  <c r="G30" i="64" s="1"/>
  <c r="F31" i="64" s="1"/>
  <c r="G47" i="62"/>
  <c r="F48" i="62" s="1"/>
  <c r="E48" i="62" s="1"/>
  <c r="D27" i="62"/>
  <c r="G27" i="62" s="1"/>
  <c r="F28" i="62" s="1"/>
  <c r="E28" i="62" s="1"/>
  <c r="E62" i="80" l="1"/>
  <c r="D62" i="80" s="1"/>
  <c r="G62" i="80" s="1"/>
  <c r="F63" i="80" s="1"/>
  <c r="E31" i="64"/>
  <c r="D31" i="64" s="1"/>
  <c r="G31" i="64" s="1"/>
  <c r="F32" i="64" s="1"/>
  <c r="D48" i="62"/>
  <c r="D28" i="62"/>
  <c r="G28" i="62" s="1"/>
  <c r="F29" i="62" s="1"/>
  <c r="E29" i="62" s="1"/>
  <c r="D63" i="80" l="1"/>
  <c r="G63" i="80" s="1"/>
  <c r="E32" i="64"/>
  <c r="D32" i="64" s="1"/>
  <c r="G32" i="64" s="1"/>
  <c r="F33" i="64" s="1"/>
  <c r="G48" i="62"/>
  <c r="F49" i="62" s="1"/>
  <c r="E49" i="62" s="1"/>
  <c r="D29" i="62"/>
  <c r="G29" i="62" s="1"/>
  <c r="F30" i="62" s="1"/>
  <c r="E30" i="62" s="1"/>
  <c r="E33" i="64" l="1"/>
  <c r="D33" i="64" s="1"/>
  <c r="G33" i="64" s="1"/>
  <c r="F34" i="64" s="1"/>
  <c r="D49" i="62"/>
  <c r="D30" i="62"/>
  <c r="G30" i="62" s="1"/>
  <c r="F31" i="62" s="1"/>
  <c r="E31" i="62" s="1"/>
  <c r="E34" i="64" l="1"/>
  <c r="D34" i="64" s="1"/>
  <c r="G34" i="64" s="1"/>
  <c r="F35" i="64" s="1"/>
  <c r="G49" i="62"/>
  <c r="F50" i="62" s="1"/>
  <c r="E50" i="62" s="1"/>
  <c r="D31" i="62"/>
  <c r="G31" i="62" s="1"/>
  <c r="F32" i="62" s="1"/>
  <c r="E32" i="62" s="1"/>
  <c r="E35" i="64" l="1"/>
  <c r="D35" i="64" s="1"/>
  <c r="G35" i="64" s="1"/>
  <c r="F36" i="64" s="1"/>
  <c r="D50" i="62"/>
  <c r="D32" i="62"/>
  <c r="G32" i="62" s="1"/>
  <c r="F33" i="62" s="1"/>
  <c r="E33" i="62" s="1"/>
  <c r="E36" i="64" l="1"/>
  <c r="D36" i="64" s="1"/>
  <c r="G36" i="64" s="1"/>
  <c r="F37" i="64" s="1"/>
  <c r="G50" i="62"/>
  <c r="F51" i="62" s="1"/>
  <c r="E51" i="62" s="1"/>
  <c r="D33" i="62"/>
  <c r="G33" i="62" s="1"/>
  <c r="F34" i="62" s="1"/>
  <c r="E34" i="62" s="1"/>
  <c r="E37" i="64" l="1"/>
  <c r="D37" i="64" s="1"/>
  <c r="G37" i="64" s="1"/>
  <c r="F38" i="64" s="1"/>
  <c r="D51" i="62"/>
  <c r="G51" i="62" s="1"/>
  <c r="D34" i="62"/>
  <c r="G34" i="62" s="1"/>
  <c r="F35" i="62" s="1"/>
  <c r="E35" i="62" s="1"/>
  <c r="F52" i="62" l="1"/>
  <c r="E52" i="62" s="1"/>
  <c r="E38" i="64"/>
  <c r="D38" i="64" s="1"/>
  <c r="G38" i="64" s="1"/>
  <c r="F39" i="64" s="1"/>
  <c r="G39" i="64" s="1"/>
  <c r="D35" i="62"/>
  <c r="G35" i="62" s="1"/>
  <c r="F36" i="62" s="1"/>
  <c r="E36" i="62" s="1"/>
  <c r="D52" i="62" l="1"/>
  <c r="G52" i="62" s="1"/>
  <c r="F53" i="62" s="1"/>
  <c r="D36" i="62"/>
  <c r="G36" i="62" s="1"/>
  <c r="F37" i="62" s="1"/>
  <c r="E37" i="62" s="1"/>
  <c r="D53" i="62" l="1"/>
  <c r="D37" i="62"/>
  <c r="G37" i="62" s="1"/>
  <c r="F38" i="62" s="1"/>
  <c r="E38" i="62" s="1"/>
  <c r="G53" i="62" l="1"/>
  <c r="F54" i="62" s="1"/>
  <c r="D38" i="62"/>
  <c r="G38" i="62" s="1"/>
  <c r="F39" i="62" s="1"/>
  <c r="D54" i="62" l="1"/>
  <c r="D39" i="62"/>
  <c r="G39" i="62" s="1"/>
  <c r="G54" i="62" l="1"/>
  <c r="F55" i="62" s="1"/>
  <c r="E55" i="62" s="1"/>
  <c r="D55" i="62" l="1"/>
  <c r="G55" i="62" l="1"/>
  <c r="F56" i="62" s="1"/>
  <c r="E56" i="62" s="1"/>
  <c r="D56" i="62" l="1"/>
  <c r="G56" i="62" l="1"/>
  <c r="F57" i="62" s="1"/>
  <c r="E57" i="62" s="1"/>
  <c r="B40" i="60"/>
  <c r="F2" i="60"/>
  <c r="D2" i="60"/>
  <c r="D57" i="62" l="1"/>
  <c r="N2" i="60"/>
  <c r="L2" i="60"/>
  <c r="F1" i="60"/>
  <c r="C40" i="60" s="1"/>
  <c r="B67" i="60"/>
  <c r="B66" i="60"/>
  <c r="B65" i="60"/>
  <c r="B64" i="60"/>
  <c r="B63" i="60"/>
  <c r="B62" i="60"/>
  <c r="B61" i="60"/>
  <c r="B60" i="60"/>
  <c r="B59" i="60"/>
  <c r="B58" i="60"/>
  <c r="B57" i="60"/>
  <c r="B56" i="60"/>
  <c r="B55" i="60"/>
  <c r="B54" i="60"/>
  <c r="B53" i="60"/>
  <c r="B52" i="60"/>
  <c r="B51" i="60"/>
  <c r="B50" i="60"/>
  <c r="B49" i="60"/>
  <c r="B48" i="60"/>
  <c r="B47" i="60"/>
  <c r="B46" i="60"/>
  <c r="B45" i="60"/>
  <c r="B44" i="60"/>
  <c r="B43" i="60"/>
  <c r="B42" i="60"/>
  <c r="B41" i="60"/>
  <c r="B39" i="60"/>
  <c r="B38" i="60"/>
  <c r="B37" i="60"/>
  <c r="B36" i="60"/>
  <c r="B35" i="60"/>
  <c r="B34" i="60"/>
  <c r="B33" i="60"/>
  <c r="B32" i="60"/>
  <c r="B31" i="60"/>
  <c r="B30" i="60"/>
  <c r="B29" i="60"/>
  <c r="B28" i="60"/>
  <c r="B27" i="60"/>
  <c r="B26" i="60"/>
  <c r="B25" i="60"/>
  <c r="B24" i="60"/>
  <c r="B23" i="60"/>
  <c r="B22" i="60"/>
  <c r="B21" i="60"/>
  <c r="B20" i="60"/>
  <c r="B19" i="60"/>
  <c r="B18" i="60"/>
  <c r="B17" i="60"/>
  <c r="B16" i="60"/>
  <c r="B15" i="60"/>
  <c r="B14" i="60"/>
  <c r="B13" i="60"/>
  <c r="B12" i="60"/>
  <c r="B11" i="60"/>
  <c r="B10" i="60"/>
  <c r="B9" i="60"/>
  <c r="B8" i="60"/>
  <c r="B7" i="60"/>
  <c r="B6" i="60"/>
  <c r="B5" i="60"/>
  <c r="B4" i="60"/>
  <c r="E4" i="60" s="1"/>
  <c r="D1" i="60"/>
  <c r="G57" i="62" l="1"/>
  <c r="F58" i="62" s="1"/>
  <c r="E58" i="62" s="1"/>
  <c r="C39" i="60"/>
  <c r="D39" i="60" s="1"/>
  <c r="C59" i="60"/>
  <c r="C60" i="60"/>
  <c r="C57" i="60"/>
  <c r="C53" i="60"/>
  <c r="C61" i="60"/>
  <c r="C63" i="60"/>
  <c r="C56" i="60"/>
  <c r="C54" i="60"/>
  <c r="C62" i="60"/>
  <c r="C55" i="60"/>
  <c r="C58" i="60"/>
  <c r="C67" i="60"/>
  <c r="C64" i="60"/>
  <c r="C66" i="60"/>
  <c r="C65" i="60"/>
  <c r="C6" i="60"/>
  <c r="C10" i="60"/>
  <c r="C14" i="60"/>
  <c r="C18" i="60"/>
  <c r="C22" i="60"/>
  <c r="C26" i="60"/>
  <c r="C30" i="60"/>
  <c r="C34" i="60"/>
  <c r="C38" i="60"/>
  <c r="C41" i="60"/>
  <c r="C45" i="60"/>
  <c r="C49" i="60"/>
  <c r="C5" i="60"/>
  <c r="C9" i="60"/>
  <c r="C13" i="60"/>
  <c r="C17" i="60"/>
  <c r="C21" i="60"/>
  <c r="C25" i="60"/>
  <c r="C29" i="60"/>
  <c r="C33" i="60"/>
  <c r="C37" i="60"/>
  <c r="C44" i="60"/>
  <c r="C48" i="60"/>
  <c r="C8" i="60"/>
  <c r="C12" i="60"/>
  <c r="C16" i="60"/>
  <c r="C20" i="60"/>
  <c r="C24" i="60"/>
  <c r="C28" i="60"/>
  <c r="C32" i="60"/>
  <c r="C36" i="60"/>
  <c r="C4" i="60"/>
  <c r="D4" i="60" s="1"/>
  <c r="G4" i="60" s="1"/>
  <c r="F5" i="60" s="1"/>
  <c r="C43" i="60"/>
  <c r="C47" i="60"/>
  <c r="C51" i="60"/>
  <c r="C7" i="60"/>
  <c r="C11" i="60"/>
  <c r="C15" i="60"/>
  <c r="C19" i="60"/>
  <c r="C23" i="60"/>
  <c r="C27" i="60"/>
  <c r="C31" i="60"/>
  <c r="C35" i="60"/>
  <c r="C42" i="60"/>
  <c r="C46" i="60"/>
  <c r="C50" i="60"/>
  <c r="F1" i="57"/>
  <c r="C9" i="57" s="1"/>
  <c r="D9" i="57" s="1"/>
  <c r="B8" i="57"/>
  <c r="B6" i="57"/>
  <c r="B7" i="57"/>
  <c r="B9" i="57"/>
  <c r="B5" i="57"/>
  <c r="B4" i="57"/>
  <c r="E4" i="57" s="1"/>
  <c r="G4" i="57"/>
  <c r="F8" i="57" s="1"/>
  <c r="D1" i="57"/>
  <c r="C8" i="57" s="1"/>
  <c r="G9" i="56"/>
  <c r="F8" i="56"/>
  <c r="E8" i="56"/>
  <c r="C9" i="56"/>
  <c r="B8" i="56"/>
  <c r="F1" i="56"/>
  <c r="F1" i="58"/>
  <c r="C264" i="58" s="1"/>
  <c r="B476" i="58"/>
  <c r="B477" i="58"/>
  <c r="B478" i="58"/>
  <c r="B479" i="58"/>
  <c r="B480" i="58"/>
  <c r="C480" i="58"/>
  <c r="B481" i="58"/>
  <c r="B482" i="58"/>
  <c r="B483" i="58"/>
  <c r="B484" i="58"/>
  <c r="B485" i="58"/>
  <c r="C479" i="58"/>
  <c r="B247" i="58"/>
  <c r="B248" i="58"/>
  <c r="B249" i="58"/>
  <c r="B250" i="58"/>
  <c r="B251" i="58"/>
  <c r="B252" i="58"/>
  <c r="B253" i="58"/>
  <c r="B254" i="58"/>
  <c r="B255" i="58"/>
  <c r="B256" i="58"/>
  <c r="B257" i="58"/>
  <c r="B258" i="58"/>
  <c r="B259" i="58"/>
  <c r="B260" i="58"/>
  <c r="B261" i="58"/>
  <c r="B262" i="58"/>
  <c r="B263" i="58"/>
  <c r="B264" i="58"/>
  <c r="B265" i="58"/>
  <c r="B266" i="58"/>
  <c r="B267" i="58"/>
  <c r="B268" i="58"/>
  <c r="B269" i="58"/>
  <c r="B270" i="58"/>
  <c r="B271" i="58"/>
  <c r="B272" i="58"/>
  <c r="B273" i="58"/>
  <c r="B274" i="58"/>
  <c r="B275" i="58"/>
  <c r="B276" i="58"/>
  <c r="B277" i="58"/>
  <c r="B278" i="58"/>
  <c r="B279" i="58"/>
  <c r="B280" i="58"/>
  <c r="B281" i="58"/>
  <c r="B282" i="58"/>
  <c r="B283" i="58"/>
  <c r="B284" i="58"/>
  <c r="B285" i="58"/>
  <c r="B286" i="58"/>
  <c r="B287" i="58"/>
  <c r="B288" i="58"/>
  <c r="B289" i="58"/>
  <c r="B290" i="58"/>
  <c r="B291" i="58"/>
  <c r="B292" i="58"/>
  <c r="B293" i="58"/>
  <c r="B294" i="58"/>
  <c r="B295" i="58"/>
  <c r="B296" i="58"/>
  <c r="B297" i="58"/>
  <c r="B298" i="58"/>
  <c r="B299" i="58"/>
  <c r="B300" i="58"/>
  <c r="B301" i="58"/>
  <c r="B302" i="58"/>
  <c r="B303" i="58"/>
  <c r="B304" i="58"/>
  <c r="B305" i="58"/>
  <c r="B306" i="58"/>
  <c r="B307" i="58"/>
  <c r="B308" i="58"/>
  <c r="B309" i="58"/>
  <c r="B310" i="58"/>
  <c r="B311" i="58"/>
  <c r="B312" i="58"/>
  <c r="B313" i="58"/>
  <c r="B314" i="58"/>
  <c r="B315" i="58"/>
  <c r="B316" i="58"/>
  <c r="B317" i="58"/>
  <c r="B318" i="58"/>
  <c r="B319" i="58"/>
  <c r="B320" i="58"/>
  <c r="B321" i="58"/>
  <c r="B322" i="58"/>
  <c r="B323" i="58"/>
  <c r="B324" i="58"/>
  <c r="B325" i="58"/>
  <c r="B326" i="58"/>
  <c r="B327" i="58"/>
  <c r="B328" i="58"/>
  <c r="B329" i="58"/>
  <c r="B330" i="58"/>
  <c r="B331" i="58"/>
  <c r="B332" i="58"/>
  <c r="B333" i="58"/>
  <c r="B334" i="58"/>
  <c r="B335" i="58"/>
  <c r="B336" i="58"/>
  <c r="B337" i="58"/>
  <c r="B338" i="58"/>
  <c r="B339" i="58"/>
  <c r="B340" i="58"/>
  <c r="B341" i="58"/>
  <c r="B342" i="58"/>
  <c r="B343" i="58"/>
  <c r="B344" i="58"/>
  <c r="B345" i="58"/>
  <c r="B346" i="58"/>
  <c r="B347" i="58"/>
  <c r="B348" i="58"/>
  <c r="B349" i="58"/>
  <c r="B350" i="58"/>
  <c r="B351" i="58"/>
  <c r="B352" i="58"/>
  <c r="B353" i="58"/>
  <c r="B354" i="58"/>
  <c r="B355" i="58"/>
  <c r="B356" i="58"/>
  <c r="B357" i="58"/>
  <c r="B358" i="58"/>
  <c r="B359" i="58"/>
  <c r="B360" i="58"/>
  <c r="B361" i="58"/>
  <c r="B362" i="58"/>
  <c r="B363" i="58"/>
  <c r="B364" i="58"/>
  <c r="B365" i="58"/>
  <c r="B366" i="58"/>
  <c r="B367" i="58"/>
  <c r="B368" i="58"/>
  <c r="B369" i="58"/>
  <c r="B370" i="58"/>
  <c r="B371" i="58"/>
  <c r="B372" i="58"/>
  <c r="B373" i="58"/>
  <c r="B374" i="58"/>
  <c r="B375" i="58"/>
  <c r="B376" i="58"/>
  <c r="B377" i="58"/>
  <c r="B378" i="58"/>
  <c r="B379" i="58"/>
  <c r="B380" i="58"/>
  <c r="B381" i="58"/>
  <c r="B382" i="58"/>
  <c r="B383" i="58"/>
  <c r="B384" i="58"/>
  <c r="B385" i="58"/>
  <c r="B386" i="58"/>
  <c r="B387" i="58"/>
  <c r="B388" i="58"/>
  <c r="B389" i="58"/>
  <c r="B390" i="58"/>
  <c r="B391" i="58"/>
  <c r="B392" i="58"/>
  <c r="B393" i="58"/>
  <c r="B394" i="58"/>
  <c r="B395" i="58"/>
  <c r="B396" i="58"/>
  <c r="B397" i="58"/>
  <c r="B398" i="58"/>
  <c r="B399" i="58"/>
  <c r="B400" i="58"/>
  <c r="B401" i="58"/>
  <c r="B402" i="58"/>
  <c r="B403" i="58"/>
  <c r="B404" i="58"/>
  <c r="B405" i="58"/>
  <c r="B406" i="58"/>
  <c r="B407" i="58"/>
  <c r="B408" i="58"/>
  <c r="B409" i="58"/>
  <c r="B410" i="58"/>
  <c r="B411" i="58"/>
  <c r="B412" i="58"/>
  <c r="B413" i="58"/>
  <c r="B414" i="58"/>
  <c r="B415" i="58"/>
  <c r="B416" i="58"/>
  <c r="B417" i="58"/>
  <c r="B418" i="58"/>
  <c r="B419" i="58"/>
  <c r="B420" i="58"/>
  <c r="B421" i="58"/>
  <c r="B422" i="58"/>
  <c r="B423" i="58"/>
  <c r="B424" i="58"/>
  <c r="B425" i="58"/>
  <c r="B426" i="58"/>
  <c r="B427" i="58"/>
  <c r="B428" i="58"/>
  <c r="B429" i="58"/>
  <c r="B430" i="58"/>
  <c r="B431" i="58"/>
  <c r="B432" i="58"/>
  <c r="B433" i="58"/>
  <c r="B434" i="58"/>
  <c r="B435" i="58"/>
  <c r="B436" i="58"/>
  <c r="B437" i="58"/>
  <c r="B438" i="58"/>
  <c r="B439" i="58"/>
  <c r="B440" i="58"/>
  <c r="B441" i="58"/>
  <c r="B442" i="58"/>
  <c r="B443" i="58"/>
  <c r="B444" i="58"/>
  <c r="B445" i="58"/>
  <c r="B446" i="58"/>
  <c r="B447" i="58"/>
  <c r="B448" i="58"/>
  <c r="B449" i="58"/>
  <c r="B450" i="58"/>
  <c r="B451" i="58"/>
  <c r="B452" i="58"/>
  <c r="B453" i="58"/>
  <c r="B454" i="58"/>
  <c r="B455" i="58"/>
  <c r="B456" i="58"/>
  <c r="B457" i="58"/>
  <c r="B458" i="58"/>
  <c r="B459" i="58"/>
  <c r="B460" i="58"/>
  <c r="B461" i="58"/>
  <c r="B462" i="58"/>
  <c r="B463" i="58"/>
  <c r="B464" i="58"/>
  <c r="B465" i="58"/>
  <c r="B466" i="58"/>
  <c r="B467" i="58"/>
  <c r="B468" i="58"/>
  <c r="B469" i="58"/>
  <c r="B470" i="58"/>
  <c r="B471" i="58"/>
  <c r="B472" i="58"/>
  <c r="B473" i="58"/>
  <c r="B474" i="58"/>
  <c r="B475" i="58"/>
  <c r="B246" i="58"/>
  <c r="B245" i="58"/>
  <c r="B6" i="58"/>
  <c r="B7" i="58"/>
  <c r="B8" i="58"/>
  <c r="B9" i="58"/>
  <c r="B10" i="58"/>
  <c r="B11" i="58"/>
  <c r="B12" i="58"/>
  <c r="B13" i="58"/>
  <c r="B14" i="58"/>
  <c r="B15" i="58"/>
  <c r="B16" i="58"/>
  <c r="B17" i="58"/>
  <c r="B18" i="58"/>
  <c r="B19" i="58"/>
  <c r="B20" i="58"/>
  <c r="B21" i="58"/>
  <c r="B22" i="58"/>
  <c r="B23" i="58"/>
  <c r="B24" i="58"/>
  <c r="B25" i="58"/>
  <c r="B26" i="58"/>
  <c r="B27" i="58"/>
  <c r="B28" i="58"/>
  <c r="B29" i="58"/>
  <c r="B30" i="58"/>
  <c r="B31" i="58"/>
  <c r="B32" i="58"/>
  <c r="B33" i="58"/>
  <c r="B34" i="58"/>
  <c r="B35" i="58"/>
  <c r="B36" i="58"/>
  <c r="B37" i="58"/>
  <c r="B38" i="58"/>
  <c r="B39" i="58"/>
  <c r="B40" i="58"/>
  <c r="B41" i="58"/>
  <c r="B42" i="58"/>
  <c r="B43" i="58"/>
  <c r="B44" i="58"/>
  <c r="B45" i="58"/>
  <c r="B46" i="58"/>
  <c r="B47" i="58"/>
  <c r="B48" i="58"/>
  <c r="B49" i="58"/>
  <c r="B50" i="58"/>
  <c r="B51" i="58"/>
  <c r="B52" i="58"/>
  <c r="B53" i="58"/>
  <c r="B54" i="58"/>
  <c r="B55" i="58"/>
  <c r="B56" i="58"/>
  <c r="B57" i="58"/>
  <c r="B58" i="58"/>
  <c r="B59" i="58"/>
  <c r="B60" i="58"/>
  <c r="B61" i="58"/>
  <c r="B62" i="58"/>
  <c r="B63" i="58"/>
  <c r="B64" i="58"/>
  <c r="B65" i="58"/>
  <c r="B66" i="58"/>
  <c r="B67" i="58"/>
  <c r="B68" i="58"/>
  <c r="B69" i="58"/>
  <c r="B70" i="58"/>
  <c r="B71" i="58"/>
  <c r="B72" i="58"/>
  <c r="B73" i="58"/>
  <c r="B74" i="58"/>
  <c r="B75" i="58"/>
  <c r="B76" i="58"/>
  <c r="B77" i="58"/>
  <c r="B78" i="58"/>
  <c r="B79" i="58"/>
  <c r="B80" i="58"/>
  <c r="B81" i="58"/>
  <c r="B82" i="58"/>
  <c r="B83" i="58"/>
  <c r="B84" i="58"/>
  <c r="B85" i="58"/>
  <c r="B86" i="58"/>
  <c r="B87" i="58"/>
  <c r="B88" i="58"/>
  <c r="B89" i="58"/>
  <c r="B90" i="58"/>
  <c r="B91" i="58"/>
  <c r="B92" i="58"/>
  <c r="B93" i="58"/>
  <c r="B94" i="58"/>
  <c r="B95" i="58"/>
  <c r="B96" i="58"/>
  <c r="B97" i="58"/>
  <c r="B98" i="58"/>
  <c r="B99" i="58"/>
  <c r="B100" i="58"/>
  <c r="B101" i="58"/>
  <c r="B102" i="58"/>
  <c r="B103" i="58"/>
  <c r="B104" i="58"/>
  <c r="B105" i="58"/>
  <c r="B106" i="58"/>
  <c r="B107" i="58"/>
  <c r="B108" i="58"/>
  <c r="B109" i="58"/>
  <c r="B110" i="58"/>
  <c r="B111" i="58"/>
  <c r="B112" i="58"/>
  <c r="B113" i="58"/>
  <c r="B114" i="58"/>
  <c r="B115" i="58"/>
  <c r="B116" i="58"/>
  <c r="B117" i="58"/>
  <c r="B118" i="58"/>
  <c r="B119" i="58"/>
  <c r="B120" i="58"/>
  <c r="B121" i="58"/>
  <c r="B122" i="58"/>
  <c r="B123" i="58"/>
  <c r="B124" i="58"/>
  <c r="B125" i="58"/>
  <c r="B126" i="58"/>
  <c r="B127" i="58"/>
  <c r="B128" i="58"/>
  <c r="B129" i="58"/>
  <c r="B130" i="58"/>
  <c r="B131" i="58"/>
  <c r="B132" i="58"/>
  <c r="B133" i="58"/>
  <c r="B134" i="58"/>
  <c r="B135" i="58"/>
  <c r="B136" i="58"/>
  <c r="B137" i="58"/>
  <c r="B138" i="58"/>
  <c r="B139" i="58"/>
  <c r="B140" i="58"/>
  <c r="B141" i="58"/>
  <c r="B142" i="58"/>
  <c r="B143" i="58"/>
  <c r="B144" i="58"/>
  <c r="B145" i="58"/>
  <c r="B146" i="58"/>
  <c r="B147" i="58"/>
  <c r="B148" i="58"/>
  <c r="B149" i="58"/>
  <c r="B150" i="58"/>
  <c r="B151" i="58"/>
  <c r="B152" i="58"/>
  <c r="B153" i="58"/>
  <c r="B154" i="58"/>
  <c r="B155" i="58"/>
  <c r="B156" i="58"/>
  <c r="B157" i="58"/>
  <c r="B158" i="58"/>
  <c r="B159" i="58"/>
  <c r="B160" i="58"/>
  <c r="B161" i="58"/>
  <c r="B162" i="58"/>
  <c r="B163" i="58"/>
  <c r="B164" i="58"/>
  <c r="B165" i="58"/>
  <c r="B166" i="58"/>
  <c r="B167" i="58"/>
  <c r="B168" i="58"/>
  <c r="B169" i="58"/>
  <c r="B170" i="58"/>
  <c r="B171" i="58"/>
  <c r="B172" i="58"/>
  <c r="B173" i="58"/>
  <c r="B174" i="58"/>
  <c r="B175" i="58"/>
  <c r="B176" i="58"/>
  <c r="B177" i="58"/>
  <c r="B178" i="58"/>
  <c r="B179" i="58"/>
  <c r="B180" i="58"/>
  <c r="B181" i="58"/>
  <c r="B182" i="58"/>
  <c r="B183" i="58"/>
  <c r="B184" i="58"/>
  <c r="B185" i="58"/>
  <c r="B186" i="58"/>
  <c r="B187" i="58"/>
  <c r="B188" i="58"/>
  <c r="B189" i="58"/>
  <c r="B190" i="58"/>
  <c r="B191" i="58"/>
  <c r="B192" i="58"/>
  <c r="B193" i="58"/>
  <c r="B194" i="58"/>
  <c r="B195" i="58"/>
  <c r="B196" i="58"/>
  <c r="B197" i="58"/>
  <c r="B198" i="58"/>
  <c r="B199" i="58"/>
  <c r="B200" i="58"/>
  <c r="B201" i="58"/>
  <c r="B202" i="58"/>
  <c r="B203" i="58"/>
  <c r="B204" i="58"/>
  <c r="B205" i="58"/>
  <c r="B206" i="58"/>
  <c r="B207" i="58"/>
  <c r="B208" i="58"/>
  <c r="B209" i="58"/>
  <c r="B210" i="58"/>
  <c r="B211" i="58"/>
  <c r="B212" i="58"/>
  <c r="B213" i="58"/>
  <c r="B214" i="58"/>
  <c r="B215" i="58"/>
  <c r="B216" i="58"/>
  <c r="B217" i="58"/>
  <c r="B218" i="58"/>
  <c r="B219" i="58"/>
  <c r="B220" i="58"/>
  <c r="B221" i="58"/>
  <c r="B222" i="58"/>
  <c r="B223" i="58"/>
  <c r="B224" i="58"/>
  <c r="B225" i="58"/>
  <c r="B226" i="58"/>
  <c r="B227" i="58"/>
  <c r="B228" i="58"/>
  <c r="B229" i="58"/>
  <c r="B230" i="58"/>
  <c r="B231" i="58"/>
  <c r="B232" i="58"/>
  <c r="B233" i="58"/>
  <c r="B234" i="58"/>
  <c r="B235" i="58"/>
  <c r="B236" i="58"/>
  <c r="B237" i="58"/>
  <c r="B238" i="58"/>
  <c r="B239" i="58"/>
  <c r="B240" i="58"/>
  <c r="B241" i="58"/>
  <c r="B242" i="58"/>
  <c r="B243" i="58"/>
  <c r="B244" i="58"/>
  <c r="B5" i="58"/>
  <c r="H5" i="58" s="1"/>
  <c r="B4" i="58"/>
  <c r="E4" i="58" s="1"/>
  <c r="D1" i="58"/>
  <c r="C198" i="58" s="1"/>
  <c r="C56" i="58"/>
  <c r="C36" i="58"/>
  <c r="C35" i="58"/>
  <c r="C9" i="58"/>
  <c r="G4" i="58"/>
  <c r="B476" i="54"/>
  <c r="B477" i="54"/>
  <c r="B478" i="54"/>
  <c r="B479" i="54"/>
  <c r="B480" i="54"/>
  <c r="B481" i="54"/>
  <c r="B482" i="54"/>
  <c r="B483" i="54"/>
  <c r="B484" i="54"/>
  <c r="B485" i="54"/>
  <c r="B247" i="54"/>
  <c r="B248" i="54"/>
  <c r="B249" i="54"/>
  <c r="B250" i="54"/>
  <c r="B251" i="54"/>
  <c r="B252" i="54"/>
  <c r="B253" i="54"/>
  <c r="B254" i="54"/>
  <c r="B255" i="54"/>
  <c r="B256" i="54"/>
  <c r="B257" i="54"/>
  <c r="B258" i="54"/>
  <c r="B259" i="54"/>
  <c r="B260" i="54"/>
  <c r="B261" i="54"/>
  <c r="B262" i="54"/>
  <c r="B263" i="54"/>
  <c r="B264" i="54"/>
  <c r="B265" i="54"/>
  <c r="B266" i="54"/>
  <c r="B267" i="54"/>
  <c r="B268" i="54"/>
  <c r="B269" i="54"/>
  <c r="B270" i="54"/>
  <c r="B271" i="54"/>
  <c r="B272" i="54"/>
  <c r="B273" i="54"/>
  <c r="B274" i="54"/>
  <c r="B275" i="54"/>
  <c r="B276" i="54"/>
  <c r="B277" i="54"/>
  <c r="B278" i="54"/>
  <c r="B279" i="54"/>
  <c r="B280" i="54"/>
  <c r="B281" i="54"/>
  <c r="B282" i="54"/>
  <c r="B283" i="54"/>
  <c r="B284" i="54"/>
  <c r="B285" i="54"/>
  <c r="B286" i="54"/>
  <c r="B287" i="54"/>
  <c r="B288" i="54"/>
  <c r="B289" i="54"/>
  <c r="B290" i="54"/>
  <c r="B291" i="54"/>
  <c r="B292" i="54"/>
  <c r="B293" i="54"/>
  <c r="B294" i="54"/>
  <c r="B295" i="54"/>
  <c r="B296" i="54"/>
  <c r="B297" i="54"/>
  <c r="B298" i="54"/>
  <c r="B299" i="54"/>
  <c r="B300" i="54"/>
  <c r="B301" i="54"/>
  <c r="B302" i="54"/>
  <c r="B303" i="54"/>
  <c r="B304" i="54"/>
  <c r="B305" i="54"/>
  <c r="B306" i="54"/>
  <c r="B307" i="54"/>
  <c r="B308" i="54"/>
  <c r="B309" i="54"/>
  <c r="B310" i="54"/>
  <c r="B311" i="54"/>
  <c r="B312" i="54"/>
  <c r="B313" i="54"/>
  <c r="B314" i="54"/>
  <c r="B315" i="54"/>
  <c r="B316" i="54"/>
  <c r="B317" i="54"/>
  <c r="B318" i="54"/>
  <c r="B319" i="54"/>
  <c r="B320" i="54"/>
  <c r="B321" i="54"/>
  <c r="B322" i="54"/>
  <c r="B323" i="54"/>
  <c r="B324" i="54"/>
  <c r="B325" i="54"/>
  <c r="B326" i="54"/>
  <c r="B327" i="54"/>
  <c r="B328" i="54"/>
  <c r="B329" i="54"/>
  <c r="B330" i="54"/>
  <c r="B331" i="54"/>
  <c r="B332" i="54"/>
  <c r="B333" i="54"/>
  <c r="B334" i="54"/>
  <c r="B335" i="54"/>
  <c r="B336" i="54"/>
  <c r="B337" i="54"/>
  <c r="B338" i="54"/>
  <c r="B339" i="54"/>
  <c r="B340" i="54"/>
  <c r="B341" i="54"/>
  <c r="B342" i="54"/>
  <c r="B343" i="54"/>
  <c r="B344" i="54"/>
  <c r="B345" i="54"/>
  <c r="B346" i="54"/>
  <c r="B347" i="54"/>
  <c r="B348" i="54"/>
  <c r="B349" i="54"/>
  <c r="B350" i="54"/>
  <c r="B351" i="54"/>
  <c r="B352" i="54"/>
  <c r="B353" i="54"/>
  <c r="B354" i="54"/>
  <c r="B355" i="54"/>
  <c r="B356" i="54"/>
  <c r="B357" i="54"/>
  <c r="B358" i="54"/>
  <c r="B359" i="54"/>
  <c r="B360" i="54"/>
  <c r="B361" i="54"/>
  <c r="B362" i="54"/>
  <c r="B363" i="54"/>
  <c r="B364" i="54"/>
  <c r="B365" i="54"/>
  <c r="B366" i="54"/>
  <c r="B367" i="54"/>
  <c r="B368" i="54"/>
  <c r="B369" i="54"/>
  <c r="B370" i="54"/>
  <c r="B371" i="54"/>
  <c r="B372" i="54"/>
  <c r="B373" i="54"/>
  <c r="B374" i="54"/>
  <c r="B375" i="54"/>
  <c r="B376" i="54"/>
  <c r="B377" i="54"/>
  <c r="B378" i="54"/>
  <c r="B379" i="54"/>
  <c r="B380" i="54"/>
  <c r="B381" i="54"/>
  <c r="B382" i="54"/>
  <c r="B383" i="54"/>
  <c r="B384" i="54"/>
  <c r="B385" i="54"/>
  <c r="B386" i="54"/>
  <c r="B387" i="54"/>
  <c r="B388" i="54"/>
  <c r="B389" i="54"/>
  <c r="B390" i="54"/>
  <c r="B391" i="54"/>
  <c r="B392" i="54"/>
  <c r="B393" i="54"/>
  <c r="B394" i="54"/>
  <c r="B395" i="54"/>
  <c r="B396" i="54"/>
  <c r="B397" i="54"/>
  <c r="B398" i="54"/>
  <c r="B399" i="54"/>
  <c r="B400" i="54"/>
  <c r="B401" i="54"/>
  <c r="B402" i="54"/>
  <c r="B403" i="54"/>
  <c r="B404" i="54"/>
  <c r="B405" i="54"/>
  <c r="B406" i="54"/>
  <c r="B407" i="54"/>
  <c r="B408" i="54"/>
  <c r="B409" i="54"/>
  <c r="B410" i="54"/>
  <c r="B411" i="54"/>
  <c r="B412" i="54"/>
  <c r="B413" i="54"/>
  <c r="B414" i="54"/>
  <c r="B415" i="54"/>
  <c r="B416" i="54"/>
  <c r="B417" i="54"/>
  <c r="B418" i="54"/>
  <c r="B419" i="54"/>
  <c r="B420" i="54"/>
  <c r="B421" i="54"/>
  <c r="B422" i="54"/>
  <c r="B423" i="54"/>
  <c r="B424" i="54"/>
  <c r="B425" i="54"/>
  <c r="B426" i="54"/>
  <c r="B427" i="54"/>
  <c r="B428" i="54"/>
  <c r="B429" i="54"/>
  <c r="B430" i="54"/>
  <c r="B431" i="54"/>
  <c r="B432" i="54"/>
  <c r="B433" i="54"/>
  <c r="B434" i="54"/>
  <c r="B435" i="54"/>
  <c r="B436" i="54"/>
  <c r="B437" i="54"/>
  <c r="B438" i="54"/>
  <c r="B439" i="54"/>
  <c r="B440" i="54"/>
  <c r="B441" i="54"/>
  <c r="B442" i="54"/>
  <c r="B443" i="54"/>
  <c r="B444" i="54"/>
  <c r="B445" i="54"/>
  <c r="B446" i="54"/>
  <c r="B447" i="54"/>
  <c r="B448" i="54"/>
  <c r="B449" i="54"/>
  <c r="B450" i="54"/>
  <c r="B451" i="54"/>
  <c r="B452" i="54"/>
  <c r="B453" i="54"/>
  <c r="B454" i="54"/>
  <c r="B455" i="54"/>
  <c r="B456" i="54"/>
  <c r="B457" i="54"/>
  <c r="B458" i="54"/>
  <c r="B459" i="54"/>
  <c r="B460" i="54"/>
  <c r="B461" i="54"/>
  <c r="B462" i="54"/>
  <c r="B463" i="54"/>
  <c r="B464" i="54"/>
  <c r="B465" i="54"/>
  <c r="B466" i="54"/>
  <c r="B467" i="54"/>
  <c r="B468" i="54"/>
  <c r="B469" i="54"/>
  <c r="B470" i="54"/>
  <c r="B471" i="54"/>
  <c r="B472" i="54"/>
  <c r="B473" i="54"/>
  <c r="B474" i="54"/>
  <c r="B475" i="54"/>
  <c r="C246" i="54"/>
  <c r="F1" i="54"/>
  <c r="C479" i="54" s="1"/>
  <c r="B246" i="54"/>
  <c r="B245" i="54"/>
  <c r="B244" i="54"/>
  <c r="B243" i="54"/>
  <c r="B242" i="54"/>
  <c r="B241" i="54"/>
  <c r="B240" i="54"/>
  <c r="B239" i="54"/>
  <c r="B238" i="54"/>
  <c r="B237" i="54"/>
  <c r="B236" i="54"/>
  <c r="B235" i="54"/>
  <c r="B234" i="54"/>
  <c r="B233" i="54"/>
  <c r="B232" i="54"/>
  <c r="B231" i="54"/>
  <c r="B230" i="54"/>
  <c r="B229" i="54"/>
  <c r="B228" i="54"/>
  <c r="B227" i="54"/>
  <c r="B226" i="54"/>
  <c r="B225" i="54"/>
  <c r="B224" i="54"/>
  <c r="B223" i="54"/>
  <c r="B222" i="54"/>
  <c r="B221" i="54"/>
  <c r="B220" i="54"/>
  <c r="B219" i="54"/>
  <c r="B218" i="54"/>
  <c r="B217" i="54"/>
  <c r="B216" i="54"/>
  <c r="B215" i="54"/>
  <c r="B214" i="54"/>
  <c r="B213" i="54"/>
  <c r="B212" i="54"/>
  <c r="B211" i="54"/>
  <c r="B210" i="54"/>
  <c r="B209" i="54"/>
  <c r="B208" i="54"/>
  <c r="B207" i="54"/>
  <c r="B206" i="54"/>
  <c r="B205" i="54"/>
  <c r="B204" i="54"/>
  <c r="B203" i="54"/>
  <c r="B202" i="54"/>
  <c r="B201" i="54"/>
  <c r="B200" i="54"/>
  <c r="B199" i="54"/>
  <c r="B198" i="54"/>
  <c r="B197" i="54"/>
  <c r="B196" i="54"/>
  <c r="B195" i="54"/>
  <c r="B194" i="54"/>
  <c r="B193" i="54"/>
  <c r="B192" i="54"/>
  <c r="B191" i="54"/>
  <c r="B190" i="54"/>
  <c r="B189" i="54"/>
  <c r="B188" i="54"/>
  <c r="B187" i="54"/>
  <c r="B186" i="54"/>
  <c r="B185" i="54"/>
  <c r="B184" i="54"/>
  <c r="B183" i="54"/>
  <c r="B182" i="54"/>
  <c r="B181" i="54"/>
  <c r="B180" i="54"/>
  <c r="B179" i="54"/>
  <c r="B178" i="54"/>
  <c r="B177" i="54"/>
  <c r="B176" i="54"/>
  <c r="B175" i="54"/>
  <c r="B174" i="54"/>
  <c r="B173" i="54"/>
  <c r="B172" i="54"/>
  <c r="B171" i="54"/>
  <c r="B170" i="54"/>
  <c r="B169" i="54"/>
  <c r="B168" i="54"/>
  <c r="B167" i="54"/>
  <c r="B166" i="54"/>
  <c r="B165" i="54"/>
  <c r="B164" i="54"/>
  <c r="B163" i="54"/>
  <c r="B162" i="54"/>
  <c r="B161" i="54"/>
  <c r="B160" i="54"/>
  <c r="B159" i="54"/>
  <c r="B158" i="54"/>
  <c r="B157" i="54"/>
  <c r="B156" i="54"/>
  <c r="B155" i="54"/>
  <c r="B154" i="54"/>
  <c r="B153" i="54"/>
  <c r="B152" i="54"/>
  <c r="B151" i="54"/>
  <c r="B150" i="54"/>
  <c r="B149" i="54"/>
  <c r="B148" i="54"/>
  <c r="B147" i="54"/>
  <c r="B146" i="54"/>
  <c r="B145" i="54"/>
  <c r="B144" i="54"/>
  <c r="B143" i="54"/>
  <c r="B142" i="54"/>
  <c r="B141" i="54"/>
  <c r="B140" i="54"/>
  <c r="B139" i="54"/>
  <c r="B138" i="54"/>
  <c r="B137" i="54"/>
  <c r="B136" i="54"/>
  <c r="B135" i="54"/>
  <c r="B134" i="54"/>
  <c r="B133" i="54"/>
  <c r="B132" i="54"/>
  <c r="B131" i="54"/>
  <c r="B130" i="54"/>
  <c r="B129" i="54"/>
  <c r="B128" i="54"/>
  <c r="B127" i="54"/>
  <c r="B126" i="54"/>
  <c r="B125" i="54"/>
  <c r="B124" i="54"/>
  <c r="B123" i="54"/>
  <c r="B122" i="54"/>
  <c r="B121" i="54"/>
  <c r="B120" i="54"/>
  <c r="B119" i="54"/>
  <c r="B118" i="54"/>
  <c r="B117" i="54"/>
  <c r="B116" i="54"/>
  <c r="B115" i="54"/>
  <c r="B114" i="54"/>
  <c r="B113" i="54"/>
  <c r="B112" i="54"/>
  <c r="B111" i="54"/>
  <c r="B110" i="54"/>
  <c r="B109" i="54"/>
  <c r="B108" i="54"/>
  <c r="B107" i="54"/>
  <c r="B106" i="54"/>
  <c r="B105" i="54"/>
  <c r="B104" i="54"/>
  <c r="B103" i="54"/>
  <c r="B102" i="54"/>
  <c r="B101" i="54"/>
  <c r="B100" i="54"/>
  <c r="B99" i="54"/>
  <c r="B98" i="54"/>
  <c r="B97" i="54"/>
  <c r="B96" i="54"/>
  <c r="B95" i="54"/>
  <c r="B94" i="54"/>
  <c r="B93" i="54"/>
  <c r="B92" i="54"/>
  <c r="B91" i="54"/>
  <c r="B90" i="54"/>
  <c r="B89" i="54"/>
  <c r="B88" i="54"/>
  <c r="B87" i="54"/>
  <c r="B86" i="54"/>
  <c r="B85" i="54"/>
  <c r="B84" i="54"/>
  <c r="B83" i="54"/>
  <c r="B82" i="54"/>
  <c r="B81" i="54"/>
  <c r="B80" i="54"/>
  <c r="B79" i="54"/>
  <c r="B78" i="54"/>
  <c r="B77" i="54"/>
  <c r="B76" i="54"/>
  <c r="B75" i="54"/>
  <c r="B74" i="54"/>
  <c r="B73" i="54"/>
  <c r="B72" i="54"/>
  <c r="B71" i="54"/>
  <c r="B70" i="54"/>
  <c r="B69" i="54"/>
  <c r="B68" i="54"/>
  <c r="B67" i="54"/>
  <c r="B66" i="54"/>
  <c r="B65" i="54"/>
  <c r="B64" i="54"/>
  <c r="B63" i="54"/>
  <c r="B62" i="54"/>
  <c r="B61" i="54"/>
  <c r="B60" i="54"/>
  <c r="B59" i="54"/>
  <c r="B58" i="54"/>
  <c r="B57" i="54"/>
  <c r="B56" i="54"/>
  <c r="B55" i="54"/>
  <c r="B54" i="54"/>
  <c r="B53" i="54"/>
  <c r="B52" i="54"/>
  <c r="B51" i="54"/>
  <c r="B50" i="54"/>
  <c r="B49" i="54"/>
  <c r="B48" i="54"/>
  <c r="B47" i="54"/>
  <c r="B46" i="54"/>
  <c r="B45" i="54"/>
  <c r="B44" i="54"/>
  <c r="B43" i="54"/>
  <c r="B42" i="54"/>
  <c r="B41" i="54"/>
  <c r="B40" i="54"/>
  <c r="B39" i="54"/>
  <c r="B38" i="54"/>
  <c r="B37" i="54"/>
  <c r="B36" i="54"/>
  <c r="B35" i="54"/>
  <c r="B34" i="54"/>
  <c r="B33" i="54"/>
  <c r="B32" i="54"/>
  <c r="B31" i="54"/>
  <c r="B30" i="54"/>
  <c r="B29" i="54"/>
  <c r="B28" i="54"/>
  <c r="B27" i="54"/>
  <c r="B26" i="54"/>
  <c r="B25" i="54"/>
  <c r="B24" i="54"/>
  <c r="B23" i="54"/>
  <c r="B22" i="54"/>
  <c r="B21" i="54"/>
  <c r="B20" i="54"/>
  <c r="B19" i="54"/>
  <c r="B18" i="54"/>
  <c r="B17" i="54"/>
  <c r="B16" i="54"/>
  <c r="B15" i="54"/>
  <c r="B14" i="54"/>
  <c r="B13" i="54"/>
  <c r="B12" i="54"/>
  <c r="B11" i="54"/>
  <c r="B10" i="54"/>
  <c r="B9" i="54"/>
  <c r="B8" i="54"/>
  <c r="B7" i="54"/>
  <c r="B6" i="54"/>
  <c r="H5" i="54"/>
  <c r="I5" i="54" s="1"/>
  <c r="B5" i="54"/>
  <c r="E5" i="54" s="1"/>
  <c r="G4" i="54"/>
  <c r="B4" i="54"/>
  <c r="E4" i="54" s="1"/>
  <c r="D58" i="62" l="1"/>
  <c r="E5" i="60"/>
  <c r="D5" i="60" s="1"/>
  <c r="G5" i="60" s="1"/>
  <c r="F6" i="60" s="1"/>
  <c r="E8" i="57"/>
  <c r="E5" i="57"/>
  <c r="F5" i="57"/>
  <c r="C7" i="57"/>
  <c r="D7" i="57" s="1"/>
  <c r="C6" i="57"/>
  <c r="C5" i="57"/>
  <c r="C40" i="58"/>
  <c r="C485" i="58"/>
  <c r="C43" i="58"/>
  <c r="C48" i="58"/>
  <c r="C159" i="58"/>
  <c r="C6" i="58"/>
  <c r="C51" i="58"/>
  <c r="C8" i="58"/>
  <c r="C52" i="58"/>
  <c r="C476" i="58"/>
  <c r="C481" i="58"/>
  <c r="C484" i="58"/>
  <c r="C482" i="58"/>
  <c r="C477" i="58"/>
  <c r="C478" i="58"/>
  <c r="H4" i="58"/>
  <c r="C47" i="58"/>
  <c r="C483" i="58"/>
  <c r="C39" i="58"/>
  <c r="C55" i="58"/>
  <c r="C7" i="58"/>
  <c r="C44" i="58"/>
  <c r="E5" i="58"/>
  <c r="I4" i="58"/>
  <c r="C163" i="58"/>
  <c r="C10" i="58"/>
  <c r="C11" i="58"/>
  <c r="C12" i="58"/>
  <c r="C13" i="58"/>
  <c r="C14" i="58"/>
  <c r="C15" i="58"/>
  <c r="C16" i="58"/>
  <c r="C17" i="58"/>
  <c r="C18" i="58"/>
  <c r="C19" i="58"/>
  <c r="C20" i="58"/>
  <c r="C21" i="58"/>
  <c r="C22" i="58"/>
  <c r="C23" i="58"/>
  <c r="C24" i="58"/>
  <c r="C25" i="58"/>
  <c r="C26" i="58"/>
  <c r="C27" i="58"/>
  <c r="C28" i="58"/>
  <c r="C29" i="58"/>
  <c r="C30" i="58"/>
  <c r="C31" i="58"/>
  <c r="C32" i="58"/>
  <c r="C33" i="58"/>
  <c r="C34" i="58"/>
  <c r="C38" i="58"/>
  <c r="C42" i="58"/>
  <c r="C46" i="58"/>
  <c r="C50" i="58"/>
  <c r="C54" i="58"/>
  <c r="C58" i="58"/>
  <c r="C245" i="58"/>
  <c r="C242" i="58"/>
  <c r="C244" i="58"/>
  <c r="C236" i="58"/>
  <c r="C235" i="58"/>
  <c r="C234" i="58"/>
  <c r="C233" i="58"/>
  <c r="C232" i="58"/>
  <c r="C231" i="58"/>
  <c r="C230" i="58"/>
  <c r="C229" i="58"/>
  <c r="C228" i="58"/>
  <c r="C227" i="58"/>
  <c r="C226" i="58"/>
  <c r="C225" i="58"/>
  <c r="C238" i="58"/>
  <c r="C240" i="58"/>
  <c r="C220" i="58"/>
  <c r="C212" i="58"/>
  <c r="C204" i="58"/>
  <c r="C239" i="58"/>
  <c r="C221" i="58"/>
  <c r="C213" i="58"/>
  <c r="C205" i="58"/>
  <c r="C241" i="58"/>
  <c r="C237" i="58"/>
  <c r="C222" i="58"/>
  <c r="C214" i="58"/>
  <c r="C206" i="58"/>
  <c r="C223" i="58"/>
  <c r="C215" i="58"/>
  <c r="C207" i="58"/>
  <c r="C243" i="58"/>
  <c r="C224" i="58"/>
  <c r="C216" i="58"/>
  <c r="C208" i="58"/>
  <c r="C218" i="58"/>
  <c r="C210" i="58"/>
  <c r="C202" i="58"/>
  <c r="C195" i="58"/>
  <c r="C187" i="58"/>
  <c r="C179" i="58"/>
  <c r="C151" i="58"/>
  <c r="C150" i="58"/>
  <c r="C149" i="58"/>
  <c r="C148" i="58"/>
  <c r="C147" i="58"/>
  <c r="C146" i="58"/>
  <c r="C145" i="58"/>
  <c r="C144" i="58"/>
  <c r="C143" i="58"/>
  <c r="C142" i="58"/>
  <c r="C141" i="58"/>
  <c r="C140" i="58"/>
  <c r="C139" i="58"/>
  <c r="C138" i="58"/>
  <c r="C137" i="58"/>
  <c r="C136" i="58"/>
  <c r="C135" i="58"/>
  <c r="C134" i="58"/>
  <c r="C133" i="58"/>
  <c r="C132" i="58"/>
  <c r="C131" i="58"/>
  <c r="C130" i="58"/>
  <c r="C129" i="58"/>
  <c r="C128" i="58"/>
  <c r="C127" i="58"/>
  <c r="C126" i="58"/>
  <c r="C125" i="58"/>
  <c r="C124" i="58"/>
  <c r="C123" i="58"/>
  <c r="C122" i="58"/>
  <c r="C121" i="58"/>
  <c r="C120" i="58"/>
  <c r="C119" i="58"/>
  <c r="C118" i="58"/>
  <c r="C117" i="58"/>
  <c r="C116" i="58"/>
  <c r="C115" i="58"/>
  <c r="C114" i="58"/>
  <c r="C113" i="58"/>
  <c r="C112" i="58"/>
  <c r="C111" i="58"/>
  <c r="C110" i="58"/>
  <c r="C109" i="58"/>
  <c r="C108" i="58"/>
  <c r="C107" i="58"/>
  <c r="C106" i="58"/>
  <c r="C105" i="58"/>
  <c r="C104" i="58"/>
  <c r="C103" i="58"/>
  <c r="C102" i="58"/>
  <c r="C101" i="58"/>
  <c r="C100" i="58"/>
  <c r="C99" i="58"/>
  <c r="C98" i="58"/>
  <c r="C97" i="58"/>
  <c r="C96" i="58"/>
  <c r="C95" i="58"/>
  <c r="C94" i="58"/>
  <c r="C93" i="58"/>
  <c r="C92" i="58"/>
  <c r="C91" i="58"/>
  <c r="C90" i="58"/>
  <c r="C89" i="58"/>
  <c r="C88" i="58"/>
  <c r="C87" i="58"/>
  <c r="C86" i="58"/>
  <c r="C85" i="58"/>
  <c r="C84" i="58"/>
  <c r="C83" i="58"/>
  <c r="C82" i="58"/>
  <c r="C81" i="58"/>
  <c r="C80" i="58"/>
  <c r="C79" i="58"/>
  <c r="C78" i="58"/>
  <c r="C77" i="58"/>
  <c r="C76" i="58"/>
  <c r="C75" i="58"/>
  <c r="C74" i="58"/>
  <c r="C73" i="58"/>
  <c r="C72" i="58"/>
  <c r="C71" i="58"/>
  <c r="C70" i="58"/>
  <c r="C69" i="58"/>
  <c r="C68" i="58"/>
  <c r="C67" i="58"/>
  <c r="C66" i="58"/>
  <c r="C65" i="58"/>
  <c r="C64" i="58"/>
  <c r="C63" i="58"/>
  <c r="C62" i="58"/>
  <c r="C61" i="58"/>
  <c r="C60" i="58"/>
  <c r="C59" i="58"/>
  <c r="C200" i="58"/>
  <c r="C192" i="58"/>
  <c r="C184" i="58"/>
  <c r="C176" i="58"/>
  <c r="C174" i="58"/>
  <c r="C172" i="58"/>
  <c r="C170" i="58"/>
  <c r="C168" i="58"/>
  <c r="C166" i="58"/>
  <c r="C164" i="58"/>
  <c r="C160" i="58"/>
  <c r="C156" i="58"/>
  <c r="C152" i="58"/>
  <c r="C219" i="58"/>
  <c r="C209" i="58"/>
  <c r="C203" i="58"/>
  <c r="C197" i="58"/>
  <c r="C189" i="58"/>
  <c r="C181" i="58"/>
  <c r="C194" i="58"/>
  <c r="C186" i="58"/>
  <c r="C178" i="58"/>
  <c r="C161" i="58"/>
  <c r="C157" i="58"/>
  <c r="C153" i="58"/>
  <c r="C199" i="58"/>
  <c r="C191" i="58"/>
  <c r="C183" i="58"/>
  <c r="C196" i="58"/>
  <c r="C188" i="58"/>
  <c r="C180" i="58"/>
  <c r="C175" i="58"/>
  <c r="C173" i="58"/>
  <c r="C171" i="58"/>
  <c r="C169" i="58"/>
  <c r="C167" i="58"/>
  <c r="C165" i="58"/>
  <c r="C162" i="58"/>
  <c r="C158" i="58"/>
  <c r="C154" i="58"/>
  <c r="C217" i="58"/>
  <c r="C211" i="58"/>
  <c r="C201" i="58"/>
  <c r="C193" i="58"/>
  <c r="C185" i="58"/>
  <c r="C177" i="58"/>
  <c r="C5" i="58"/>
  <c r="C155" i="58"/>
  <c r="C475" i="58"/>
  <c r="C471" i="58"/>
  <c r="C467" i="58"/>
  <c r="C463" i="58"/>
  <c r="C459" i="58"/>
  <c r="C455" i="58"/>
  <c r="C451" i="58"/>
  <c r="C447" i="58"/>
  <c r="C443" i="58"/>
  <c r="C439" i="58"/>
  <c r="C435" i="58"/>
  <c r="C431" i="58"/>
  <c r="C427" i="58"/>
  <c r="C423" i="58"/>
  <c r="C419" i="58"/>
  <c r="C415" i="58"/>
  <c r="C411" i="58"/>
  <c r="C407" i="58"/>
  <c r="C403" i="58"/>
  <c r="C399" i="58"/>
  <c r="C395" i="58"/>
  <c r="C391" i="58"/>
  <c r="C387" i="58"/>
  <c r="C383" i="58"/>
  <c r="C379" i="58"/>
  <c r="C375" i="58"/>
  <c r="C472" i="58"/>
  <c r="C462" i="58"/>
  <c r="C436" i="58"/>
  <c r="C433" i="58"/>
  <c r="C430" i="58"/>
  <c r="C448" i="58"/>
  <c r="C445" i="58"/>
  <c r="C442" i="58"/>
  <c r="C416" i="58"/>
  <c r="C413" i="58"/>
  <c r="C410" i="58"/>
  <c r="C384" i="58"/>
  <c r="C381" i="58"/>
  <c r="C378" i="58"/>
  <c r="C470" i="58"/>
  <c r="C465" i="58"/>
  <c r="C460" i="58"/>
  <c r="C457" i="58"/>
  <c r="C454" i="58"/>
  <c r="C468" i="58"/>
  <c r="C440" i="58"/>
  <c r="C437" i="58"/>
  <c r="C434" i="58"/>
  <c r="C408" i="58"/>
  <c r="C405" i="58"/>
  <c r="C402" i="58"/>
  <c r="C376" i="58"/>
  <c r="C373" i="58"/>
  <c r="C473" i="58"/>
  <c r="C452" i="58"/>
  <c r="C449" i="58"/>
  <c r="C446" i="58"/>
  <c r="C420" i="58"/>
  <c r="C417" i="58"/>
  <c r="C414" i="58"/>
  <c r="C388" i="58"/>
  <c r="C385" i="58"/>
  <c r="C382" i="58"/>
  <c r="C370" i="58"/>
  <c r="C366" i="58"/>
  <c r="C362" i="58"/>
  <c r="C464" i="58"/>
  <c r="C444" i="58"/>
  <c r="C441" i="58"/>
  <c r="C438" i="58"/>
  <c r="C412" i="58"/>
  <c r="C409" i="58"/>
  <c r="C406" i="58"/>
  <c r="C380" i="58"/>
  <c r="C377" i="58"/>
  <c r="C374" i="58"/>
  <c r="C371" i="58"/>
  <c r="C367" i="58"/>
  <c r="C363" i="58"/>
  <c r="C359" i="58"/>
  <c r="C355" i="58"/>
  <c r="C351" i="58"/>
  <c r="C347" i="58"/>
  <c r="C343" i="58"/>
  <c r="C453" i="58"/>
  <c r="C425" i="58"/>
  <c r="C422" i="58"/>
  <c r="C400" i="58"/>
  <c r="C398" i="58"/>
  <c r="C369" i="58"/>
  <c r="C349" i="58"/>
  <c r="C344" i="58"/>
  <c r="C456" i="58"/>
  <c r="C418" i="58"/>
  <c r="C404" i="58"/>
  <c r="C432" i="58"/>
  <c r="C424" i="58"/>
  <c r="C421" i="58"/>
  <c r="C397" i="58"/>
  <c r="C364" i="58"/>
  <c r="C345" i="58"/>
  <c r="C342" i="58"/>
  <c r="C339" i="58"/>
  <c r="C335" i="58"/>
  <c r="C331" i="58"/>
  <c r="C327" i="58"/>
  <c r="C323" i="58"/>
  <c r="C319" i="58"/>
  <c r="C315" i="58"/>
  <c r="C311" i="58"/>
  <c r="C307" i="58"/>
  <c r="C303" i="58"/>
  <c r="C299" i="58"/>
  <c r="C295" i="58"/>
  <c r="C291" i="58"/>
  <c r="C287" i="58"/>
  <c r="C283" i="58"/>
  <c r="C279" i="58"/>
  <c r="C275" i="58"/>
  <c r="C469" i="58"/>
  <c r="C461" i="58"/>
  <c r="C372" i="58"/>
  <c r="C358" i="58"/>
  <c r="C428" i="58"/>
  <c r="C392" i="58"/>
  <c r="C325" i="58"/>
  <c r="C320" i="58"/>
  <c r="C310" i="58"/>
  <c r="C296" i="58"/>
  <c r="C293" i="58"/>
  <c r="C290" i="58"/>
  <c r="C458" i="58"/>
  <c r="C353" i="58"/>
  <c r="C340" i="58"/>
  <c r="C330" i="58"/>
  <c r="C313" i="58"/>
  <c r="C308" i="58"/>
  <c r="C305" i="58"/>
  <c r="C302" i="58"/>
  <c r="C276" i="58"/>
  <c r="C273" i="58"/>
  <c r="C269" i="58"/>
  <c r="C265" i="58"/>
  <c r="C261" i="58"/>
  <c r="C257" i="58"/>
  <c r="C253" i="58"/>
  <c r="C249" i="58"/>
  <c r="C401" i="58"/>
  <c r="C394" i="58"/>
  <c r="C357" i="58"/>
  <c r="C348" i="58"/>
  <c r="C346" i="58"/>
  <c r="C338" i="58"/>
  <c r="C321" i="58"/>
  <c r="C316" i="58"/>
  <c r="C300" i="58"/>
  <c r="C297" i="58"/>
  <c r="C294" i="58"/>
  <c r="C270" i="58"/>
  <c r="C266" i="58"/>
  <c r="C262" i="58"/>
  <c r="C258" i="58"/>
  <c r="C254" i="58"/>
  <c r="C250" i="58"/>
  <c r="C246" i="58"/>
  <c r="C474" i="58"/>
  <c r="C390" i="58"/>
  <c r="C336" i="58"/>
  <c r="C326" i="58"/>
  <c r="C309" i="58"/>
  <c r="C306" i="58"/>
  <c r="C280" i="58"/>
  <c r="C277" i="58"/>
  <c r="C274" i="58"/>
  <c r="C429" i="58"/>
  <c r="C361" i="58"/>
  <c r="C350" i="58"/>
  <c r="C298" i="58"/>
  <c r="C288" i="58"/>
  <c r="C281" i="58"/>
  <c r="C268" i="58"/>
  <c r="C260" i="58"/>
  <c r="C251" i="58"/>
  <c r="C393" i="58"/>
  <c r="C368" i="58"/>
  <c r="C354" i="58"/>
  <c r="C333" i="58"/>
  <c r="C317" i="58"/>
  <c r="C278" i="58"/>
  <c r="C450" i="58"/>
  <c r="C396" i="58"/>
  <c r="C360" i="58"/>
  <c r="C322" i="58"/>
  <c r="C314" i="58"/>
  <c r="C285" i="58"/>
  <c r="C272" i="58"/>
  <c r="C256" i="58"/>
  <c r="C247" i="58"/>
  <c r="C324" i="58"/>
  <c r="C292" i="58"/>
  <c r="C267" i="58"/>
  <c r="C263" i="58"/>
  <c r="C386" i="58"/>
  <c r="C356" i="58"/>
  <c r="C352" i="58"/>
  <c r="C341" i="58"/>
  <c r="C329" i="58"/>
  <c r="C282" i="58"/>
  <c r="C259" i="58"/>
  <c r="C252" i="58"/>
  <c r="C466" i="58"/>
  <c r="C318" i="58"/>
  <c r="C301" i="58"/>
  <c r="C284" i="58"/>
  <c r="C255" i="58"/>
  <c r="C248" i="58"/>
  <c r="C304" i="58"/>
  <c r="C271" i="58"/>
  <c r="C334" i="58"/>
  <c r="C328" i="58"/>
  <c r="C312" i="58"/>
  <c r="C286" i="58"/>
  <c r="C365" i="58"/>
  <c r="C426" i="58"/>
  <c r="C389" i="58"/>
  <c r="C337" i="58"/>
  <c r="C289" i="58"/>
  <c r="C332" i="58"/>
  <c r="C37" i="58"/>
  <c r="C41" i="58"/>
  <c r="C45" i="58"/>
  <c r="C49" i="58"/>
  <c r="C53" i="58"/>
  <c r="C57" i="58"/>
  <c r="C182" i="58"/>
  <c r="I5" i="58"/>
  <c r="C190" i="58"/>
  <c r="C475" i="54"/>
  <c r="C471" i="54"/>
  <c r="C467" i="54"/>
  <c r="C463" i="54"/>
  <c r="C459" i="54"/>
  <c r="C455" i="54"/>
  <c r="C451" i="54"/>
  <c r="C447" i="54"/>
  <c r="C443" i="54"/>
  <c r="C439" i="54"/>
  <c r="C435" i="54"/>
  <c r="C431" i="54"/>
  <c r="C427" i="54"/>
  <c r="C423" i="54"/>
  <c r="C419" i="54"/>
  <c r="C415" i="54"/>
  <c r="C411" i="54"/>
  <c r="C407" i="54"/>
  <c r="C403" i="54"/>
  <c r="C399" i="54"/>
  <c r="C395" i="54"/>
  <c r="C391" i="54"/>
  <c r="C387" i="54"/>
  <c r="C383" i="54"/>
  <c r="C379" i="54"/>
  <c r="C375" i="54"/>
  <c r="C371" i="54"/>
  <c r="C367" i="54"/>
  <c r="C363" i="54"/>
  <c r="C359" i="54"/>
  <c r="C355" i="54"/>
  <c r="C351" i="54"/>
  <c r="C347" i="54"/>
  <c r="C343" i="54"/>
  <c r="C339" i="54"/>
  <c r="C335" i="54"/>
  <c r="C331" i="54"/>
  <c r="C327" i="54"/>
  <c r="C323" i="54"/>
  <c r="C319" i="54"/>
  <c r="C315" i="54"/>
  <c r="C311" i="54"/>
  <c r="C307" i="54"/>
  <c r="C303" i="54"/>
  <c r="C299" i="54"/>
  <c r="C295" i="54"/>
  <c r="C291" i="54"/>
  <c r="C287" i="54"/>
  <c r="C283" i="54"/>
  <c r="C279" i="54"/>
  <c r="C275" i="54"/>
  <c r="C271" i="54"/>
  <c r="C267" i="54"/>
  <c r="C263" i="54"/>
  <c r="C259" i="54"/>
  <c r="C255" i="54"/>
  <c r="C251" i="54"/>
  <c r="C247" i="54"/>
  <c r="C482" i="54"/>
  <c r="C478" i="54"/>
  <c r="C474" i="54"/>
  <c r="C470" i="54"/>
  <c r="C466" i="54"/>
  <c r="C462" i="54"/>
  <c r="C458" i="54"/>
  <c r="C454" i="54"/>
  <c r="C450" i="54"/>
  <c r="C446" i="54"/>
  <c r="C442" i="54"/>
  <c r="C438" i="54"/>
  <c r="C434" i="54"/>
  <c r="C430" i="54"/>
  <c r="C426" i="54"/>
  <c r="C422" i="54"/>
  <c r="C418" i="54"/>
  <c r="C414" i="54"/>
  <c r="C410" i="54"/>
  <c r="C406" i="54"/>
  <c r="C402" i="54"/>
  <c r="C398" i="54"/>
  <c r="C394" i="54"/>
  <c r="C390" i="54"/>
  <c r="C386" i="54"/>
  <c r="C382" i="54"/>
  <c r="C378" i="54"/>
  <c r="C374" i="54"/>
  <c r="C370" i="54"/>
  <c r="C366" i="54"/>
  <c r="C362" i="54"/>
  <c r="C358" i="54"/>
  <c r="C354" i="54"/>
  <c r="C350" i="54"/>
  <c r="C346" i="54"/>
  <c r="C342" i="54"/>
  <c r="C338" i="54"/>
  <c r="C334" i="54"/>
  <c r="C330" i="54"/>
  <c r="C326" i="54"/>
  <c r="C322" i="54"/>
  <c r="C318" i="54"/>
  <c r="C314" i="54"/>
  <c r="C310" i="54"/>
  <c r="C306" i="54"/>
  <c r="C302" i="54"/>
  <c r="C298" i="54"/>
  <c r="C294" i="54"/>
  <c r="C290" i="54"/>
  <c r="C286" i="54"/>
  <c r="C282" i="54"/>
  <c r="C278" i="54"/>
  <c r="C274" i="54"/>
  <c r="C270" i="54"/>
  <c r="C266" i="54"/>
  <c r="C262" i="54"/>
  <c r="C258" i="54"/>
  <c r="C254" i="54"/>
  <c r="C250" i="54"/>
  <c r="C485" i="54"/>
  <c r="C481" i="54"/>
  <c r="C477" i="54"/>
  <c r="H4" i="54"/>
  <c r="C473" i="54"/>
  <c r="C469" i="54"/>
  <c r="C465" i="54"/>
  <c r="C461" i="54"/>
  <c r="C457" i="54"/>
  <c r="C453" i="54"/>
  <c r="C449" i="54"/>
  <c r="C445" i="54"/>
  <c r="C441" i="54"/>
  <c r="C437" i="54"/>
  <c r="C433" i="54"/>
  <c r="C429" i="54"/>
  <c r="C425" i="54"/>
  <c r="C421" i="54"/>
  <c r="C417" i="54"/>
  <c r="C413" i="54"/>
  <c r="C409" i="54"/>
  <c r="C405" i="54"/>
  <c r="C401" i="54"/>
  <c r="C397" i="54"/>
  <c r="C393" i="54"/>
  <c r="C389" i="54"/>
  <c r="C385" i="54"/>
  <c r="C381" i="54"/>
  <c r="C377" i="54"/>
  <c r="C373" i="54"/>
  <c r="C369" i="54"/>
  <c r="C365" i="54"/>
  <c r="C361" i="54"/>
  <c r="C357" i="54"/>
  <c r="C353" i="54"/>
  <c r="C349" i="54"/>
  <c r="C345" i="54"/>
  <c r="C341" i="54"/>
  <c r="C337" i="54"/>
  <c r="C333" i="54"/>
  <c r="C329" i="54"/>
  <c r="C325" i="54"/>
  <c r="C321" i="54"/>
  <c r="C317" i="54"/>
  <c r="C313" i="54"/>
  <c r="C309" i="54"/>
  <c r="C305" i="54"/>
  <c r="C301" i="54"/>
  <c r="C297" i="54"/>
  <c r="C293" i="54"/>
  <c r="C289" i="54"/>
  <c r="C285" i="54"/>
  <c r="C281" i="54"/>
  <c r="C277" i="54"/>
  <c r="C273" i="54"/>
  <c r="C269" i="54"/>
  <c r="C265" i="54"/>
  <c r="C261" i="54"/>
  <c r="C257" i="54"/>
  <c r="C253" i="54"/>
  <c r="C249" i="54"/>
  <c r="C484" i="54"/>
  <c r="C480" i="54"/>
  <c r="C476" i="54"/>
  <c r="C472" i="54"/>
  <c r="C468" i="54"/>
  <c r="C464" i="54"/>
  <c r="C460" i="54"/>
  <c r="C456" i="54"/>
  <c r="C452" i="54"/>
  <c r="C448" i="54"/>
  <c r="C444" i="54"/>
  <c r="C440" i="54"/>
  <c r="C436" i="54"/>
  <c r="C432" i="54"/>
  <c r="C428" i="54"/>
  <c r="C424" i="54"/>
  <c r="C420" i="54"/>
  <c r="C416" i="54"/>
  <c r="C412" i="54"/>
  <c r="C408" i="54"/>
  <c r="C404" i="54"/>
  <c r="C400" i="54"/>
  <c r="C396" i="54"/>
  <c r="C392" i="54"/>
  <c r="C388" i="54"/>
  <c r="C384" i="54"/>
  <c r="C380" i="54"/>
  <c r="C376" i="54"/>
  <c r="C372" i="54"/>
  <c r="C368" i="54"/>
  <c r="C364" i="54"/>
  <c r="C360" i="54"/>
  <c r="C356" i="54"/>
  <c r="C352" i="54"/>
  <c r="C348" i="54"/>
  <c r="C344" i="54"/>
  <c r="C340" i="54"/>
  <c r="C336" i="54"/>
  <c r="C332" i="54"/>
  <c r="C328" i="54"/>
  <c r="C324" i="54"/>
  <c r="C320" i="54"/>
  <c r="C316" i="54"/>
  <c r="C312" i="54"/>
  <c r="C308" i="54"/>
  <c r="C304" i="54"/>
  <c r="C300" i="54"/>
  <c r="C296" i="54"/>
  <c r="C292" i="54"/>
  <c r="C288" i="54"/>
  <c r="C284" i="54"/>
  <c r="C280" i="54"/>
  <c r="C276" i="54"/>
  <c r="C272" i="54"/>
  <c r="C268" i="54"/>
  <c r="C264" i="54"/>
  <c r="C260" i="54"/>
  <c r="C256" i="54"/>
  <c r="C252" i="54"/>
  <c r="C248" i="54"/>
  <c r="C483" i="54"/>
  <c r="I4" i="54"/>
  <c r="G58" i="62" l="1"/>
  <c r="F59" i="62" s="1"/>
  <c r="E59" i="62" s="1"/>
  <c r="E6" i="60"/>
  <c r="D6" i="60" s="1"/>
  <c r="G6" i="60" s="1"/>
  <c r="F7" i="60" s="1"/>
  <c r="D5" i="57"/>
  <c r="G5" i="57" s="1"/>
  <c r="F9" i="57" s="1"/>
  <c r="G9" i="57" s="1"/>
  <c r="D8" i="57"/>
  <c r="G8" i="57" s="1"/>
  <c r="D5" i="58"/>
  <c r="G5" i="58" s="1"/>
  <c r="F6" i="58" s="1"/>
  <c r="E6" i="58" s="1"/>
  <c r="D485" i="54"/>
  <c r="D59" i="62" l="1"/>
  <c r="E7" i="60"/>
  <c r="D7" i="60" s="1"/>
  <c r="G7" i="60" s="1"/>
  <c r="F8" i="60" s="1"/>
  <c r="F6" i="57"/>
  <c r="E6" i="57" s="1"/>
  <c r="D6" i="57" s="1"/>
  <c r="G6" i="57" s="1"/>
  <c r="F7" i="57" s="1"/>
  <c r="G7" i="57" s="1"/>
  <c r="H6" i="58"/>
  <c r="D6" i="58"/>
  <c r="G6" i="58" s="1"/>
  <c r="F7" i="58" s="1"/>
  <c r="E7" i="58" s="1"/>
  <c r="G59" i="62" l="1"/>
  <c r="F60" i="62" s="1"/>
  <c r="E60" i="62" s="1"/>
  <c r="E8" i="60"/>
  <c r="D8" i="60" s="1"/>
  <c r="G8" i="60" s="1"/>
  <c r="F9" i="60" s="1"/>
  <c r="H7" i="58"/>
  <c r="D7" i="58"/>
  <c r="G7" i="58" s="1"/>
  <c r="F8" i="58" s="1"/>
  <c r="E8" i="58" s="1"/>
  <c r="I6" i="58"/>
  <c r="D60" i="62" l="1"/>
  <c r="E9" i="60"/>
  <c r="D9" i="60" s="1"/>
  <c r="G9" i="60" s="1"/>
  <c r="F10" i="60" s="1"/>
  <c r="H8" i="58"/>
  <c r="D8" i="58"/>
  <c r="G8" i="58" s="1"/>
  <c r="F9" i="58" s="1"/>
  <c r="E9" i="58" s="1"/>
  <c r="I7" i="58"/>
  <c r="G60" i="62" l="1"/>
  <c r="F61" i="62" s="1"/>
  <c r="E61" i="62" s="1"/>
  <c r="E10" i="60"/>
  <c r="D10" i="60" s="1"/>
  <c r="G10" i="60" s="1"/>
  <c r="F11" i="60" s="1"/>
  <c r="H9" i="58"/>
  <c r="D9" i="58"/>
  <c r="G9" i="58" s="1"/>
  <c r="F10" i="58" s="1"/>
  <c r="E10" i="58" s="1"/>
  <c r="I8" i="58"/>
  <c r="D61" i="62" l="1"/>
  <c r="E11" i="60"/>
  <c r="D11" i="60" s="1"/>
  <c r="G11" i="60" s="1"/>
  <c r="F12" i="60" s="1"/>
  <c r="H10" i="58"/>
  <c r="D10" i="58"/>
  <c r="G10" i="58" s="1"/>
  <c r="F11" i="58" s="1"/>
  <c r="E11" i="58" s="1"/>
  <c r="I9" i="58"/>
  <c r="G61" i="62" l="1"/>
  <c r="F62" i="62" s="1"/>
  <c r="E62" i="62" s="1"/>
  <c r="E12" i="60"/>
  <c r="D12" i="60" s="1"/>
  <c r="G12" i="60" s="1"/>
  <c r="F13" i="60" s="1"/>
  <c r="H11" i="58"/>
  <c r="D11" i="58"/>
  <c r="G11" i="58" s="1"/>
  <c r="F12" i="58" s="1"/>
  <c r="E12" i="58" s="1"/>
  <c r="I10" i="58"/>
  <c r="D62" i="62" l="1"/>
  <c r="E13" i="60"/>
  <c r="D13" i="60" s="1"/>
  <c r="G13" i="60" s="1"/>
  <c r="F14" i="60" s="1"/>
  <c r="H12" i="58"/>
  <c r="D12" i="58"/>
  <c r="G12" i="58" s="1"/>
  <c r="F13" i="58" s="1"/>
  <c r="E13" i="58" s="1"/>
  <c r="I11" i="58"/>
  <c r="G62" i="62" l="1"/>
  <c r="F63" i="62" s="1"/>
  <c r="E63" i="62" s="1"/>
  <c r="E14" i="60"/>
  <c r="D14" i="60" s="1"/>
  <c r="G14" i="60" s="1"/>
  <c r="H13" i="58"/>
  <c r="D13" i="58"/>
  <c r="G13" i="58" s="1"/>
  <c r="I12" i="58"/>
  <c r="D63" i="62" l="1"/>
  <c r="F15" i="60"/>
  <c r="F245" i="58"/>
  <c r="H245" i="58" s="1"/>
  <c r="F14" i="58"/>
  <c r="I13" i="58"/>
  <c r="G63" i="62" l="1"/>
  <c r="F64" i="62" s="1"/>
  <c r="E15" i="60"/>
  <c r="E14" i="58"/>
  <c r="E245" i="58"/>
  <c r="I245" i="58" s="1"/>
  <c r="H14" i="58"/>
  <c r="D64" i="62" l="1"/>
  <c r="D15" i="60"/>
  <c r="G15" i="60" s="1"/>
  <c r="D245" i="58"/>
  <c r="D14" i="58"/>
  <c r="I14" i="58"/>
  <c r="G64" i="62" l="1"/>
  <c r="F65" i="62" s="1"/>
  <c r="E65" i="62" s="1"/>
  <c r="F16" i="60"/>
  <c r="F40" i="60"/>
  <c r="G245" i="58"/>
  <c r="F246" i="58" s="1"/>
  <c r="E246" i="58" s="1"/>
  <c r="G14" i="58"/>
  <c r="F15" i="58" s="1"/>
  <c r="E15" i="58" s="1"/>
  <c r="D65" i="62" l="1"/>
  <c r="E40" i="60"/>
  <c r="D40" i="60" s="1"/>
  <c r="G40" i="60" s="1"/>
  <c r="F41" i="60" s="1"/>
  <c r="E41" i="60" s="1"/>
  <c r="D41" i="60" s="1"/>
  <c r="G41" i="60" s="1"/>
  <c r="F42" i="60" s="1"/>
  <c r="E42" i="60" s="1"/>
  <c r="D42" i="60" s="1"/>
  <c r="G42" i="60" s="1"/>
  <c r="F43" i="60" s="1"/>
  <c r="E16" i="60"/>
  <c r="D16" i="60" s="1"/>
  <c r="G16" i="60" s="1"/>
  <c r="F17" i="60" s="1"/>
  <c r="E17" i="60" s="1"/>
  <c r="D17" i="60" s="1"/>
  <c r="G17" i="60" s="1"/>
  <c r="F18" i="60" s="1"/>
  <c r="E18" i="60" s="1"/>
  <c r="D18" i="60" s="1"/>
  <c r="G18" i="60" s="1"/>
  <c r="F19" i="60" s="1"/>
  <c r="H15" i="58"/>
  <c r="D15" i="58"/>
  <c r="G15" i="58" s="1"/>
  <c r="F16" i="58" s="1"/>
  <c r="E16" i="58" s="1"/>
  <c r="D246" i="58"/>
  <c r="G246" i="58" s="1"/>
  <c r="F247" i="58" s="1"/>
  <c r="E247" i="58" s="1"/>
  <c r="G65" i="62" l="1"/>
  <c r="F66" i="62" s="1"/>
  <c r="E19" i="60"/>
  <c r="D19" i="60" s="1"/>
  <c r="G19" i="60" s="1"/>
  <c r="F20" i="60" s="1"/>
  <c r="E43" i="60"/>
  <c r="D43" i="60" s="1"/>
  <c r="G43" i="60" s="1"/>
  <c r="F44" i="60" s="1"/>
  <c r="H16" i="58"/>
  <c r="D16" i="58"/>
  <c r="G16" i="58" s="1"/>
  <c r="F17" i="58" s="1"/>
  <c r="E17" i="58" s="1"/>
  <c r="D247" i="58"/>
  <c r="G247" i="58" s="1"/>
  <c r="F248" i="58" s="1"/>
  <c r="E248" i="58" s="1"/>
  <c r="I15" i="58"/>
  <c r="D66" i="62" l="1"/>
  <c r="E20" i="60"/>
  <c r="D20" i="60" s="1"/>
  <c r="G20" i="60" s="1"/>
  <c r="F21" i="60" s="1"/>
  <c r="E44" i="60"/>
  <c r="D44" i="60" s="1"/>
  <c r="G44" i="60" s="1"/>
  <c r="F45" i="60" s="1"/>
  <c r="D248" i="58"/>
  <c r="G248" i="58" s="1"/>
  <c r="F249" i="58" s="1"/>
  <c r="E249" i="58" s="1"/>
  <c r="H17" i="58"/>
  <c r="D17" i="58"/>
  <c r="G17" i="58" s="1"/>
  <c r="F18" i="58" s="1"/>
  <c r="E18" i="58" s="1"/>
  <c r="I16" i="58"/>
  <c r="G66" i="62" l="1"/>
  <c r="F67" i="62" s="1"/>
  <c r="E45" i="60"/>
  <c r="D45" i="60" s="1"/>
  <c r="G45" i="60" s="1"/>
  <c r="F46" i="60" s="1"/>
  <c r="E21" i="60"/>
  <c r="D21" i="60" s="1"/>
  <c r="G21" i="60" s="1"/>
  <c r="F22" i="60" s="1"/>
  <c r="H18" i="58"/>
  <c r="D18" i="58"/>
  <c r="G18" i="58" s="1"/>
  <c r="F19" i="58" s="1"/>
  <c r="E19" i="58" s="1"/>
  <c r="D249" i="58"/>
  <c r="G249" i="58" s="1"/>
  <c r="F250" i="58" s="1"/>
  <c r="E250" i="58" s="1"/>
  <c r="I17" i="58"/>
  <c r="D67" i="62" l="1"/>
  <c r="G67" i="62" s="1"/>
  <c r="E22" i="60"/>
  <c r="D22" i="60" s="1"/>
  <c r="G22" i="60" s="1"/>
  <c r="F23" i="60" s="1"/>
  <c r="E46" i="60"/>
  <c r="D46" i="60" s="1"/>
  <c r="G46" i="60" s="1"/>
  <c r="F47" i="60" s="1"/>
  <c r="D250" i="58"/>
  <c r="G250" i="58" s="1"/>
  <c r="F251" i="58" s="1"/>
  <c r="E251" i="58" s="1"/>
  <c r="H19" i="58"/>
  <c r="D19" i="58"/>
  <c r="G19" i="58" s="1"/>
  <c r="F20" i="58" s="1"/>
  <c r="E20" i="58" s="1"/>
  <c r="I18" i="58"/>
  <c r="E23" i="60" l="1"/>
  <c r="D23" i="60" s="1"/>
  <c r="G23" i="60" s="1"/>
  <c r="F24" i="60" s="1"/>
  <c r="E47" i="60"/>
  <c r="D47" i="60" s="1"/>
  <c r="G47" i="60" s="1"/>
  <c r="F48" i="60" s="1"/>
  <c r="D251" i="58"/>
  <c r="G251" i="58" s="1"/>
  <c r="F252" i="58" s="1"/>
  <c r="E252" i="58" s="1"/>
  <c r="H20" i="58"/>
  <c r="D20" i="58"/>
  <c r="G20" i="58" s="1"/>
  <c r="F21" i="58" s="1"/>
  <c r="E21" i="58" s="1"/>
  <c r="I19" i="58"/>
  <c r="E48" i="60" l="1"/>
  <c r="D48" i="60" s="1"/>
  <c r="G48" i="60" s="1"/>
  <c r="F49" i="60" s="1"/>
  <c r="E24" i="60"/>
  <c r="D24" i="60" s="1"/>
  <c r="G24" i="60" s="1"/>
  <c r="F25" i="60" s="1"/>
  <c r="H21" i="58"/>
  <c r="D21" i="58"/>
  <c r="G21" i="58" s="1"/>
  <c r="F22" i="58" s="1"/>
  <c r="E22" i="58" s="1"/>
  <c r="D252" i="58"/>
  <c r="G252" i="58" s="1"/>
  <c r="F253" i="58" s="1"/>
  <c r="E253" i="58" s="1"/>
  <c r="I20" i="58"/>
  <c r="E25" i="60" l="1"/>
  <c r="D25" i="60" s="1"/>
  <c r="G25" i="60" s="1"/>
  <c r="F26" i="60" s="1"/>
  <c r="E49" i="60"/>
  <c r="D49" i="60" s="1"/>
  <c r="G49" i="60" s="1"/>
  <c r="F50" i="60" s="1"/>
  <c r="D253" i="58"/>
  <c r="G253" i="58" s="1"/>
  <c r="F254" i="58" s="1"/>
  <c r="E254" i="58" s="1"/>
  <c r="H22" i="58"/>
  <c r="D22" i="58"/>
  <c r="G22" i="58" s="1"/>
  <c r="F23" i="58" s="1"/>
  <c r="E23" i="58" s="1"/>
  <c r="I21" i="58"/>
  <c r="E50" i="60" l="1"/>
  <c r="D50" i="60" s="1"/>
  <c r="G50" i="60" s="1"/>
  <c r="F51" i="60" s="1"/>
  <c r="E51" i="60" s="1"/>
  <c r="E26" i="60"/>
  <c r="D26" i="60" s="1"/>
  <c r="G26" i="60" s="1"/>
  <c r="F27" i="60" s="1"/>
  <c r="H23" i="58"/>
  <c r="D23" i="58"/>
  <c r="G23" i="58" s="1"/>
  <c r="F24" i="58" s="1"/>
  <c r="E24" i="58" s="1"/>
  <c r="D254" i="58"/>
  <c r="G254" i="58" s="1"/>
  <c r="F255" i="58" s="1"/>
  <c r="E255" i="58" s="1"/>
  <c r="I22" i="58"/>
  <c r="E27" i="60" l="1"/>
  <c r="D27" i="60" s="1"/>
  <c r="G27" i="60" s="1"/>
  <c r="F28" i="60" s="1"/>
  <c r="D255" i="58"/>
  <c r="G255" i="58" s="1"/>
  <c r="F256" i="58" s="1"/>
  <c r="E256" i="58" s="1"/>
  <c r="H24" i="58"/>
  <c r="D24" i="58"/>
  <c r="G24" i="58" s="1"/>
  <c r="F25" i="58" s="1"/>
  <c r="E25" i="58" s="1"/>
  <c r="I23" i="58"/>
  <c r="E28" i="60" l="1"/>
  <c r="D28" i="60" s="1"/>
  <c r="G28" i="60" s="1"/>
  <c r="F29" i="60" s="1"/>
  <c r="H25" i="58"/>
  <c r="D25" i="58"/>
  <c r="G25" i="58" s="1"/>
  <c r="F26" i="58" s="1"/>
  <c r="E26" i="58" s="1"/>
  <c r="D256" i="58"/>
  <c r="G256" i="58" s="1"/>
  <c r="F257" i="58" s="1"/>
  <c r="E257" i="58" s="1"/>
  <c r="I24" i="58"/>
  <c r="E29" i="60" l="1"/>
  <c r="D29" i="60" s="1"/>
  <c r="G29" i="60" s="1"/>
  <c r="F30" i="60" s="1"/>
  <c r="D257" i="58"/>
  <c r="G257" i="58" s="1"/>
  <c r="F258" i="58" s="1"/>
  <c r="E258" i="58" s="1"/>
  <c r="H26" i="58"/>
  <c r="D26" i="58"/>
  <c r="G26" i="58" s="1"/>
  <c r="F27" i="58" s="1"/>
  <c r="E27" i="58" s="1"/>
  <c r="I25" i="58"/>
  <c r="E30" i="60" l="1"/>
  <c r="D30" i="60" s="1"/>
  <c r="G30" i="60" s="1"/>
  <c r="F31" i="60" s="1"/>
  <c r="I26" i="58"/>
  <c r="H27" i="58"/>
  <c r="D27" i="58"/>
  <c r="G27" i="58" s="1"/>
  <c r="F28" i="58" s="1"/>
  <c r="E28" i="58" s="1"/>
  <c r="D258" i="58"/>
  <c r="G258" i="58" s="1"/>
  <c r="F259" i="58" s="1"/>
  <c r="E259" i="58" s="1"/>
  <c r="E31" i="60" l="1"/>
  <c r="D31" i="60" s="1"/>
  <c r="G31" i="60" s="1"/>
  <c r="F32" i="60" s="1"/>
  <c r="D259" i="58"/>
  <c r="G259" i="58" s="1"/>
  <c r="F260" i="58" s="1"/>
  <c r="E260" i="58" s="1"/>
  <c r="H28" i="58"/>
  <c r="D28" i="58"/>
  <c r="G28" i="58" s="1"/>
  <c r="F29" i="58" s="1"/>
  <c r="E29" i="58" s="1"/>
  <c r="I27" i="58"/>
  <c r="E32" i="60" l="1"/>
  <c r="D32" i="60" s="1"/>
  <c r="G32" i="60" s="1"/>
  <c r="F33" i="60" s="1"/>
  <c r="H29" i="58"/>
  <c r="D29" i="58"/>
  <c r="G29" i="58" s="1"/>
  <c r="F30" i="58" s="1"/>
  <c r="E30" i="58" s="1"/>
  <c r="D260" i="58"/>
  <c r="G260" i="58" s="1"/>
  <c r="F261" i="58" s="1"/>
  <c r="E261" i="58" s="1"/>
  <c r="I28" i="58"/>
  <c r="E33" i="60" l="1"/>
  <c r="D33" i="60" s="1"/>
  <c r="G33" i="60" s="1"/>
  <c r="F34" i="60" s="1"/>
  <c r="D261" i="58"/>
  <c r="G261" i="58" s="1"/>
  <c r="F262" i="58" s="1"/>
  <c r="E262" i="58" s="1"/>
  <c r="H30" i="58"/>
  <c r="D30" i="58"/>
  <c r="G30" i="58" s="1"/>
  <c r="F31" i="58" s="1"/>
  <c r="E31" i="58" s="1"/>
  <c r="I29" i="58"/>
  <c r="E34" i="60" l="1"/>
  <c r="D34" i="60" s="1"/>
  <c r="G34" i="60" s="1"/>
  <c r="F35" i="60" s="1"/>
  <c r="D262" i="58"/>
  <c r="G262" i="58" s="1"/>
  <c r="F263" i="58" s="1"/>
  <c r="E263" i="58" s="1"/>
  <c r="H31" i="58"/>
  <c r="D31" i="58"/>
  <c r="G31" i="58" s="1"/>
  <c r="F32" i="58" s="1"/>
  <c r="E32" i="58" s="1"/>
  <c r="I30" i="58"/>
  <c r="E35" i="60" l="1"/>
  <c r="D35" i="60" s="1"/>
  <c r="G35" i="60" s="1"/>
  <c r="F36" i="60" s="1"/>
  <c r="D263" i="58"/>
  <c r="G263" i="58" s="1"/>
  <c r="F264" i="58" s="1"/>
  <c r="E264" i="58" s="1"/>
  <c r="H32" i="58"/>
  <c r="D32" i="58"/>
  <c r="G32" i="58" s="1"/>
  <c r="F33" i="58" s="1"/>
  <c r="E33" i="58" s="1"/>
  <c r="I31" i="58"/>
  <c r="E36" i="60" l="1"/>
  <c r="D36" i="60" s="1"/>
  <c r="G36" i="60" s="1"/>
  <c r="F37" i="60" s="1"/>
  <c r="I32" i="58"/>
  <c r="H33" i="58"/>
  <c r="D33" i="58"/>
  <c r="G33" i="58" s="1"/>
  <c r="F34" i="58" s="1"/>
  <c r="E34" i="58" s="1"/>
  <c r="D264" i="58"/>
  <c r="G264" i="58" s="1"/>
  <c r="F265" i="58" s="1"/>
  <c r="E265" i="58" s="1"/>
  <c r="E37" i="60" l="1"/>
  <c r="D37" i="60" s="1"/>
  <c r="G37" i="60" s="1"/>
  <c r="F38" i="60" s="1"/>
  <c r="D265" i="58"/>
  <c r="G265" i="58" s="1"/>
  <c r="F266" i="58" s="1"/>
  <c r="E266" i="58" s="1"/>
  <c r="H34" i="58"/>
  <c r="D34" i="58"/>
  <c r="G34" i="58" s="1"/>
  <c r="F35" i="58" s="1"/>
  <c r="E35" i="58" s="1"/>
  <c r="I33" i="58"/>
  <c r="E38" i="60" l="1"/>
  <c r="D38" i="60" s="1"/>
  <c r="G38" i="60" s="1"/>
  <c r="F39" i="60" s="1"/>
  <c r="G39" i="60" s="1"/>
  <c r="H35" i="58"/>
  <c r="D35" i="58"/>
  <c r="G35" i="58" s="1"/>
  <c r="F36" i="58" s="1"/>
  <c r="E36" i="58" s="1"/>
  <c r="D266" i="58"/>
  <c r="G266" i="58" s="1"/>
  <c r="F267" i="58" s="1"/>
  <c r="E267" i="58" s="1"/>
  <c r="I34" i="58"/>
  <c r="D267" i="58" l="1"/>
  <c r="G267" i="58" s="1"/>
  <c r="F268" i="58" s="1"/>
  <c r="E268" i="58" s="1"/>
  <c r="H36" i="58"/>
  <c r="D36" i="58"/>
  <c r="G36" i="58" s="1"/>
  <c r="F37" i="58" s="1"/>
  <c r="E37" i="58" s="1"/>
  <c r="I35" i="58"/>
  <c r="D268" i="58" l="1"/>
  <c r="G268" i="58" s="1"/>
  <c r="F269" i="58" s="1"/>
  <c r="E269" i="58" s="1"/>
  <c r="H37" i="58"/>
  <c r="D37" i="58"/>
  <c r="G37" i="58" s="1"/>
  <c r="F38" i="58" s="1"/>
  <c r="E38" i="58" s="1"/>
  <c r="I36" i="58"/>
  <c r="H38" i="58" l="1"/>
  <c r="D38" i="58"/>
  <c r="G38" i="58" s="1"/>
  <c r="F39" i="58" s="1"/>
  <c r="E39" i="58" s="1"/>
  <c r="D269" i="58"/>
  <c r="G269" i="58" s="1"/>
  <c r="F270" i="58" s="1"/>
  <c r="E270" i="58" s="1"/>
  <c r="I37" i="58"/>
  <c r="D270" i="58" l="1"/>
  <c r="G270" i="58" s="1"/>
  <c r="F271" i="58" s="1"/>
  <c r="E271" i="58" s="1"/>
  <c r="H39" i="58"/>
  <c r="D39" i="58"/>
  <c r="G39" i="58" s="1"/>
  <c r="F40" i="58" s="1"/>
  <c r="E40" i="58" s="1"/>
  <c r="I38" i="58"/>
  <c r="H40" i="58" l="1"/>
  <c r="D40" i="58"/>
  <c r="G40" i="58" s="1"/>
  <c r="F41" i="58" s="1"/>
  <c r="E41" i="58" s="1"/>
  <c r="D271" i="58"/>
  <c r="G271" i="58" s="1"/>
  <c r="F272" i="58" s="1"/>
  <c r="E272" i="58" s="1"/>
  <c r="I39" i="58"/>
  <c r="H41" i="58" l="1"/>
  <c r="D41" i="58"/>
  <c r="G41" i="58" s="1"/>
  <c r="F42" i="58" s="1"/>
  <c r="E42" i="58" s="1"/>
  <c r="D272" i="58"/>
  <c r="G272" i="58" s="1"/>
  <c r="F273" i="58" s="1"/>
  <c r="E273" i="58" s="1"/>
  <c r="I40" i="58"/>
  <c r="D273" i="58" l="1"/>
  <c r="G273" i="58" s="1"/>
  <c r="F274" i="58" s="1"/>
  <c r="E274" i="58" s="1"/>
  <c r="H42" i="58"/>
  <c r="D42" i="58"/>
  <c r="G42" i="58" s="1"/>
  <c r="F43" i="58" s="1"/>
  <c r="E43" i="58" s="1"/>
  <c r="I41" i="58"/>
  <c r="D274" i="58" l="1"/>
  <c r="G274" i="58" s="1"/>
  <c r="F275" i="58" s="1"/>
  <c r="E275" i="58" s="1"/>
  <c r="H43" i="58"/>
  <c r="D43" i="58"/>
  <c r="G43" i="58" s="1"/>
  <c r="F44" i="58" s="1"/>
  <c r="E44" i="58" s="1"/>
  <c r="I42" i="58"/>
  <c r="D275" i="58" l="1"/>
  <c r="G275" i="58" s="1"/>
  <c r="F276" i="58" s="1"/>
  <c r="E276" i="58" s="1"/>
  <c r="H44" i="58"/>
  <c r="D44" i="58"/>
  <c r="G44" i="58" s="1"/>
  <c r="F45" i="58" s="1"/>
  <c r="E45" i="58" s="1"/>
  <c r="I43" i="58"/>
  <c r="H45" i="58" l="1"/>
  <c r="D45" i="58"/>
  <c r="G45" i="58" s="1"/>
  <c r="F46" i="58" s="1"/>
  <c r="E46" i="58" s="1"/>
  <c r="D276" i="58"/>
  <c r="G276" i="58" s="1"/>
  <c r="F277" i="58" s="1"/>
  <c r="E277" i="58" s="1"/>
  <c r="I44" i="58"/>
  <c r="H46" i="58" l="1"/>
  <c r="D46" i="58"/>
  <c r="G46" i="58" s="1"/>
  <c r="F47" i="58" s="1"/>
  <c r="E47" i="58" s="1"/>
  <c r="D277" i="58"/>
  <c r="G277" i="58" s="1"/>
  <c r="F278" i="58" s="1"/>
  <c r="E278" i="58" s="1"/>
  <c r="I45" i="58"/>
  <c r="H47" i="58" l="1"/>
  <c r="D47" i="58"/>
  <c r="G47" i="58" s="1"/>
  <c r="F48" i="58" s="1"/>
  <c r="E48" i="58" s="1"/>
  <c r="D278" i="58"/>
  <c r="G278" i="58" s="1"/>
  <c r="F279" i="58" s="1"/>
  <c r="E279" i="58" s="1"/>
  <c r="I46" i="58"/>
  <c r="D279" i="58" l="1"/>
  <c r="G279" i="58" s="1"/>
  <c r="F280" i="58" s="1"/>
  <c r="E280" i="58" s="1"/>
  <c r="H48" i="58"/>
  <c r="D48" i="58"/>
  <c r="G48" i="58" s="1"/>
  <c r="F49" i="58" s="1"/>
  <c r="E49" i="58" s="1"/>
  <c r="I47" i="58"/>
  <c r="H49" i="58" l="1"/>
  <c r="D49" i="58"/>
  <c r="G49" i="58" s="1"/>
  <c r="F50" i="58" s="1"/>
  <c r="E50" i="58" s="1"/>
  <c r="D280" i="58"/>
  <c r="G280" i="58" s="1"/>
  <c r="F281" i="58" s="1"/>
  <c r="E281" i="58" s="1"/>
  <c r="I48" i="58"/>
  <c r="H50" i="58" l="1"/>
  <c r="D50" i="58"/>
  <c r="G50" i="58" s="1"/>
  <c r="F51" i="58" s="1"/>
  <c r="E51" i="58" s="1"/>
  <c r="D281" i="58"/>
  <c r="G281" i="58" s="1"/>
  <c r="F282" i="58" s="1"/>
  <c r="E282" i="58" s="1"/>
  <c r="I49" i="58"/>
  <c r="D282" i="58" l="1"/>
  <c r="G282" i="58" s="1"/>
  <c r="F283" i="58" s="1"/>
  <c r="E283" i="58" s="1"/>
  <c r="H51" i="58"/>
  <c r="D51" i="58"/>
  <c r="G51" i="58" s="1"/>
  <c r="F52" i="58" s="1"/>
  <c r="E52" i="58" s="1"/>
  <c r="I50" i="58"/>
  <c r="H52" i="58" l="1"/>
  <c r="D52" i="58"/>
  <c r="G52" i="58" s="1"/>
  <c r="F53" i="58" s="1"/>
  <c r="E53" i="58" s="1"/>
  <c r="D283" i="58"/>
  <c r="G283" i="58" s="1"/>
  <c r="F284" i="58" s="1"/>
  <c r="E284" i="58" s="1"/>
  <c r="I51" i="58"/>
  <c r="H53" i="58" l="1"/>
  <c r="D53" i="58"/>
  <c r="G53" i="58" s="1"/>
  <c r="F54" i="58" s="1"/>
  <c r="E54" i="58" s="1"/>
  <c r="D284" i="58"/>
  <c r="G284" i="58" s="1"/>
  <c r="F285" i="58" s="1"/>
  <c r="E285" i="58" s="1"/>
  <c r="I52" i="58"/>
  <c r="H54" i="58" l="1"/>
  <c r="D54" i="58"/>
  <c r="G54" i="58" s="1"/>
  <c r="F55" i="58" s="1"/>
  <c r="E55" i="58" s="1"/>
  <c r="D285" i="58"/>
  <c r="G285" i="58" s="1"/>
  <c r="F286" i="58" s="1"/>
  <c r="E286" i="58" s="1"/>
  <c r="I53" i="58"/>
  <c r="D286" i="58" l="1"/>
  <c r="G286" i="58" s="1"/>
  <c r="F287" i="58" s="1"/>
  <c r="E287" i="58" s="1"/>
  <c r="H55" i="58"/>
  <c r="D55" i="58"/>
  <c r="G55" i="58" s="1"/>
  <c r="F56" i="58" s="1"/>
  <c r="E56" i="58" s="1"/>
  <c r="I54" i="58"/>
  <c r="H56" i="58" l="1"/>
  <c r="D56" i="58"/>
  <c r="G56" i="58" s="1"/>
  <c r="F57" i="58" s="1"/>
  <c r="E57" i="58" s="1"/>
  <c r="D287" i="58"/>
  <c r="G287" i="58" s="1"/>
  <c r="F288" i="58" s="1"/>
  <c r="E288" i="58" s="1"/>
  <c r="I55" i="58"/>
  <c r="D288" i="58" l="1"/>
  <c r="G288" i="58" s="1"/>
  <c r="F289" i="58" s="1"/>
  <c r="E289" i="58" s="1"/>
  <c r="H57" i="58"/>
  <c r="D57" i="58"/>
  <c r="G57" i="58" s="1"/>
  <c r="F58" i="58" s="1"/>
  <c r="E58" i="58" s="1"/>
  <c r="I56" i="58"/>
  <c r="H58" i="58" l="1"/>
  <c r="D58" i="58"/>
  <c r="G58" i="58" s="1"/>
  <c r="F59" i="58" s="1"/>
  <c r="E59" i="58" s="1"/>
  <c r="D289" i="58"/>
  <c r="G289" i="58" s="1"/>
  <c r="F290" i="58" s="1"/>
  <c r="E290" i="58" s="1"/>
  <c r="I57" i="58"/>
  <c r="D290" i="58" l="1"/>
  <c r="G290" i="58" s="1"/>
  <c r="F291" i="58" s="1"/>
  <c r="E291" i="58" s="1"/>
  <c r="H59" i="58"/>
  <c r="D59" i="58"/>
  <c r="G59" i="58" s="1"/>
  <c r="F60" i="58" s="1"/>
  <c r="E60" i="58" s="1"/>
  <c r="I58" i="58"/>
  <c r="I59" i="58" l="1"/>
  <c r="H60" i="58"/>
  <c r="D60" i="58"/>
  <c r="G60" i="58" s="1"/>
  <c r="F61" i="58" s="1"/>
  <c r="E61" i="58" s="1"/>
  <c r="D291" i="58"/>
  <c r="G291" i="58" s="1"/>
  <c r="F292" i="58" s="1"/>
  <c r="E292" i="58" s="1"/>
  <c r="D292" i="58" l="1"/>
  <c r="G292" i="58" s="1"/>
  <c r="F293" i="58" s="1"/>
  <c r="E293" i="58" s="1"/>
  <c r="H61" i="58"/>
  <c r="D61" i="58"/>
  <c r="G61" i="58" s="1"/>
  <c r="F62" i="58" s="1"/>
  <c r="E62" i="58" s="1"/>
  <c r="I60" i="58"/>
  <c r="H62" i="58" l="1"/>
  <c r="D62" i="58"/>
  <c r="G62" i="58" s="1"/>
  <c r="F63" i="58" s="1"/>
  <c r="E63" i="58" s="1"/>
  <c r="D293" i="58"/>
  <c r="G293" i="58" s="1"/>
  <c r="F294" i="58" s="1"/>
  <c r="E294" i="58" s="1"/>
  <c r="I61" i="58"/>
  <c r="D294" i="58" l="1"/>
  <c r="G294" i="58" s="1"/>
  <c r="F295" i="58" s="1"/>
  <c r="E295" i="58" s="1"/>
  <c r="H63" i="58"/>
  <c r="D63" i="58"/>
  <c r="G63" i="58" s="1"/>
  <c r="F64" i="58" s="1"/>
  <c r="E64" i="58" s="1"/>
  <c r="I62" i="58"/>
  <c r="H64" i="58" l="1"/>
  <c r="D64" i="58"/>
  <c r="G64" i="58" s="1"/>
  <c r="F65" i="58" s="1"/>
  <c r="E65" i="58" s="1"/>
  <c r="D295" i="58"/>
  <c r="G295" i="58" s="1"/>
  <c r="F296" i="58" s="1"/>
  <c r="E296" i="58" s="1"/>
  <c r="I63" i="58"/>
  <c r="D296" i="58" l="1"/>
  <c r="G296" i="58" s="1"/>
  <c r="F297" i="58" s="1"/>
  <c r="E297" i="58" s="1"/>
  <c r="H65" i="58"/>
  <c r="D65" i="58"/>
  <c r="G65" i="58" s="1"/>
  <c r="F66" i="58" s="1"/>
  <c r="E66" i="58" s="1"/>
  <c r="I64" i="58"/>
  <c r="H66" i="58" l="1"/>
  <c r="D66" i="58"/>
  <c r="G66" i="58" s="1"/>
  <c r="F67" i="58" s="1"/>
  <c r="E67" i="58" s="1"/>
  <c r="D297" i="58"/>
  <c r="G297" i="58" s="1"/>
  <c r="F298" i="58" s="1"/>
  <c r="E298" i="58" s="1"/>
  <c r="I65" i="58"/>
  <c r="I66" i="58" l="1"/>
  <c r="D298" i="58"/>
  <c r="G298" i="58" s="1"/>
  <c r="F299" i="58" s="1"/>
  <c r="E299" i="58" s="1"/>
  <c r="H67" i="58"/>
  <c r="D67" i="58"/>
  <c r="G67" i="58" s="1"/>
  <c r="F68" i="58" s="1"/>
  <c r="E68" i="58" s="1"/>
  <c r="H68" i="58" l="1"/>
  <c r="D68" i="58"/>
  <c r="G68" i="58" s="1"/>
  <c r="F69" i="58" s="1"/>
  <c r="E69" i="58" s="1"/>
  <c r="D299" i="58"/>
  <c r="G299" i="58" s="1"/>
  <c r="F300" i="58" s="1"/>
  <c r="E300" i="58" s="1"/>
  <c r="I67" i="58"/>
  <c r="D300" i="58" l="1"/>
  <c r="G300" i="58" s="1"/>
  <c r="F301" i="58" s="1"/>
  <c r="E301" i="58" s="1"/>
  <c r="H69" i="58"/>
  <c r="D69" i="58"/>
  <c r="G69" i="58" s="1"/>
  <c r="F70" i="58" s="1"/>
  <c r="E70" i="58" s="1"/>
  <c r="I68" i="58"/>
  <c r="H70" i="58" l="1"/>
  <c r="D70" i="58"/>
  <c r="G70" i="58" s="1"/>
  <c r="F71" i="58" s="1"/>
  <c r="E71" i="58" s="1"/>
  <c r="D301" i="58"/>
  <c r="G301" i="58" s="1"/>
  <c r="F302" i="58" s="1"/>
  <c r="E302" i="58" s="1"/>
  <c r="I69" i="58"/>
  <c r="D302" i="58" l="1"/>
  <c r="G302" i="58" s="1"/>
  <c r="F303" i="58" s="1"/>
  <c r="E303" i="58" s="1"/>
  <c r="H71" i="58"/>
  <c r="D71" i="58"/>
  <c r="G71" i="58" s="1"/>
  <c r="F72" i="58" s="1"/>
  <c r="E72" i="58" s="1"/>
  <c r="I70" i="58"/>
  <c r="H72" i="58" l="1"/>
  <c r="D72" i="58"/>
  <c r="G72" i="58" s="1"/>
  <c r="F73" i="58" s="1"/>
  <c r="E73" i="58" s="1"/>
  <c r="D303" i="58"/>
  <c r="G303" i="58" s="1"/>
  <c r="F304" i="58" s="1"/>
  <c r="E304" i="58" s="1"/>
  <c r="I71" i="58"/>
  <c r="H73" i="58" l="1"/>
  <c r="D73" i="58"/>
  <c r="G73" i="58" s="1"/>
  <c r="F74" i="58" s="1"/>
  <c r="E74" i="58" s="1"/>
  <c r="D304" i="58"/>
  <c r="G304" i="58" s="1"/>
  <c r="F305" i="58" s="1"/>
  <c r="E305" i="58" s="1"/>
  <c r="I72" i="58"/>
  <c r="H74" i="58" l="1"/>
  <c r="D74" i="58"/>
  <c r="G74" i="58" s="1"/>
  <c r="F75" i="58" s="1"/>
  <c r="E75" i="58" s="1"/>
  <c r="D305" i="58"/>
  <c r="G305" i="58" s="1"/>
  <c r="F306" i="58" s="1"/>
  <c r="E306" i="58" s="1"/>
  <c r="I73" i="58"/>
  <c r="D306" i="58" l="1"/>
  <c r="G306" i="58" s="1"/>
  <c r="F307" i="58" s="1"/>
  <c r="E307" i="58" s="1"/>
  <c r="H75" i="58"/>
  <c r="D75" i="58"/>
  <c r="G75" i="58" s="1"/>
  <c r="F76" i="58" s="1"/>
  <c r="E76" i="58" s="1"/>
  <c r="I74" i="58"/>
  <c r="H76" i="58" l="1"/>
  <c r="D76" i="58"/>
  <c r="G76" i="58" s="1"/>
  <c r="F77" i="58" s="1"/>
  <c r="E77" i="58" s="1"/>
  <c r="D307" i="58"/>
  <c r="G307" i="58" s="1"/>
  <c r="F308" i="58" s="1"/>
  <c r="E308" i="58" s="1"/>
  <c r="I75" i="58"/>
  <c r="D308" i="58" l="1"/>
  <c r="G308" i="58" s="1"/>
  <c r="F309" i="58" s="1"/>
  <c r="E309" i="58" s="1"/>
  <c r="H77" i="58"/>
  <c r="D77" i="58"/>
  <c r="G77" i="58" s="1"/>
  <c r="F78" i="58" s="1"/>
  <c r="E78" i="58" s="1"/>
  <c r="I76" i="58"/>
  <c r="I77" i="58" l="1"/>
  <c r="H78" i="58"/>
  <c r="D78" i="58"/>
  <c r="G78" i="58" s="1"/>
  <c r="F79" i="58" s="1"/>
  <c r="E79" i="58" s="1"/>
  <c r="D309" i="58"/>
  <c r="G309" i="58" s="1"/>
  <c r="F310" i="58" s="1"/>
  <c r="E310" i="58" s="1"/>
  <c r="D310" i="58" l="1"/>
  <c r="G310" i="58" s="1"/>
  <c r="F311" i="58" s="1"/>
  <c r="E311" i="58" s="1"/>
  <c r="H79" i="58"/>
  <c r="D79" i="58"/>
  <c r="G79" i="58" s="1"/>
  <c r="F80" i="58" s="1"/>
  <c r="E80" i="58" s="1"/>
  <c r="I78" i="58"/>
  <c r="H80" i="58" l="1"/>
  <c r="D80" i="58"/>
  <c r="G80" i="58" s="1"/>
  <c r="F81" i="58" s="1"/>
  <c r="E81" i="58" s="1"/>
  <c r="D311" i="58"/>
  <c r="G311" i="58" s="1"/>
  <c r="F312" i="58" s="1"/>
  <c r="E312" i="58" s="1"/>
  <c r="I79" i="58"/>
  <c r="D312" i="58" l="1"/>
  <c r="G312" i="58" s="1"/>
  <c r="F313" i="58" s="1"/>
  <c r="E313" i="58" s="1"/>
  <c r="H81" i="58"/>
  <c r="D81" i="58"/>
  <c r="G81" i="58" s="1"/>
  <c r="F82" i="58" s="1"/>
  <c r="E82" i="58" s="1"/>
  <c r="I80" i="58"/>
  <c r="H82" i="58" l="1"/>
  <c r="D82" i="58"/>
  <c r="G82" i="58" s="1"/>
  <c r="F83" i="58" s="1"/>
  <c r="E83" i="58" s="1"/>
  <c r="D313" i="58"/>
  <c r="G313" i="58" s="1"/>
  <c r="F314" i="58" s="1"/>
  <c r="E314" i="58" s="1"/>
  <c r="I81" i="58"/>
  <c r="H83" i="58" l="1"/>
  <c r="D83" i="58"/>
  <c r="G83" i="58" s="1"/>
  <c r="F84" i="58" s="1"/>
  <c r="E84" i="58" s="1"/>
  <c r="D314" i="58"/>
  <c r="G314" i="58" s="1"/>
  <c r="F315" i="58" s="1"/>
  <c r="E315" i="58" s="1"/>
  <c r="I82" i="58"/>
  <c r="D315" i="58" l="1"/>
  <c r="G315" i="58" s="1"/>
  <c r="F316" i="58" s="1"/>
  <c r="E316" i="58" s="1"/>
  <c r="H84" i="58"/>
  <c r="D84" i="58"/>
  <c r="G84" i="58" s="1"/>
  <c r="F85" i="58" s="1"/>
  <c r="E85" i="58" s="1"/>
  <c r="I83" i="58"/>
  <c r="H85" i="58" l="1"/>
  <c r="D85" i="58"/>
  <c r="G85" i="58" s="1"/>
  <c r="F86" i="58" s="1"/>
  <c r="E86" i="58" s="1"/>
  <c r="D316" i="58"/>
  <c r="G316" i="58" s="1"/>
  <c r="F317" i="58" s="1"/>
  <c r="E317" i="58" s="1"/>
  <c r="I84" i="58"/>
  <c r="D317" i="58" l="1"/>
  <c r="G317" i="58" s="1"/>
  <c r="F318" i="58" s="1"/>
  <c r="E318" i="58" s="1"/>
  <c r="H86" i="58"/>
  <c r="D86" i="58"/>
  <c r="G86" i="58" s="1"/>
  <c r="F87" i="58" s="1"/>
  <c r="E87" i="58" s="1"/>
  <c r="I85" i="58"/>
  <c r="H87" i="58" l="1"/>
  <c r="D87" i="58"/>
  <c r="G87" i="58" s="1"/>
  <c r="F88" i="58" s="1"/>
  <c r="E88" i="58" s="1"/>
  <c r="D318" i="58"/>
  <c r="G318" i="58" s="1"/>
  <c r="F319" i="58" s="1"/>
  <c r="E319" i="58" s="1"/>
  <c r="I86" i="58"/>
  <c r="D319" i="58" l="1"/>
  <c r="G319" i="58" s="1"/>
  <c r="F320" i="58" s="1"/>
  <c r="E320" i="58" s="1"/>
  <c r="H88" i="58"/>
  <c r="D88" i="58"/>
  <c r="G88" i="58" s="1"/>
  <c r="F89" i="58" s="1"/>
  <c r="E89" i="58" s="1"/>
  <c r="I87" i="58"/>
  <c r="H89" i="58" l="1"/>
  <c r="D89" i="58"/>
  <c r="G89" i="58" s="1"/>
  <c r="F90" i="58" s="1"/>
  <c r="E90" i="58" s="1"/>
  <c r="D320" i="58"/>
  <c r="G320" i="58" s="1"/>
  <c r="F321" i="58" s="1"/>
  <c r="E321" i="58" s="1"/>
  <c r="I88" i="58"/>
  <c r="H90" i="58" l="1"/>
  <c r="D90" i="58"/>
  <c r="G90" i="58" s="1"/>
  <c r="F91" i="58" s="1"/>
  <c r="E91" i="58" s="1"/>
  <c r="D321" i="58"/>
  <c r="G321" i="58" s="1"/>
  <c r="F322" i="58" s="1"/>
  <c r="E322" i="58" s="1"/>
  <c r="I89" i="58"/>
  <c r="I90" i="58" l="1"/>
  <c r="D322" i="58"/>
  <c r="G322" i="58" s="1"/>
  <c r="F323" i="58" s="1"/>
  <c r="E323" i="58" s="1"/>
  <c r="H91" i="58"/>
  <c r="D91" i="58"/>
  <c r="G91" i="58" s="1"/>
  <c r="F92" i="58" s="1"/>
  <c r="E92" i="58" s="1"/>
  <c r="H92" i="58" l="1"/>
  <c r="D92" i="58"/>
  <c r="G92" i="58" s="1"/>
  <c r="F93" i="58" s="1"/>
  <c r="E93" i="58" s="1"/>
  <c r="D323" i="58"/>
  <c r="G323" i="58" s="1"/>
  <c r="F324" i="58" s="1"/>
  <c r="E324" i="58" s="1"/>
  <c r="I91" i="58"/>
  <c r="D324" i="58" l="1"/>
  <c r="G324" i="58" s="1"/>
  <c r="F325" i="58" s="1"/>
  <c r="E325" i="58" s="1"/>
  <c r="H93" i="58"/>
  <c r="D93" i="58"/>
  <c r="G93" i="58" s="1"/>
  <c r="F94" i="58" s="1"/>
  <c r="E94" i="58" s="1"/>
  <c r="I92" i="58"/>
  <c r="H94" i="58" l="1"/>
  <c r="D94" i="58"/>
  <c r="G94" i="58" s="1"/>
  <c r="F95" i="58" s="1"/>
  <c r="E95" i="58" s="1"/>
  <c r="D325" i="58"/>
  <c r="G325" i="58" s="1"/>
  <c r="F326" i="58" s="1"/>
  <c r="E326" i="58" s="1"/>
  <c r="I93" i="58"/>
  <c r="D326" i="58" l="1"/>
  <c r="G326" i="58" s="1"/>
  <c r="F327" i="58" s="1"/>
  <c r="E327" i="58" s="1"/>
  <c r="H95" i="58"/>
  <c r="D95" i="58"/>
  <c r="G95" i="58" s="1"/>
  <c r="F96" i="58" s="1"/>
  <c r="E96" i="58" s="1"/>
  <c r="I94" i="58"/>
  <c r="H96" i="58" l="1"/>
  <c r="D96" i="58"/>
  <c r="G96" i="58" s="1"/>
  <c r="F97" i="58" s="1"/>
  <c r="E97" i="58" s="1"/>
  <c r="D327" i="58"/>
  <c r="G327" i="58" s="1"/>
  <c r="F328" i="58" s="1"/>
  <c r="E328" i="58" s="1"/>
  <c r="I95" i="58"/>
  <c r="D328" i="58" l="1"/>
  <c r="G328" i="58" s="1"/>
  <c r="F329" i="58" s="1"/>
  <c r="E329" i="58" s="1"/>
  <c r="H97" i="58"/>
  <c r="D97" i="58"/>
  <c r="G97" i="58" s="1"/>
  <c r="F98" i="58" s="1"/>
  <c r="E98" i="58" s="1"/>
  <c r="I96" i="58"/>
  <c r="H98" i="58" l="1"/>
  <c r="D98" i="58"/>
  <c r="G98" i="58" s="1"/>
  <c r="F99" i="58" s="1"/>
  <c r="E99" i="58" s="1"/>
  <c r="D329" i="58"/>
  <c r="G329" i="58" s="1"/>
  <c r="F330" i="58" s="1"/>
  <c r="E330" i="58" s="1"/>
  <c r="I97" i="58"/>
  <c r="D330" i="58" l="1"/>
  <c r="G330" i="58" s="1"/>
  <c r="F331" i="58" s="1"/>
  <c r="E331" i="58" s="1"/>
  <c r="H99" i="58"/>
  <c r="D99" i="58"/>
  <c r="G99" i="58" s="1"/>
  <c r="F100" i="58" s="1"/>
  <c r="E100" i="58" s="1"/>
  <c r="I98" i="58"/>
  <c r="H100" i="58" l="1"/>
  <c r="D100" i="58"/>
  <c r="G100" i="58" s="1"/>
  <c r="F101" i="58" s="1"/>
  <c r="E101" i="58" s="1"/>
  <c r="D331" i="58"/>
  <c r="G331" i="58" s="1"/>
  <c r="F332" i="58" s="1"/>
  <c r="E332" i="58" s="1"/>
  <c r="I99" i="58"/>
  <c r="D332" i="58" l="1"/>
  <c r="G332" i="58" s="1"/>
  <c r="F333" i="58" s="1"/>
  <c r="E333" i="58" s="1"/>
  <c r="H101" i="58"/>
  <c r="D101" i="58"/>
  <c r="G101" i="58" s="1"/>
  <c r="F102" i="58" s="1"/>
  <c r="E102" i="58" s="1"/>
  <c r="I100" i="58"/>
  <c r="H102" i="58" l="1"/>
  <c r="D102" i="58"/>
  <c r="G102" i="58" s="1"/>
  <c r="F103" i="58" s="1"/>
  <c r="E103" i="58" s="1"/>
  <c r="I101" i="58"/>
  <c r="D333" i="58"/>
  <c r="G333" i="58" s="1"/>
  <c r="F334" i="58" s="1"/>
  <c r="E334" i="58" s="1"/>
  <c r="D334" i="58" l="1"/>
  <c r="G334" i="58" s="1"/>
  <c r="F335" i="58" s="1"/>
  <c r="E335" i="58" s="1"/>
  <c r="H103" i="58"/>
  <c r="D103" i="58"/>
  <c r="G103" i="58" s="1"/>
  <c r="F104" i="58" s="1"/>
  <c r="E104" i="58" s="1"/>
  <c r="I102" i="58"/>
  <c r="H104" i="58" l="1"/>
  <c r="D104" i="58"/>
  <c r="G104" i="58" s="1"/>
  <c r="F105" i="58" s="1"/>
  <c r="E105" i="58" s="1"/>
  <c r="D335" i="58"/>
  <c r="G335" i="58" s="1"/>
  <c r="F336" i="58" s="1"/>
  <c r="E336" i="58" s="1"/>
  <c r="I103" i="58"/>
  <c r="H105" i="58" l="1"/>
  <c r="D105" i="58"/>
  <c r="G105" i="58" s="1"/>
  <c r="F106" i="58" s="1"/>
  <c r="E106" i="58" s="1"/>
  <c r="D336" i="58"/>
  <c r="G336" i="58" s="1"/>
  <c r="F337" i="58" s="1"/>
  <c r="E337" i="58" s="1"/>
  <c r="I104" i="58"/>
  <c r="D337" i="58" l="1"/>
  <c r="G337" i="58" s="1"/>
  <c r="F338" i="58" s="1"/>
  <c r="E338" i="58" s="1"/>
  <c r="H106" i="58"/>
  <c r="D106" i="58"/>
  <c r="G106" i="58" s="1"/>
  <c r="F107" i="58" s="1"/>
  <c r="E107" i="58" s="1"/>
  <c r="I105" i="58"/>
  <c r="H107" i="58" l="1"/>
  <c r="D107" i="58"/>
  <c r="G107" i="58" s="1"/>
  <c r="F108" i="58" s="1"/>
  <c r="E108" i="58" s="1"/>
  <c r="D338" i="58"/>
  <c r="G338" i="58" s="1"/>
  <c r="F339" i="58" s="1"/>
  <c r="E339" i="58" s="1"/>
  <c r="I106" i="58"/>
  <c r="D339" i="58" l="1"/>
  <c r="G339" i="58" s="1"/>
  <c r="F340" i="58" s="1"/>
  <c r="E340" i="58" s="1"/>
  <c r="H108" i="58"/>
  <c r="D108" i="58"/>
  <c r="G108" i="58" s="1"/>
  <c r="F109" i="58" s="1"/>
  <c r="E109" i="58" s="1"/>
  <c r="I107" i="58"/>
  <c r="D340" i="58" l="1"/>
  <c r="G340" i="58" s="1"/>
  <c r="F341" i="58" s="1"/>
  <c r="E341" i="58" s="1"/>
  <c r="H109" i="58"/>
  <c r="D109" i="58"/>
  <c r="G109" i="58" s="1"/>
  <c r="F110" i="58" s="1"/>
  <c r="E110" i="58" s="1"/>
  <c r="I108" i="58"/>
  <c r="H110" i="58" l="1"/>
  <c r="D110" i="58"/>
  <c r="G110" i="58" s="1"/>
  <c r="F111" i="58" s="1"/>
  <c r="E111" i="58" s="1"/>
  <c r="D341" i="58"/>
  <c r="G341" i="58" s="1"/>
  <c r="F342" i="58" s="1"/>
  <c r="E342" i="58" s="1"/>
  <c r="I109" i="58"/>
  <c r="D342" i="58" l="1"/>
  <c r="G342" i="58" s="1"/>
  <c r="F343" i="58" s="1"/>
  <c r="E343" i="58" s="1"/>
  <c r="H111" i="58"/>
  <c r="D111" i="58"/>
  <c r="G111" i="58" s="1"/>
  <c r="F112" i="58" s="1"/>
  <c r="E112" i="58" s="1"/>
  <c r="I110" i="58"/>
  <c r="H112" i="58" l="1"/>
  <c r="D112" i="58"/>
  <c r="G112" i="58" s="1"/>
  <c r="F113" i="58" s="1"/>
  <c r="E113" i="58" s="1"/>
  <c r="I111" i="58"/>
  <c r="D343" i="58"/>
  <c r="G343" i="58" s="1"/>
  <c r="F344" i="58" s="1"/>
  <c r="E344" i="58" s="1"/>
  <c r="D344" i="58" l="1"/>
  <c r="G344" i="58" s="1"/>
  <c r="F345" i="58" s="1"/>
  <c r="E345" i="58" s="1"/>
  <c r="H113" i="58"/>
  <c r="D113" i="58"/>
  <c r="G113" i="58" s="1"/>
  <c r="F114" i="58" s="1"/>
  <c r="E114" i="58" s="1"/>
  <c r="I112" i="58"/>
  <c r="H114" i="58" l="1"/>
  <c r="D114" i="58"/>
  <c r="G114" i="58" s="1"/>
  <c r="F115" i="58" s="1"/>
  <c r="E115" i="58" s="1"/>
  <c r="I113" i="58"/>
  <c r="D345" i="58"/>
  <c r="G345" i="58" s="1"/>
  <c r="F346" i="58" s="1"/>
  <c r="E346" i="58" s="1"/>
  <c r="D346" i="58" l="1"/>
  <c r="G346" i="58" s="1"/>
  <c r="F347" i="58" s="1"/>
  <c r="E347" i="58" s="1"/>
  <c r="H115" i="58"/>
  <c r="D115" i="58"/>
  <c r="G115" i="58" s="1"/>
  <c r="F116" i="58" s="1"/>
  <c r="E116" i="58" s="1"/>
  <c r="I114" i="58"/>
  <c r="H116" i="58" l="1"/>
  <c r="D116" i="58"/>
  <c r="G116" i="58" s="1"/>
  <c r="F117" i="58" s="1"/>
  <c r="E117" i="58" s="1"/>
  <c r="D347" i="58"/>
  <c r="G347" i="58" s="1"/>
  <c r="F348" i="58" s="1"/>
  <c r="E348" i="58" s="1"/>
  <c r="I115" i="58"/>
  <c r="D348" i="58" l="1"/>
  <c r="G348" i="58" s="1"/>
  <c r="F349" i="58" s="1"/>
  <c r="E349" i="58" s="1"/>
  <c r="H117" i="58"/>
  <c r="D117" i="58"/>
  <c r="G117" i="58" s="1"/>
  <c r="F118" i="58" s="1"/>
  <c r="E118" i="58" s="1"/>
  <c r="I116" i="58"/>
  <c r="D349" i="58" l="1"/>
  <c r="G349" i="58" s="1"/>
  <c r="F350" i="58" s="1"/>
  <c r="E350" i="58" s="1"/>
  <c r="H118" i="58"/>
  <c r="D118" i="58"/>
  <c r="G118" i="58" s="1"/>
  <c r="F119" i="58" s="1"/>
  <c r="E119" i="58" s="1"/>
  <c r="I117" i="58"/>
  <c r="H119" i="58" l="1"/>
  <c r="D119" i="58"/>
  <c r="G119" i="58" s="1"/>
  <c r="F120" i="58" s="1"/>
  <c r="E120" i="58" s="1"/>
  <c r="D350" i="58"/>
  <c r="G350" i="58" s="1"/>
  <c r="F351" i="58" s="1"/>
  <c r="E351" i="58" s="1"/>
  <c r="I118" i="58"/>
  <c r="H120" i="58" l="1"/>
  <c r="D120" i="58"/>
  <c r="G120" i="58" s="1"/>
  <c r="F121" i="58" s="1"/>
  <c r="E121" i="58" s="1"/>
  <c r="D351" i="58"/>
  <c r="G351" i="58" s="1"/>
  <c r="F352" i="58" s="1"/>
  <c r="E352" i="58" s="1"/>
  <c r="I119" i="58"/>
  <c r="D352" i="58" l="1"/>
  <c r="G352" i="58" s="1"/>
  <c r="F353" i="58" s="1"/>
  <c r="E353" i="58" s="1"/>
  <c r="H121" i="58"/>
  <c r="D121" i="58"/>
  <c r="G121" i="58" s="1"/>
  <c r="F122" i="58" s="1"/>
  <c r="E122" i="58" s="1"/>
  <c r="I120" i="58"/>
  <c r="H122" i="58" l="1"/>
  <c r="D122" i="58"/>
  <c r="G122" i="58" s="1"/>
  <c r="F123" i="58" s="1"/>
  <c r="E123" i="58" s="1"/>
  <c r="D353" i="58"/>
  <c r="G353" i="58" s="1"/>
  <c r="F354" i="58" s="1"/>
  <c r="E354" i="58" s="1"/>
  <c r="I121" i="58"/>
  <c r="D354" i="58" l="1"/>
  <c r="G354" i="58" s="1"/>
  <c r="F355" i="58" s="1"/>
  <c r="E355" i="58" s="1"/>
  <c r="H123" i="58"/>
  <c r="D123" i="58"/>
  <c r="G123" i="58" s="1"/>
  <c r="F124" i="58" s="1"/>
  <c r="E124" i="58" s="1"/>
  <c r="I122" i="58"/>
  <c r="H124" i="58" l="1"/>
  <c r="D124" i="58"/>
  <c r="G124" i="58" s="1"/>
  <c r="F125" i="58" s="1"/>
  <c r="E125" i="58" s="1"/>
  <c r="D355" i="58"/>
  <c r="G355" i="58" s="1"/>
  <c r="F356" i="58" s="1"/>
  <c r="E356" i="58" s="1"/>
  <c r="I123" i="58"/>
  <c r="D356" i="58" l="1"/>
  <c r="G356" i="58" s="1"/>
  <c r="F357" i="58" s="1"/>
  <c r="E357" i="58" s="1"/>
  <c r="H125" i="58"/>
  <c r="D125" i="58"/>
  <c r="G125" i="58" s="1"/>
  <c r="F126" i="58" s="1"/>
  <c r="E126" i="58" s="1"/>
  <c r="I124" i="58"/>
  <c r="H126" i="58" l="1"/>
  <c r="D126" i="58"/>
  <c r="G126" i="58" s="1"/>
  <c r="F127" i="58" s="1"/>
  <c r="E127" i="58" s="1"/>
  <c r="D357" i="58"/>
  <c r="G357" i="58" s="1"/>
  <c r="F358" i="58" s="1"/>
  <c r="E358" i="58" s="1"/>
  <c r="I125" i="58"/>
  <c r="D358" i="58" l="1"/>
  <c r="G358" i="58" s="1"/>
  <c r="F359" i="58" s="1"/>
  <c r="E359" i="58" s="1"/>
  <c r="H127" i="58"/>
  <c r="D127" i="58"/>
  <c r="G127" i="58" s="1"/>
  <c r="F128" i="58" s="1"/>
  <c r="E128" i="58" s="1"/>
  <c r="I126" i="58"/>
  <c r="H128" i="58" l="1"/>
  <c r="D128" i="58"/>
  <c r="G128" i="58" s="1"/>
  <c r="F129" i="58" s="1"/>
  <c r="E129" i="58" s="1"/>
  <c r="D359" i="58"/>
  <c r="G359" i="58" s="1"/>
  <c r="F360" i="58" s="1"/>
  <c r="E360" i="58" s="1"/>
  <c r="I127" i="58"/>
  <c r="D360" i="58" l="1"/>
  <c r="G360" i="58" s="1"/>
  <c r="F361" i="58" s="1"/>
  <c r="E361" i="58" s="1"/>
  <c r="H129" i="58"/>
  <c r="D129" i="58"/>
  <c r="G129" i="58" s="1"/>
  <c r="F130" i="58" s="1"/>
  <c r="E130" i="58" s="1"/>
  <c r="I128" i="58"/>
  <c r="H130" i="58" l="1"/>
  <c r="D130" i="58"/>
  <c r="G130" i="58" s="1"/>
  <c r="F131" i="58" s="1"/>
  <c r="E131" i="58" s="1"/>
  <c r="D361" i="58"/>
  <c r="G361" i="58" s="1"/>
  <c r="F362" i="58" s="1"/>
  <c r="E362" i="58" s="1"/>
  <c r="I129" i="58"/>
  <c r="I130" i="58" l="1"/>
  <c r="D362" i="58"/>
  <c r="G362" i="58" s="1"/>
  <c r="F363" i="58" s="1"/>
  <c r="E363" i="58" s="1"/>
  <c r="H131" i="58"/>
  <c r="D131" i="58"/>
  <c r="G131" i="58" s="1"/>
  <c r="F132" i="58" s="1"/>
  <c r="E132" i="58" s="1"/>
  <c r="H132" i="58" l="1"/>
  <c r="D132" i="58"/>
  <c r="G132" i="58" s="1"/>
  <c r="F133" i="58" s="1"/>
  <c r="E133" i="58" s="1"/>
  <c r="D363" i="58"/>
  <c r="G363" i="58" s="1"/>
  <c r="F364" i="58" s="1"/>
  <c r="E364" i="58" s="1"/>
  <c r="I131" i="58"/>
  <c r="I132" i="58" l="1"/>
  <c r="D364" i="58"/>
  <c r="G364" i="58" s="1"/>
  <c r="F365" i="58" s="1"/>
  <c r="E365" i="58" s="1"/>
  <c r="H133" i="58"/>
  <c r="D133" i="58"/>
  <c r="G133" i="58" s="1"/>
  <c r="F134" i="58" s="1"/>
  <c r="E134" i="58" s="1"/>
  <c r="H134" i="58" l="1"/>
  <c r="D134" i="58"/>
  <c r="G134" i="58" s="1"/>
  <c r="F135" i="58" s="1"/>
  <c r="E135" i="58" s="1"/>
  <c r="D365" i="58"/>
  <c r="G365" i="58" s="1"/>
  <c r="F366" i="58" s="1"/>
  <c r="E366" i="58" s="1"/>
  <c r="I133" i="58"/>
  <c r="I134" i="58" l="1"/>
  <c r="D366" i="58"/>
  <c r="G366" i="58" s="1"/>
  <c r="F367" i="58" s="1"/>
  <c r="E367" i="58" s="1"/>
  <c r="H135" i="58"/>
  <c r="D135" i="58"/>
  <c r="G135" i="58" s="1"/>
  <c r="F136" i="58" s="1"/>
  <c r="E136" i="58" s="1"/>
  <c r="H136" i="58" l="1"/>
  <c r="D136" i="58"/>
  <c r="G136" i="58" s="1"/>
  <c r="F137" i="58" s="1"/>
  <c r="E137" i="58" s="1"/>
  <c r="D367" i="58"/>
  <c r="G367" i="58" s="1"/>
  <c r="F368" i="58" s="1"/>
  <c r="E368" i="58" s="1"/>
  <c r="I135" i="58"/>
  <c r="D368" i="58" l="1"/>
  <c r="G368" i="58" s="1"/>
  <c r="F369" i="58" s="1"/>
  <c r="E369" i="58" s="1"/>
  <c r="H137" i="58"/>
  <c r="D137" i="58"/>
  <c r="G137" i="58" s="1"/>
  <c r="F138" i="58" s="1"/>
  <c r="E138" i="58" s="1"/>
  <c r="I136" i="58"/>
  <c r="H138" i="58" l="1"/>
  <c r="D138" i="58"/>
  <c r="G138" i="58" s="1"/>
  <c r="F139" i="58" s="1"/>
  <c r="E139" i="58" s="1"/>
  <c r="D369" i="58"/>
  <c r="G369" i="58" s="1"/>
  <c r="F370" i="58" s="1"/>
  <c r="E370" i="58" s="1"/>
  <c r="I137" i="58"/>
  <c r="D370" i="58" l="1"/>
  <c r="G370" i="58" s="1"/>
  <c r="F371" i="58" s="1"/>
  <c r="E371" i="58" s="1"/>
  <c r="H139" i="58"/>
  <c r="D139" i="58"/>
  <c r="G139" i="58" s="1"/>
  <c r="F140" i="58" s="1"/>
  <c r="E140" i="58" s="1"/>
  <c r="I138" i="58"/>
  <c r="H140" i="58" l="1"/>
  <c r="D140" i="58"/>
  <c r="G140" i="58" s="1"/>
  <c r="F141" i="58" s="1"/>
  <c r="E141" i="58" s="1"/>
  <c r="D371" i="58"/>
  <c r="G371" i="58" s="1"/>
  <c r="F372" i="58" s="1"/>
  <c r="E372" i="58" s="1"/>
  <c r="I139" i="58"/>
  <c r="I140" i="58" l="1"/>
  <c r="D372" i="58"/>
  <c r="G372" i="58" s="1"/>
  <c r="F373" i="58" s="1"/>
  <c r="E373" i="58" s="1"/>
  <c r="H141" i="58"/>
  <c r="D141" i="58"/>
  <c r="G141" i="58" s="1"/>
  <c r="F142" i="58" s="1"/>
  <c r="E142" i="58" s="1"/>
  <c r="H142" i="58" l="1"/>
  <c r="D142" i="58"/>
  <c r="G142" i="58" s="1"/>
  <c r="F143" i="58" s="1"/>
  <c r="E143" i="58" s="1"/>
  <c r="D373" i="58"/>
  <c r="G373" i="58" s="1"/>
  <c r="F374" i="58" s="1"/>
  <c r="E374" i="58" s="1"/>
  <c r="I141" i="58"/>
  <c r="D374" i="58" l="1"/>
  <c r="G374" i="58" s="1"/>
  <c r="F375" i="58" s="1"/>
  <c r="E375" i="58" s="1"/>
  <c r="H143" i="58"/>
  <c r="D143" i="58"/>
  <c r="G143" i="58" s="1"/>
  <c r="F144" i="58" s="1"/>
  <c r="E144" i="58" s="1"/>
  <c r="I142" i="58"/>
  <c r="H144" i="58" l="1"/>
  <c r="D144" i="58"/>
  <c r="G144" i="58" s="1"/>
  <c r="F145" i="58" s="1"/>
  <c r="E145" i="58" s="1"/>
  <c r="D375" i="58"/>
  <c r="G375" i="58" s="1"/>
  <c r="F376" i="58" s="1"/>
  <c r="E376" i="58" s="1"/>
  <c r="I143" i="58"/>
  <c r="H145" i="58" l="1"/>
  <c r="D145" i="58"/>
  <c r="G145" i="58" s="1"/>
  <c r="F146" i="58" s="1"/>
  <c r="E146" i="58" s="1"/>
  <c r="D376" i="58"/>
  <c r="G376" i="58" s="1"/>
  <c r="F377" i="58" s="1"/>
  <c r="E377" i="58" s="1"/>
  <c r="I144" i="58"/>
  <c r="H146" i="58" l="1"/>
  <c r="D146" i="58"/>
  <c r="G146" i="58" s="1"/>
  <c r="F147" i="58" s="1"/>
  <c r="E147" i="58" s="1"/>
  <c r="D377" i="58"/>
  <c r="G377" i="58" s="1"/>
  <c r="F378" i="58" s="1"/>
  <c r="E378" i="58" s="1"/>
  <c r="I145" i="58"/>
  <c r="D378" i="58" l="1"/>
  <c r="G378" i="58" s="1"/>
  <c r="F379" i="58" s="1"/>
  <c r="E379" i="58" s="1"/>
  <c r="H147" i="58"/>
  <c r="D147" i="58"/>
  <c r="G147" i="58" s="1"/>
  <c r="F148" i="58" s="1"/>
  <c r="E148" i="58" s="1"/>
  <c r="I146" i="58"/>
  <c r="H148" i="58" l="1"/>
  <c r="D148" i="58"/>
  <c r="G148" i="58" s="1"/>
  <c r="F149" i="58" s="1"/>
  <c r="E149" i="58" s="1"/>
  <c r="D379" i="58"/>
  <c r="G379" i="58" s="1"/>
  <c r="F380" i="58" s="1"/>
  <c r="E380" i="58" s="1"/>
  <c r="I147" i="58"/>
  <c r="D380" i="58" l="1"/>
  <c r="G380" i="58" s="1"/>
  <c r="F381" i="58" s="1"/>
  <c r="E381" i="58" s="1"/>
  <c r="H149" i="58"/>
  <c r="D149" i="58"/>
  <c r="G149" i="58" s="1"/>
  <c r="F150" i="58" s="1"/>
  <c r="E150" i="58" s="1"/>
  <c r="I148" i="58"/>
  <c r="H150" i="58" l="1"/>
  <c r="D150" i="58"/>
  <c r="G150" i="58" s="1"/>
  <c r="F151" i="58" s="1"/>
  <c r="E151" i="58" s="1"/>
  <c r="D381" i="58"/>
  <c r="G381" i="58" s="1"/>
  <c r="F382" i="58" s="1"/>
  <c r="E382" i="58" s="1"/>
  <c r="I149" i="58"/>
  <c r="H151" i="58" l="1"/>
  <c r="D151" i="58"/>
  <c r="G151" i="58" s="1"/>
  <c r="F152" i="58" s="1"/>
  <c r="E152" i="58" s="1"/>
  <c r="D382" i="58"/>
  <c r="G382" i="58" s="1"/>
  <c r="F383" i="58" s="1"/>
  <c r="E383" i="58" s="1"/>
  <c r="I150" i="58"/>
  <c r="H152" i="58" l="1"/>
  <c r="D152" i="58"/>
  <c r="G152" i="58" s="1"/>
  <c r="F153" i="58" s="1"/>
  <c r="E153" i="58" s="1"/>
  <c r="D383" i="58"/>
  <c r="G383" i="58" s="1"/>
  <c r="F384" i="58" s="1"/>
  <c r="E384" i="58" s="1"/>
  <c r="I151" i="58"/>
  <c r="H153" i="58" l="1"/>
  <c r="D153" i="58"/>
  <c r="G153" i="58" s="1"/>
  <c r="F154" i="58" s="1"/>
  <c r="E154" i="58" s="1"/>
  <c r="D384" i="58"/>
  <c r="G384" i="58" s="1"/>
  <c r="F385" i="58" s="1"/>
  <c r="E385" i="58" s="1"/>
  <c r="I152" i="58"/>
  <c r="H154" i="58" l="1"/>
  <c r="D154" i="58"/>
  <c r="G154" i="58" s="1"/>
  <c r="F155" i="58" s="1"/>
  <c r="E155" i="58" s="1"/>
  <c r="D385" i="58"/>
  <c r="G385" i="58" s="1"/>
  <c r="F386" i="58" s="1"/>
  <c r="E386" i="58" s="1"/>
  <c r="I153" i="58"/>
  <c r="H155" i="58" l="1"/>
  <c r="D155" i="58"/>
  <c r="G155" i="58" s="1"/>
  <c r="F156" i="58" s="1"/>
  <c r="E156" i="58" s="1"/>
  <c r="D386" i="58"/>
  <c r="G386" i="58" s="1"/>
  <c r="F387" i="58" s="1"/>
  <c r="E387" i="58" s="1"/>
  <c r="I154" i="58"/>
  <c r="D387" i="58" l="1"/>
  <c r="G387" i="58" s="1"/>
  <c r="F388" i="58" s="1"/>
  <c r="E388" i="58" s="1"/>
  <c r="H156" i="58"/>
  <c r="D156" i="58"/>
  <c r="G156" i="58" s="1"/>
  <c r="F157" i="58" s="1"/>
  <c r="E157" i="58" s="1"/>
  <c r="I155" i="58"/>
  <c r="H157" i="58" l="1"/>
  <c r="D157" i="58"/>
  <c r="G157" i="58" s="1"/>
  <c r="F158" i="58" s="1"/>
  <c r="E158" i="58" s="1"/>
  <c r="D388" i="58"/>
  <c r="G388" i="58" s="1"/>
  <c r="F389" i="58" s="1"/>
  <c r="E389" i="58" s="1"/>
  <c r="I156" i="58"/>
  <c r="H158" i="58" l="1"/>
  <c r="D158" i="58"/>
  <c r="G158" i="58" s="1"/>
  <c r="F159" i="58" s="1"/>
  <c r="E159" i="58" s="1"/>
  <c r="D389" i="58"/>
  <c r="G389" i="58" s="1"/>
  <c r="F390" i="58" s="1"/>
  <c r="E390" i="58" s="1"/>
  <c r="I157" i="58"/>
  <c r="I158" i="58" l="1"/>
  <c r="D390" i="58"/>
  <c r="G390" i="58" s="1"/>
  <c r="F391" i="58" s="1"/>
  <c r="E391" i="58" s="1"/>
  <c r="H159" i="58"/>
  <c r="D159" i="58"/>
  <c r="G159" i="58" s="1"/>
  <c r="F160" i="58" s="1"/>
  <c r="E160" i="58" s="1"/>
  <c r="H160" i="58" l="1"/>
  <c r="D160" i="58"/>
  <c r="G160" i="58" s="1"/>
  <c r="F161" i="58" s="1"/>
  <c r="E161" i="58" s="1"/>
  <c r="D391" i="58"/>
  <c r="G391" i="58" s="1"/>
  <c r="F392" i="58" s="1"/>
  <c r="E392" i="58" s="1"/>
  <c r="I159" i="58"/>
  <c r="D392" i="58" l="1"/>
  <c r="G392" i="58" s="1"/>
  <c r="F393" i="58" s="1"/>
  <c r="E393" i="58" s="1"/>
  <c r="H161" i="58"/>
  <c r="D161" i="58"/>
  <c r="G161" i="58" s="1"/>
  <c r="F162" i="58" s="1"/>
  <c r="E162" i="58" s="1"/>
  <c r="I160" i="58"/>
  <c r="H162" i="58" l="1"/>
  <c r="D162" i="58"/>
  <c r="G162" i="58" s="1"/>
  <c r="F163" i="58" s="1"/>
  <c r="E163" i="58" s="1"/>
  <c r="D393" i="58"/>
  <c r="G393" i="58" s="1"/>
  <c r="F394" i="58" s="1"/>
  <c r="E394" i="58" s="1"/>
  <c r="I161" i="58"/>
  <c r="H163" i="58" l="1"/>
  <c r="D163" i="58"/>
  <c r="G163" i="58" s="1"/>
  <c r="F164" i="58" s="1"/>
  <c r="E164" i="58" s="1"/>
  <c r="D394" i="58"/>
  <c r="G394" i="58" s="1"/>
  <c r="F395" i="58" s="1"/>
  <c r="E395" i="58" s="1"/>
  <c r="I162" i="58"/>
  <c r="D395" i="58" l="1"/>
  <c r="G395" i="58" s="1"/>
  <c r="F396" i="58" s="1"/>
  <c r="E396" i="58" s="1"/>
  <c r="H164" i="58"/>
  <c r="D164" i="58"/>
  <c r="G164" i="58" s="1"/>
  <c r="F165" i="58" s="1"/>
  <c r="E165" i="58" s="1"/>
  <c r="I163" i="58"/>
  <c r="I164" i="58" l="1"/>
  <c r="D396" i="58"/>
  <c r="G396" i="58" s="1"/>
  <c r="F397" i="58" s="1"/>
  <c r="E397" i="58" s="1"/>
  <c r="H165" i="58"/>
  <c r="D165" i="58"/>
  <c r="G165" i="58" s="1"/>
  <c r="F166" i="58" s="1"/>
  <c r="E166" i="58" s="1"/>
  <c r="H166" i="58" l="1"/>
  <c r="D166" i="58"/>
  <c r="G166" i="58" s="1"/>
  <c r="F167" i="58" s="1"/>
  <c r="E167" i="58" s="1"/>
  <c r="D397" i="58"/>
  <c r="G397" i="58" s="1"/>
  <c r="F398" i="58" s="1"/>
  <c r="E398" i="58" s="1"/>
  <c r="I165" i="58"/>
  <c r="I166" i="58" l="1"/>
  <c r="D398" i="58"/>
  <c r="G398" i="58" s="1"/>
  <c r="F399" i="58" s="1"/>
  <c r="E399" i="58" s="1"/>
  <c r="H167" i="58"/>
  <c r="D167" i="58"/>
  <c r="G167" i="58" s="1"/>
  <c r="F168" i="58" s="1"/>
  <c r="E168" i="58" s="1"/>
  <c r="H168" i="58" l="1"/>
  <c r="D168" i="58"/>
  <c r="G168" i="58" s="1"/>
  <c r="F169" i="58" s="1"/>
  <c r="E169" i="58" s="1"/>
  <c r="D399" i="58"/>
  <c r="G399" i="58" s="1"/>
  <c r="F400" i="58" s="1"/>
  <c r="E400" i="58" s="1"/>
  <c r="I167" i="58"/>
  <c r="D400" i="58" l="1"/>
  <c r="G400" i="58" s="1"/>
  <c r="F401" i="58" s="1"/>
  <c r="E401" i="58" s="1"/>
  <c r="H169" i="58"/>
  <c r="D169" i="58"/>
  <c r="G169" i="58" s="1"/>
  <c r="F170" i="58" s="1"/>
  <c r="E170" i="58" s="1"/>
  <c r="I168" i="58"/>
  <c r="D401" i="58" l="1"/>
  <c r="G401" i="58" s="1"/>
  <c r="F402" i="58" s="1"/>
  <c r="E402" i="58" s="1"/>
  <c r="H170" i="58"/>
  <c r="D170" i="58"/>
  <c r="G170" i="58" s="1"/>
  <c r="F171" i="58" s="1"/>
  <c r="E171" i="58" s="1"/>
  <c r="I169" i="58"/>
  <c r="H171" i="58" l="1"/>
  <c r="D171" i="58"/>
  <c r="G171" i="58" s="1"/>
  <c r="F172" i="58" s="1"/>
  <c r="E172" i="58" s="1"/>
  <c r="D402" i="58"/>
  <c r="G402" i="58" s="1"/>
  <c r="F403" i="58" s="1"/>
  <c r="E403" i="58" s="1"/>
  <c r="I170" i="58"/>
  <c r="D403" i="58" l="1"/>
  <c r="G403" i="58" s="1"/>
  <c r="F404" i="58" s="1"/>
  <c r="E404" i="58" s="1"/>
  <c r="H172" i="58"/>
  <c r="D172" i="58"/>
  <c r="G172" i="58" s="1"/>
  <c r="F173" i="58" s="1"/>
  <c r="E173" i="58" s="1"/>
  <c r="I171" i="58"/>
  <c r="H173" i="58" l="1"/>
  <c r="D173" i="58"/>
  <c r="G173" i="58" s="1"/>
  <c r="F174" i="58" s="1"/>
  <c r="E174" i="58" s="1"/>
  <c r="I172" i="58"/>
  <c r="D404" i="58"/>
  <c r="G404" i="58" s="1"/>
  <c r="F405" i="58" s="1"/>
  <c r="E405" i="58" s="1"/>
  <c r="I173" i="58" l="1"/>
  <c r="D405" i="58"/>
  <c r="G405" i="58" s="1"/>
  <c r="F406" i="58" s="1"/>
  <c r="E406" i="58" s="1"/>
  <c r="H174" i="58"/>
  <c r="D174" i="58"/>
  <c r="G174" i="58" s="1"/>
  <c r="F175" i="58" s="1"/>
  <c r="E175" i="58" s="1"/>
  <c r="D406" i="58" l="1"/>
  <c r="G406" i="58" s="1"/>
  <c r="F407" i="58" s="1"/>
  <c r="E407" i="58" s="1"/>
  <c r="H175" i="58"/>
  <c r="D175" i="58"/>
  <c r="G175" i="58" s="1"/>
  <c r="F176" i="58" s="1"/>
  <c r="E176" i="58" s="1"/>
  <c r="I174" i="58"/>
  <c r="H176" i="58" l="1"/>
  <c r="D176" i="58"/>
  <c r="G176" i="58" s="1"/>
  <c r="F177" i="58" s="1"/>
  <c r="E177" i="58" s="1"/>
  <c r="D407" i="58"/>
  <c r="G407" i="58" s="1"/>
  <c r="F408" i="58" s="1"/>
  <c r="E408" i="58" s="1"/>
  <c r="I175" i="58"/>
  <c r="H177" i="58" l="1"/>
  <c r="D177" i="58"/>
  <c r="G177" i="58" s="1"/>
  <c r="F178" i="58" s="1"/>
  <c r="E178" i="58" s="1"/>
  <c r="D408" i="58"/>
  <c r="G408" i="58" s="1"/>
  <c r="F409" i="58" s="1"/>
  <c r="E409" i="58" s="1"/>
  <c r="I176" i="58"/>
  <c r="D409" i="58" l="1"/>
  <c r="G409" i="58" s="1"/>
  <c r="F410" i="58" s="1"/>
  <c r="E410" i="58" s="1"/>
  <c r="H178" i="58"/>
  <c r="D178" i="58"/>
  <c r="G178" i="58" s="1"/>
  <c r="F179" i="58" s="1"/>
  <c r="E179" i="58" s="1"/>
  <c r="I177" i="58"/>
  <c r="D410" i="58" l="1"/>
  <c r="G410" i="58" s="1"/>
  <c r="F411" i="58" s="1"/>
  <c r="E411" i="58" s="1"/>
  <c r="H179" i="58"/>
  <c r="D179" i="58"/>
  <c r="G179" i="58" s="1"/>
  <c r="F180" i="58" s="1"/>
  <c r="E180" i="58" s="1"/>
  <c r="I178" i="58"/>
  <c r="D411" i="58" l="1"/>
  <c r="G411" i="58" s="1"/>
  <c r="F412" i="58" s="1"/>
  <c r="E412" i="58" s="1"/>
  <c r="H180" i="58"/>
  <c r="D180" i="58"/>
  <c r="G180" i="58" s="1"/>
  <c r="F181" i="58" s="1"/>
  <c r="E181" i="58" s="1"/>
  <c r="I179" i="58"/>
  <c r="H181" i="58" l="1"/>
  <c r="D181" i="58"/>
  <c r="G181" i="58" s="1"/>
  <c r="F182" i="58" s="1"/>
  <c r="E182" i="58" s="1"/>
  <c r="D412" i="58"/>
  <c r="G412" i="58" s="1"/>
  <c r="F413" i="58" s="1"/>
  <c r="E413" i="58" s="1"/>
  <c r="I180" i="58"/>
  <c r="H182" i="58" l="1"/>
  <c r="D182" i="58"/>
  <c r="G182" i="58" s="1"/>
  <c r="F183" i="58" s="1"/>
  <c r="E183" i="58" s="1"/>
  <c r="D413" i="58"/>
  <c r="G413" i="58" s="1"/>
  <c r="F414" i="58" s="1"/>
  <c r="E414" i="58" s="1"/>
  <c r="I181" i="58"/>
  <c r="I182" i="58" l="1"/>
  <c r="D414" i="58"/>
  <c r="G414" i="58" s="1"/>
  <c r="F415" i="58" s="1"/>
  <c r="E415" i="58" s="1"/>
  <c r="H183" i="58"/>
  <c r="D183" i="58"/>
  <c r="G183" i="58" s="1"/>
  <c r="F184" i="58" s="1"/>
  <c r="E184" i="58" s="1"/>
  <c r="I183" i="58" l="1"/>
  <c r="H184" i="58"/>
  <c r="D184" i="58"/>
  <c r="G184" i="58" s="1"/>
  <c r="F185" i="58" s="1"/>
  <c r="E185" i="58" s="1"/>
  <c r="D415" i="58"/>
  <c r="G415" i="58" s="1"/>
  <c r="F416" i="58" s="1"/>
  <c r="E416" i="58" s="1"/>
  <c r="D416" i="58" l="1"/>
  <c r="G416" i="58" s="1"/>
  <c r="F417" i="58" s="1"/>
  <c r="E417" i="58" s="1"/>
  <c r="H185" i="58"/>
  <c r="D185" i="58"/>
  <c r="G185" i="58" s="1"/>
  <c r="F186" i="58" s="1"/>
  <c r="E186" i="58" s="1"/>
  <c r="I184" i="58"/>
  <c r="H186" i="58" l="1"/>
  <c r="D186" i="58"/>
  <c r="G186" i="58" s="1"/>
  <c r="F187" i="58" s="1"/>
  <c r="E187" i="58" s="1"/>
  <c r="D417" i="58"/>
  <c r="G417" i="58" s="1"/>
  <c r="F418" i="58" s="1"/>
  <c r="E418" i="58" s="1"/>
  <c r="I185" i="58"/>
  <c r="D418" i="58" l="1"/>
  <c r="G418" i="58" s="1"/>
  <c r="F419" i="58" s="1"/>
  <c r="E419" i="58" s="1"/>
  <c r="H187" i="58"/>
  <c r="D187" i="58"/>
  <c r="G187" i="58" s="1"/>
  <c r="F188" i="58" s="1"/>
  <c r="E188" i="58" s="1"/>
  <c r="I186" i="58"/>
  <c r="H188" i="58" l="1"/>
  <c r="D188" i="58"/>
  <c r="G188" i="58" s="1"/>
  <c r="F189" i="58" s="1"/>
  <c r="E189" i="58" s="1"/>
  <c r="I187" i="58"/>
  <c r="D419" i="58"/>
  <c r="G419" i="58" s="1"/>
  <c r="F420" i="58" s="1"/>
  <c r="E420" i="58" s="1"/>
  <c r="I188" i="58" l="1"/>
  <c r="D420" i="58"/>
  <c r="G420" i="58" s="1"/>
  <c r="F421" i="58" s="1"/>
  <c r="E421" i="58" s="1"/>
  <c r="H189" i="58"/>
  <c r="D189" i="58"/>
  <c r="G189" i="58" s="1"/>
  <c r="F190" i="58" s="1"/>
  <c r="E190" i="58" s="1"/>
  <c r="D421" i="58" l="1"/>
  <c r="G421" i="58" s="1"/>
  <c r="F422" i="58" s="1"/>
  <c r="E422" i="58" s="1"/>
  <c r="H190" i="58"/>
  <c r="D190" i="58"/>
  <c r="G190" i="58" s="1"/>
  <c r="F191" i="58" s="1"/>
  <c r="E191" i="58" s="1"/>
  <c r="I189" i="58"/>
  <c r="I190" i="58" l="1"/>
  <c r="H191" i="58"/>
  <c r="D191" i="58"/>
  <c r="G191" i="58" s="1"/>
  <c r="F192" i="58" s="1"/>
  <c r="E192" i="58" s="1"/>
  <c r="D422" i="58"/>
  <c r="G422" i="58" s="1"/>
  <c r="F423" i="58" s="1"/>
  <c r="E423" i="58" s="1"/>
  <c r="I191" i="58" l="1"/>
  <c r="D423" i="58"/>
  <c r="G423" i="58" s="1"/>
  <c r="F424" i="58" s="1"/>
  <c r="E424" i="58" s="1"/>
  <c r="H192" i="58"/>
  <c r="D192" i="58"/>
  <c r="G192" i="58" s="1"/>
  <c r="F193" i="58" s="1"/>
  <c r="E193" i="58" s="1"/>
  <c r="H193" i="58" l="1"/>
  <c r="D193" i="58"/>
  <c r="G193" i="58" s="1"/>
  <c r="F194" i="58" s="1"/>
  <c r="E194" i="58" s="1"/>
  <c r="D424" i="58"/>
  <c r="G424" i="58" s="1"/>
  <c r="F425" i="58" s="1"/>
  <c r="E425" i="58" s="1"/>
  <c r="I192" i="58"/>
  <c r="D425" i="58" l="1"/>
  <c r="G425" i="58" s="1"/>
  <c r="F426" i="58" s="1"/>
  <c r="E426" i="58" s="1"/>
  <c r="H194" i="58"/>
  <c r="D194" i="58"/>
  <c r="G194" i="58" s="1"/>
  <c r="F195" i="58" s="1"/>
  <c r="E195" i="58" s="1"/>
  <c r="I193" i="58"/>
  <c r="H195" i="58" l="1"/>
  <c r="D195" i="58"/>
  <c r="G195" i="58" s="1"/>
  <c r="F196" i="58" s="1"/>
  <c r="E196" i="58" s="1"/>
  <c r="D426" i="58"/>
  <c r="G426" i="58" s="1"/>
  <c r="F427" i="58" s="1"/>
  <c r="E427" i="58" s="1"/>
  <c r="I194" i="58"/>
  <c r="I195" i="58" l="1"/>
  <c r="D427" i="58"/>
  <c r="G427" i="58" s="1"/>
  <c r="F428" i="58" s="1"/>
  <c r="E428" i="58" s="1"/>
  <c r="H196" i="58"/>
  <c r="D196" i="58"/>
  <c r="G196" i="58" s="1"/>
  <c r="F197" i="58" s="1"/>
  <c r="E197" i="58" s="1"/>
  <c r="H197" i="58" l="1"/>
  <c r="D197" i="58"/>
  <c r="G197" i="58" s="1"/>
  <c r="F198" i="58" s="1"/>
  <c r="E198" i="58" s="1"/>
  <c r="D428" i="58"/>
  <c r="G428" i="58" s="1"/>
  <c r="F429" i="58" s="1"/>
  <c r="E429" i="58" s="1"/>
  <c r="I196" i="58"/>
  <c r="D429" i="58" l="1"/>
  <c r="G429" i="58" s="1"/>
  <c r="F430" i="58" s="1"/>
  <c r="E430" i="58" s="1"/>
  <c r="H198" i="58"/>
  <c r="D198" i="58"/>
  <c r="G198" i="58" s="1"/>
  <c r="F199" i="58" s="1"/>
  <c r="E199" i="58" s="1"/>
  <c r="I197" i="58"/>
  <c r="H199" i="58" l="1"/>
  <c r="D199" i="58"/>
  <c r="G199" i="58" s="1"/>
  <c r="F200" i="58" s="1"/>
  <c r="E200" i="58" s="1"/>
  <c r="D430" i="58"/>
  <c r="G430" i="58" s="1"/>
  <c r="F431" i="58" s="1"/>
  <c r="E431" i="58" s="1"/>
  <c r="I198" i="58"/>
  <c r="D431" i="58" l="1"/>
  <c r="G431" i="58" s="1"/>
  <c r="F432" i="58" s="1"/>
  <c r="E432" i="58" s="1"/>
  <c r="H200" i="58"/>
  <c r="D200" i="58"/>
  <c r="G200" i="58" s="1"/>
  <c r="F201" i="58" s="1"/>
  <c r="E201" i="58" s="1"/>
  <c r="I199" i="58"/>
  <c r="D201" i="58" l="1"/>
  <c r="G201" i="58" s="1"/>
  <c r="F202" i="58" s="1"/>
  <c r="E202" i="58" s="1"/>
  <c r="H201" i="58"/>
  <c r="D432" i="58"/>
  <c r="G432" i="58" s="1"/>
  <c r="F433" i="58" s="1"/>
  <c r="E433" i="58" s="1"/>
  <c r="I200" i="58"/>
  <c r="D433" i="58" l="1"/>
  <c r="G433" i="58" s="1"/>
  <c r="F434" i="58" s="1"/>
  <c r="E434" i="58" s="1"/>
  <c r="D202" i="58"/>
  <c r="G202" i="58" s="1"/>
  <c r="F203" i="58" s="1"/>
  <c r="E203" i="58" s="1"/>
  <c r="H202" i="58"/>
  <c r="I201" i="58"/>
  <c r="D203" i="58" l="1"/>
  <c r="G203" i="58" s="1"/>
  <c r="F204" i="58" s="1"/>
  <c r="E204" i="58" s="1"/>
  <c r="H203" i="58"/>
  <c r="D434" i="58"/>
  <c r="G434" i="58" s="1"/>
  <c r="F435" i="58" s="1"/>
  <c r="E435" i="58" s="1"/>
  <c r="I202" i="58"/>
  <c r="D435" i="58" l="1"/>
  <c r="G435" i="58" s="1"/>
  <c r="F436" i="58" s="1"/>
  <c r="E436" i="58" s="1"/>
  <c r="D204" i="58"/>
  <c r="G204" i="58" s="1"/>
  <c r="F205" i="58" s="1"/>
  <c r="E205" i="58" s="1"/>
  <c r="H204" i="58"/>
  <c r="I203" i="58"/>
  <c r="D436" i="58" l="1"/>
  <c r="G436" i="58" s="1"/>
  <c r="F437" i="58" s="1"/>
  <c r="E437" i="58" s="1"/>
  <c r="D205" i="58"/>
  <c r="G205" i="58" s="1"/>
  <c r="F206" i="58" s="1"/>
  <c r="E206" i="58" s="1"/>
  <c r="H205" i="58"/>
  <c r="I204" i="58"/>
  <c r="I205" i="58" l="1"/>
  <c r="D437" i="58"/>
  <c r="G437" i="58" s="1"/>
  <c r="F438" i="58" s="1"/>
  <c r="E438" i="58" s="1"/>
  <c r="D206" i="58"/>
  <c r="G206" i="58" s="1"/>
  <c r="F207" i="58" s="1"/>
  <c r="E207" i="58" s="1"/>
  <c r="H206" i="58"/>
  <c r="I206" i="58" l="1"/>
  <c r="D438" i="58"/>
  <c r="G438" i="58" s="1"/>
  <c r="F439" i="58" s="1"/>
  <c r="E439" i="58" s="1"/>
  <c r="D207" i="58"/>
  <c r="G207" i="58" s="1"/>
  <c r="F208" i="58" s="1"/>
  <c r="E208" i="58" s="1"/>
  <c r="H207" i="58"/>
  <c r="D439" i="58" l="1"/>
  <c r="G439" i="58" s="1"/>
  <c r="F440" i="58" s="1"/>
  <c r="E440" i="58" s="1"/>
  <c r="D208" i="58"/>
  <c r="G208" i="58" s="1"/>
  <c r="F209" i="58" s="1"/>
  <c r="E209" i="58" s="1"/>
  <c r="H208" i="58"/>
  <c r="I207" i="58"/>
  <c r="I208" i="58" l="1"/>
  <c r="D209" i="58"/>
  <c r="G209" i="58" s="1"/>
  <c r="F210" i="58" s="1"/>
  <c r="E210" i="58" s="1"/>
  <c r="H209" i="58"/>
  <c r="D440" i="58"/>
  <c r="G440" i="58" s="1"/>
  <c r="F441" i="58" s="1"/>
  <c r="E441" i="58" s="1"/>
  <c r="D441" i="58" l="1"/>
  <c r="G441" i="58" s="1"/>
  <c r="F442" i="58" s="1"/>
  <c r="E442" i="58" s="1"/>
  <c r="D210" i="58"/>
  <c r="G210" i="58" s="1"/>
  <c r="F211" i="58" s="1"/>
  <c r="E211" i="58" s="1"/>
  <c r="H210" i="58"/>
  <c r="I210" i="58" s="1"/>
  <c r="I209" i="58"/>
  <c r="D442" i="58" l="1"/>
  <c r="G442" i="58" s="1"/>
  <c r="F443" i="58" s="1"/>
  <c r="E443" i="58" s="1"/>
  <c r="D211" i="58"/>
  <c r="G211" i="58" s="1"/>
  <c r="F212" i="58" s="1"/>
  <c r="E212" i="58" s="1"/>
  <c r="H211" i="58"/>
  <c r="D443" i="58" l="1"/>
  <c r="G443" i="58" s="1"/>
  <c r="F444" i="58" s="1"/>
  <c r="E444" i="58" s="1"/>
  <c r="D212" i="58"/>
  <c r="G212" i="58" s="1"/>
  <c r="F213" i="58" s="1"/>
  <c r="E213" i="58" s="1"/>
  <c r="H212" i="58"/>
  <c r="I211" i="58"/>
  <c r="I212" i="58" l="1"/>
  <c r="D213" i="58"/>
  <c r="G213" i="58" s="1"/>
  <c r="F214" i="58" s="1"/>
  <c r="E214" i="58" s="1"/>
  <c r="H213" i="58"/>
  <c r="D444" i="58"/>
  <c r="G444" i="58" s="1"/>
  <c r="F445" i="58" s="1"/>
  <c r="E445" i="58" s="1"/>
  <c r="D445" i="58" l="1"/>
  <c r="G445" i="58" s="1"/>
  <c r="F446" i="58" s="1"/>
  <c r="E446" i="58" s="1"/>
  <c r="D214" i="58"/>
  <c r="G214" i="58" s="1"/>
  <c r="F215" i="58" s="1"/>
  <c r="E215" i="58" s="1"/>
  <c r="H214" i="58"/>
  <c r="I213" i="58"/>
  <c r="I214" i="58" l="1"/>
  <c r="D446" i="58"/>
  <c r="G446" i="58" s="1"/>
  <c r="F447" i="58" s="1"/>
  <c r="E447" i="58" s="1"/>
  <c r="D215" i="58"/>
  <c r="G215" i="58" s="1"/>
  <c r="F216" i="58" s="1"/>
  <c r="E216" i="58" s="1"/>
  <c r="H215" i="58"/>
  <c r="I215" i="58" l="1"/>
  <c r="D216" i="58"/>
  <c r="G216" i="58" s="1"/>
  <c r="F217" i="58" s="1"/>
  <c r="E217" i="58" s="1"/>
  <c r="H216" i="58"/>
  <c r="D447" i="58"/>
  <c r="G447" i="58" s="1"/>
  <c r="F448" i="58" s="1"/>
  <c r="E448" i="58" s="1"/>
  <c r="D448" i="58" l="1"/>
  <c r="G448" i="58" s="1"/>
  <c r="F449" i="58" s="1"/>
  <c r="E449" i="58" s="1"/>
  <c r="D217" i="58"/>
  <c r="G217" i="58" s="1"/>
  <c r="F218" i="58" s="1"/>
  <c r="E218" i="58" s="1"/>
  <c r="H217" i="58"/>
  <c r="I216" i="58"/>
  <c r="D218" i="58" l="1"/>
  <c r="G218" i="58" s="1"/>
  <c r="F219" i="58" s="1"/>
  <c r="E219" i="58" s="1"/>
  <c r="H218" i="58"/>
  <c r="D449" i="58"/>
  <c r="G449" i="58" s="1"/>
  <c r="F450" i="58" s="1"/>
  <c r="E450" i="58" s="1"/>
  <c r="I217" i="58"/>
  <c r="D450" i="58" l="1"/>
  <c r="G450" i="58" s="1"/>
  <c r="F451" i="58" s="1"/>
  <c r="E451" i="58" s="1"/>
  <c r="D219" i="58"/>
  <c r="G219" i="58" s="1"/>
  <c r="F220" i="58" s="1"/>
  <c r="E220" i="58" s="1"/>
  <c r="H219" i="58"/>
  <c r="I218" i="58"/>
  <c r="D220" i="58" l="1"/>
  <c r="G220" i="58" s="1"/>
  <c r="F221" i="58" s="1"/>
  <c r="E221" i="58" s="1"/>
  <c r="H220" i="58"/>
  <c r="D451" i="58"/>
  <c r="G451" i="58" s="1"/>
  <c r="F452" i="58" s="1"/>
  <c r="E452" i="58" s="1"/>
  <c r="I219" i="58"/>
  <c r="D221" i="58" l="1"/>
  <c r="G221" i="58" s="1"/>
  <c r="F222" i="58" s="1"/>
  <c r="E222" i="58" s="1"/>
  <c r="H221" i="58"/>
  <c r="D452" i="58"/>
  <c r="G452" i="58" s="1"/>
  <c r="F453" i="58" s="1"/>
  <c r="E453" i="58" s="1"/>
  <c r="I220" i="58"/>
  <c r="D222" i="58" l="1"/>
  <c r="G222" i="58" s="1"/>
  <c r="F223" i="58" s="1"/>
  <c r="E223" i="58" s="1"/>
  <c r="H222" i="58"/>
  <c r="D453" i="58"/>
  <c r="G453" i="58" s="1"/>
  <c r="F454" i="58" s="1"/>
  <c r="E454" i="58" s="1"/>
  <c r="I221" i="58"/>
  <c r="D223" i="58" l="1"/>
  <c r="G223" i="58" s="1"/>
  <c r="F224" i="58" s="1"/>
  <c r="E224" i="58" s="1"/>
  <c r="H223" i="58"/>
  <c r="D454" i="58"/>
  <c r="G454" i="58" s="1"/>
  <c r="F455" i="58" s="1"/>
  <c r="E455" i="58" s="1"/>
  <c r="I222" i="58"/>
  <c r="D455" i="58" l="1"/>
  <c r="G455" i="58" s="1"/>
  <c r="F456" i="58" s="1"/>
  <c r="E456" i="58" s="1"/>
  <c r="D224" i="58"/>
  <c r="G224" i="58" s="1"/>
  <c r="F225" i="58" s="1"/>
  <c r="E225" i="58" s="1"/>
  <c r="H224" i="58"/>
  <c r="I223" i="58"/>
  <c r="D225" i="58" l="1"/>
  <c r="G225" i="58" s="1"/>
  <c r="F226" i="58" s="1"/>
  <c r="E226" i="58" s="1"/>
  <c r="H225" i="58"/>
  <c r="I224" i="58"/>
  <c r="D456" i="58"/>
  <c r="G456" i="58" s="1"/>
  <c r="F457" i="58" s="1"/>
  <c r="E457" i="58" s="1"/>
  <c r="D457" i="58" l="1"/>
  <c r="G457" i="58" s="1"/>
  <c r="F458" i="58" s="1"/>
  <c r="E458" i="58" s="1"/>
  <c r="D226" i="58"/>
  <c r="G226" i="58" s="1"/>
  <c r="F227" i="58" s="1"/>
  <c r="E227" i="58" s="1"/>
  <c r="H226" i="58"/>
  <c r="I225" i="58"/>
  <c r="D458" i="58" l="1"/>
  <c r="G458" i="58" s="1"/>
  <c r="F459" i="58" s="1"/>
  <c r="E459" i="58" s="1"/>
  <c r="D227" i="58"/>
  <c r="G227" i="58" s="1"/>
  <c r="F228" i="58" s="1"/>
  <c r="E228" i="58" s="1"/>
  <c r="H227" i="58"/>
  <c r="I226" i="58"/>
  <c r="D228" i="58" l="1"/>
  <c r="G228" i="58" s="1"/>
  <c r="F229" i="58" s="1"/>
  <c r="E229" i="58" s="1"/>
  <c r="H228" i="58"/>
  <c r="D459" i="58"/>
  <c r="G459" i="58" s="1"/>
  <c r="F460" i="58" s="1"/>
  <c r="E460" i="58" s="1"/>
  <c r="I227" i="58"/>
  <c r="D460" i="58" l="1"/>
  <c r="G460" i="58" s="1"/>
  <c r="F461" i="58" s="1"/>
  <c r="E461" i="58" s="1"/>
  <c r="D229" i="58"/>
  <c r="G229" i="58" s="1"/>
  <c r="F230" i="58" s="1"/>
  <c r="E230" i="58" s="1"/>
  <c r="H229" i="58"/>
  <c r="I228" i="58"/>
  <c r="D230" i="58" l="1"/>
  <c r="G230" i="58" s="1"/>
  <c r="F231" i="58" s="1"/>
  <c r="E231" i="58" s="1"/>
  <c r="H230" i="58"/>
  <c r="D461" i="58"/>
  <c r="G461" i="58" s="1"/>
  <c r="F462" i="58" s="1"/>
  <c r="E462" i="58" s="1"/>
  <c r="I229" i="58"/>
  <c r="I230" i="58" l="1"/>
  <c r="D462" i="58"/>
  <c r="G462" i="58" s="1"/>
  <c r="F463" i="58" s="1"/>
  <c r="E463" i="58" s="1"/>
  <c r="D231" i="58"/>
  <c r="G231" i="58" s="1"/>
  <c r="F232" i="58" s="1"/>
  <c r="E232" i="58" s="1"/>
  <c r="H231" i="58"/>
  <c r="I231" i="58" l="1"/>
  <c r="D463" i="58"/>
  <c r="G463" i="58" s="1"/>
  <c r="F464" i="58" s="1"/>
  <c r="E464" i="58" s="1"/>
  <c r="D232" i="58"/>
  <c r="G232" i="58" s="1"/>
  <c r="F233" i="58" s="1"/>
  <c r="E233" i="58" s="1"/>
  <c r="H232" i="58"/>
  <c r="I232" i="58" l="1"/>
  <c r="D233" i="58"/>
  <c r="G233" i="58" s="1"/>
  <c r="F234" i="58" s="1"/>
  <c r="E234" i="58" s="1"/>
  <c r="H233" i="58"/>
  <c r="D464" i="58"/>
  <c r="G464" i="58" s="1"/>
  <c r="F465" i="58" s="1"/>
  <c r="E465" i="58" s="1"/>
  <c r="D465" i="58" l="1"/>
  <c r="G465" i="58" s="1"/>
  <c r="F466" i="58" s="1"/>
  <c r="E466" i="58" s="1"/>
  <c r="D234" i="58"/>
  <c r="G234" i="58" s="1"/>
  <c r="F235" i="58" s="1"/>
  <c r="E235" i="58" s="1"/>
  <c r="H234" i="58"/>
  <c r="I233" i="58"/>
  <c r="D235" i="58" l="1"/>
  <c r="G235" i="58" s="1"/>
  <c r="F236" i="58" s="1"/>
  <c r="E236" i="58" s="1"/>
  <c r="H235" i="58"/>
  <c r="D466" i="58"/>
  <c r="G466" i="58" s="1"/>
  <c r="F467" i="58" s="1"/>
  <c r="E467" i="58" s="1"/>
  <c r="I234" i="58"/>
  <c r="D467" i="58" l="1"/>
  <c r="G467" i="58" s="1"/>
  <c r="F468" i="58" s="1"/>
  <c r="E468" i="58" s="1"/>
  <c r="H236" i="58"/>
  <c r="D236" i="58"/>
  <c r="G236" i="58" s="1"/>
  <c r="F237" i="58" s="1"/>
  <c r="E237" i="58" s="1"/>
  <c r="I235" i="58"/>
  <c r="D237" i="58" l="1"/>
  <c r="G237" i="58" s="1"/>
  <c r="F238" i="58" s="1"/>
  <c r="E238" i="58" s="1"/>
  <c r="H237" i="58"/>
  <c r="D468" i="58"/>
  <c r="G468" i="58" s="1"/>
  <c r="F469" i="58" s="1"/>
  <c r="E469" i="58" s="1"/>
  <c r="I236" i="58"/>
  <c r="D469" i="58" l="1"/>
  <c r="G469" i="58" s="1"/>
  <c r="F470" i="58" s="1"/>
  <c r="E470" i="58" s="1"/>
  <c r="H238" i="58"/>
  <c r="D238" i="58"/>
  <c r="G238" i="58" s="1"/>
  <c r="F239" i="58" s="1"/>
  <c r="E239" i="58" s="1"/>
  <c r="I237" i="58"/>
  <c r="I238" i="58" l="1"/>
  <c r="D239" i="58"/>
  <c r="G239" i="58" s="1"/>
  <c r="F240" i="58" s="1"/>
  <c r="E240" i="58" s="1"/>
  <c r="H239" i="58"/>
  <c r="D470" i="58"/>
  <c r="G470" i="58" s="1"/>
  <c r="F471" i="58" s="1"/>
  <c r="E471" i="58" s="1"/>
  <c r="I239" i="58" l="1"/>
  <c r="D471" i="58"/>
  <c r="G471" i="58" s="1"/>
  <c r="F472" i="58" s="1"/>
  <c r="E472" i="58" s="1"/>
  <c r="H240" i="58"/>
  <c r="D240" i="58"/>
  <c r="G240" i="58" s="1"/>
  <c r="F241" i="58" s="1"/>
  <c r="E241" i="58" s="1"/>
  <c r="D472" i="58" l="1"/>
  <c r="G472" i="58" s="1"/>
  <c r="F473" i="58" s="1"/>
  <c r="E473" i="58" s="1"/>
  <c r="H241" i="58"/>
  <c r="D241" i="58"/>
  <c r="G241" i="58" s="1"/>
  <c r="F242" i="58" s="1"/>
  <c r="E242" i="58" s="1"/>
  <c r="I240" i="58"/>
  <c r="D473" i="58" l="1"/>
  <c r="G473" i="58" s="1"/>
  <c r="F474" i="58" s="1"/>
  <c r="E474" i="58" s="1"/>
  <c r="H242" i="58"/>
  <c r="D242" i="58"/>
  <c r="G242" i="58" s="1"/>
  <c r="F243" i="58" s="1"/>
  <c r="E243" i="58" s="1"/>
  <c r="I241" i="58"/>
  <c r="D243" i="58" l="1"/>
  <c r="G243" i="58" s="1"/>
  <c r="F244" i="58" s="1"/>
  <c r="D244" i="58" s="1"/>
  <c r="H243" i="58"/>
  <c r="D474" i="58"/>
  <c r="G474" i="58" s="1"/>
  <c r="F475" i="58" s="1"/>
  <c r="E475" i="58" s="1"/>
  <c r="I242" i="58"/>
  <c r="D475" i="58" l="1"/>
  <c r="G475" i="58" s="1"/>
  <c r="F476" i="58" s="1"/>
  <c r="G244" i="58"/>
  <c r="H244" i="58"/>
  <c r="I244" i="58" s="1"/>
  <c r="I243" i="58"/>
  <c r="E476" i="58" l="1"/>
  <c r="D476" i="58" s="1"/>
  <c r="G476" i="58" s="1"/>
  <c r="F477" i="58" s="1"/>
  <c r="E477" i="58" l="1"/>
  <c r="D477" i="58" s="1"/>
  <c r="G477" i="58" s="1"/>
  <c r="F478" i="58" s="1"/>
  <c r="E478" i="58" l="1"/>
  <c r="D478" i="58" s="1"/>
  <c r="G478" i="58" s="1"/>
  <c r="F479" i="58" s="1"/>
  <c r="E479" i="58" l="1"/>
  <c r="D479" i="58" s="1"/>
  <c r="G479" i="58" s="1"/>
  <c r="F480" i="58" s="1"/>
  <c r="E480" i="58" l="1"/>
  <c r="D480" i="58" s="1"/>
  <c r="G480" i="58" s="1"/>
  <c r="F481" i="58" s="1"/>
  <c r="E481" i="58" l="1"/>
  <c r="D481" i="58" s="1"/>
  <c r="G481" i="58" s="1"/>
  <c r="F482" i="58" s="1"/>
  <c r="E482" i="58" l="1"/>
  <c r="D482" i="58" s="1"/>
  <c r="G482" i="58" s="1"/>
  <c r="F483" i="58" s="1"/>
  <c r="E483" i="58" l="1"/>
  <c r="D483" i="58" s="1"/>
  <c r="G483" i="58" s="1"/>
  <c r="F484" i="58" s="1"/>
  <c r="E484" i="58" l="1"/>
  <c r="D484" i="58" s="1"/>
  <c r="G484" i="58" s="1"/>
  <c r="F485" i="58" s="1"/>
  <c r="D485" i="58" l="1"/>
  <c r="G485" i="58" s="1"/>
  <c r="B9" i="56" l="1"/>
  <c r="B7" i="56"/>
  <c r="B6" i="56"/>
  <c r="B5" i="56"/>
  <c r="G4" i="56"/>
  <c r="F5" i="56" s="1"/>
  <c r="E5" i="56" s="1"/>
  <c r="B4" i="56"/>
  <c r="E4" i="56" s="1"/>
  <c r="D1" i="56"/>
  <c r="C8" i="56" s="1"/>
  <c r="D1" i="54"/>
  <c r="C245" i="54" s="1"/>
  <c r="C244" i="54" l="1"/>
  <c r="D244" i="54" s="1"/>
  <c r="C240" i="54"/>
  <c r="C236" i="54"/>
  <c r="C232" i="54"/>
  <c r="C228" i="54"/>
  <c r="C224" i="54"/>
  <c r="C220" i="54"/>
  <c r="C216" i="54"/>
  <c r="C212" i="54"/>
  <c r="C208" i="54"/>
  <c r="C204" i="54"/>
  <c r="C200" i="54"/>
  <c r="C196" i="54"/>
  <c r="C192" i="54"/>
  <c r="C188" i="54"/>
  <c r="C184" i="54"/>
  <c r="C180" i="54"/>
  <c r="C176" i="54"/>
  <c r="C172" i="54"/>
  <c r="C168" i="54"/>
  <c r="C164" i="54"/>
  <c r="C160" i="54"/>
  <c r="C156" i="54"/>
  <c r="C152" i="54"/>
  <c r="C148" i="54"/>
  <c r="C144" i="54"/>
  <c r="C140" i="54"/>
  <c r="C136" i="54"/>
  <c r="C132" i="54"/>
  <c r="C128" i="54"/>
  <c r="C124" i="54"/>
  <c r="C120" i="54"/>
  <c r="C116" i="54"/>
  <c r="C112" i="54"/>
  <c r="C108" i="54"/>
  <c r="C104" i="54"/>
  <c r="C100" i="54"/>
  <c r="C96" i="54"/>
  <c r="C92" i="54"/>
  <c r="C88" i="54"/>
  <c r="C84" i="54"/>
  <c r="C80" i="54"/>
  <c r="C76" i="54"/>
  <c r="C72" i="54"/>
  <c r="C68" i="54"/>
  <c r="C64" i="54"/>
  <c r="C60" i="54"/>
  <c r="C56" i="54"/>
  <c r="C52" i="54"/>
  <c r="C48" i="54"/>
  <c r="C44" i="54"/>
  <c r="C40" i="54"/>
  <c r="C36" i="54"/>
  <c r="C32" i="54"/>
  <c r="C28" i="54"/>
  <c r="C24" i="54"/>
  <c r="C20" i="54"/>
  <c r="C16" i="54"/>
  <c r="C12" i="54"/>
  <c r="C8" i="54"/>
  <c r="C95" i="54"/>
  <c r="C67" i="54"/>
  <c r="C51" i="54"/>
  <c r="C35" i="54"/>
  <c r="C23" i="54"/>
  <c r="C15" i="54"/>
  <c r="C11" i="54"/>
  <c r="C189" i="54"/>
  <c r="C109" i="54"/>
  <c r="C85" i="54"/>
  <c r="C73" i="54"/>
  <c r="C65" i="54"/>
  <c r="C41" i="54"/>
  <c r="C29" i="54"/>
  <c r="C17" i="54"/>
  <c r="C139" i="54"/>
  <c r="C91" i="54"/>
  <c r="C79" i="54"/>
  <c r="C71" i="54"/>
  <c r="C59" i="54"/>
  <c r="C47" i="54"/>
  <c r="C39" i="54"/>
  <c r="C31" i="54"/>
  <c r="C19" i="54"/>
  <c r="C49" i="54"/>
  <c r="C243" i="54"/>
  <c r="C239" i="54"/>
  <c r="C235" i="54"/>
  <c r="C231" i="54"/>
  <c r="C227" i="54"/>
  <c r="C223" i="54"/>
  <c r="C219" i="54"/>
  <c r="C215" i="54"/>
  <c r="C211" i="54"/>
  <c r="C207" i="54"/>
  <c r="C203" i="54"/>
  <c r="C199" i="54"/>
  <c r="C195" i="54"/>
  <c r="C191" i="54"/>
  <c r="C187" i="54"/>
  <c r="C183" i="54"/>
  <c r="C179" i="54"/>
  <c r="C175" i="54"/>
  <c r="C171" i="54"/>
  <c r="C167" i="54"/>
  <c r="C163" i="54"/>
  <c r="C159" i="54"/>
  <c r="C155" i="54"/>
  <c r="C151" i="54"/>
  <c r="C147" i="54"/>
  <c r="C143" i="54"/>
  <c r="C135" i="54"/>
  <c r="C131" i="54"/>
  <c r="C127" i="54"/>
  <c r="C123" i="54"/>
  <c r="C119" i="54"/>
  <c r="C115" i="54"/>
  <c r="C111" i="54"/>
  <c r="C107" i="54"/>
  <c r="C103" i="54"/>
  <c r="C99" i="54"/>
  <c r="C87" i="54"/>
  <c r="C83" i="54"/>
  <c r="C75" i="54"/>
  <c r="C63" i="54"/>
  <c r="C55" i="54"/>
  <c r="C43" i="54"/>
  <c r="C27" i="54"/>
  <c r="C7" i="54"/>
  <c r="C177" i="54"/>
  <c r="C117" i="54"/>
  <c r="C89" i="54"/>
  <c r="C61" i="54"/>
  <c r="C33" i="54"/>
  <c r="C233" i="54"/>
  <c r="C113" i="54"/>
  <c r="C242" i="54"/>
  <c r="C238" i="54"/>
  <c r="C234" i="54"/>
  <c r="C230" i="54"/>
  <c r="C226" i="54"/>
  <c r="C222" i="54"/>
  <c r="C218" i="54"/>
  <c r="C214" i="54"/>
  <c r="C210" i="54"/>
  <c r="C206" i="54"/>
  <c r="C202" i="54"/>
  <c r="C198" i="54"/>
  <c r="C194" i="54"/>
  <c r="C190" i="54"/>
  <c r="C186" i="54"/>
  <c r="C182" i="54"/>
  <c r="C178" i="54"/>
  <c r="C174" i="54"/>
  <c r="C170" i="54"/>
  <c r="C166" i="54"/>
  <c r="C162" i="54"/>
  <c r="C158" i="54"/>
  <c r="C154" i="54"/>
  <c r="C150" i="54"/>
  <c r="C146" i="54"/>
  <c r="C142" i="54"/>
  <c r="C138" i="54"/>
  <c r="C134" i="54"/>
  <c r="C130" i="54"/>
  <c r="C126" i="54"/>
  <c r="C122" i="54"/>
  <c r="C118" i="54"/>
  <c r="C114" i="54"/>
  <c r="C110" i="54"/>
  <c r="C106" i="54"/>
  <c r="C102" i="54"/>
  <c r="C98" i="54"/>
  <c r="C94" i="54"/>
  <c r="C90" i="54"/>
  <c r="C86" i="54"/>
  <c r="C82" i="54"/>
  <c r="C78" i="54"/>
  <c r="C74" i="54"/>
  <c r="C70" i="54"/>
  <c r="C66" i="54"/>
  <c r="C62" i="54"/>
  <c r="C58" i="54"/>
  <c r="C54" i="54"/>
  <c r="C50" i="54"/>
  <c r="C46" i="54"/>
  <c r="C42" i="54"/>
  <c r="C38" i="54"/>
  <c r="C34" i="54"/>
  <c r="C30" i="54"/>
  <c r="C26" i="54"/>
  <c r="C22" i="54"/>
  <c r="C18" i="54"/>
  <c r="C14" i="54"/>
  <c r="C10" i="54"/>
  <c r="C6" i="54"/>
  <c r="C237" i="54"/>
  <c r="C229" i="54"/>
  <c r="C225" i="54"/>
  <c r="C217" i="54"/>
  <c r="C209" i="54"/>
  <c r="C201" i="54"/>
  <c r="C193" i="54"/>
  <c r="C185" i="54"/>
  <c r="C173" i="54"/>
  <c r="C165" i="54"/>
  <c r="C161" i="54"/>
  <c r="C153" i="54"/>
  <c r="C145" i="54"/>
  <c r="C141" i="54"/>
  <c r="C133" i="54"/>
  <c r="C125" i="54"/>
  <c r="C121" i="54"/>
  <c r="C101" i="54"/>
  <c r="C97" i="54"/>
  <c r="C81" i="54"/>
  <c r="C69" i="54"/>
  <c r="C45" i="54"/>
  <c r="C37" i="54"/>
  <c r="C21" i="54"/>
  <c r="C241" i="54"/>
  <c r="C221" i="54"/>
  <c r="C213" i="54"/>
  <c r="C205" i="54"/>
  <c r="C197" i="54"/>
  <c r="C181" i="54"/>
  <c r="C169" i="54"/>
  <c r="C157" i="54"/>
  <c r="C149" i="54"/>
  <c r="C137" i="54"/>
  <c r="C129" i="54"/>
  <c r="C105" i="54"/>
  <c r="C93" i="54"/>
  <c r="C77" i="54"/>
  <c r="C57" i="54"/>
  <c r="C25" i="54"/>
  <c r="C5" i="54"/>
  <c r="D5" i="54" s="1"/>
  <c r="G5" i="54" s="1"/>
  <c r="F6" i="54" s="1"/>
  <c r="C13" i="54"/>
  <c r="C9" i="54"/>
  <c r="C53" i="54"/>
  <c r="C7" i="56"/>
  <c r="D7" i="56" s="1"/>
  <c r="C6" i="56"/>
  <c r="C5" i="56"/>
  <c r="D5" i="56" s="1"/>
  <c r="G5" i="56" s="1"/>
  <c r="F1" i="52"/>
  <c r="C53" i="52" s="1"/>
  <c r="B52" i="52"/>
  <c r="B53" i="52"/>
  <c r="B54" i="52"/>
  <c r="B55" i="52"/>
  <c r="B56" i="52"/>
  <c r="B57" i="52"/>
  <c r="B58" i="52"/>
  <c r="B59" i="52"/>
  <c r="B60" i="52"/>
  <c r="B61" i="52"/>
  <c r="B62" i="52"/>
  <c r="B63" i="52"/>
  <c r="B64" i="52"/>
  <c r="B65" i="52"/>
  <c r="B66" i="52"/>
  <c r="B67" i="52"/>
  <c r="B52" i="51"/>
  <c r="B53" i="51"/>
  <c r="B54" i="51"/>
  <c r="B55" i="51"/>
  <c r="B56" i="51"/>
  <c r="B57" i="51"/>
  <c r="B58" i="51"/>
  <c r="B59" i="51"/>
  <c r="B60" i="51"/>
  <c r="B61" i="51"/>
  <c r="B62" i="51"/>
  <c r="B63" i="51"/>
  <c r="B64" i="51"/>
  <c r="B65" i="51"/>
  <c r="B66" i="51"/>
  <c r="B67" i="51"/>
  <c r="F1" i="51"/>
  <c r="C50" i="51" s="1"/>
  <c r="B51" i="52"/>
  <c r="B50" i="52"/>
  <c r="B49" i="52"/>
  <c r="B48" i="52"/>
  <c r="B47" i="52"/>
  <c r="B46" i="52"/>
  <c r="B45" i="52"/>
  <c r="B44" i="52"/>
  <c r="B43" i="52"/>
  <c r="B42" i="52"/>
  <c r="B41" i="52"/>
  <c r="B40" i="52"/>
  <c r="B39" i="52"/>
  <c r="B38" i="52"/>
  <c r="B37" i="52"/>
  <c r="B36" i="52"/>
  <c r="B35" i="52"/>
  <c r="B34" i="52"/>
  <c r="B33" i="52"/>
  <c r="B32" i="52"/>
  <c r="B31" i="52"/>
  <c r="B30" i="52"/>
  <c r="B29" i="52"/>
  <c r="B28" i="52"/>
  <c r="B27" i="52"/>
  <c r="B26" i="52"/>
  <c r="B25" i="52"/>
  <c r="B24" i="52"/>
  <c r="B23" i="52"/>
  <c r="B22" i="52"/>
  <c r="B21" i="52"/>
  <c r="B20" i="52"/>
  <c r="B19" i="52"/>
  <c r="B18" i="52"/>
  <c r="B17" i="52"/>
  <c r="B16" i="52"/>
  <c r="B15" i="52"/>
  <c r="B14" i="52"/>
  <c r="B13" i="52"/>
  <c r="B12" i="52"/>
  <c r="B11" i="52"/>
  <c r="B10" i="52"/>
  <c r="B9" i="52"/>
  <c r="B8" i="52"/>
  <c r="B7" i="52"/>
  <c r="B6" i="52"/>
  <c r="B5" i="52"/>
  <c r="E4" i="52"/>
  <c r="B4" i="52"/>
  <c r="D1" i="52"/>
  <c r="C38" i="52" s="1"/>
  <c r="B51" i="51"/>
  <c r="B50" i="51"/>
  <c r="B49" i="51"/>
  <c r="B48" i="51"/>
  <c r="B47" i="51"/>
  <c r="B46" i="51"/>
  <c r="B45" i="51"/>
  <c r="B44" i="51"/>
  <c r="B43" i="51"/>
  <c r="B42" i="51"/>
  <c r="B41" i="51"/>
  <c r="B40" i="51"/>
  <c r="B39" i="51"/>
  <c r="B38" i="51"/>
  <c r="B37" i="51"/>
  <c r="B36" i="51"/>
  <c r="B35" i="51"/>
  <c r="B34" i="51"/>
  <c r="B33" i="51"/>
  <c r="B32" i="51"/>
  <c r="B31" i="51"/>
  <c r="B30" i="51"/>
  <c r="B29" i="51"/>
  <c r="B28" i="51"/>
  <c r="B27" i="51"/>
  <c r="B26" i="51"/>
  <c r="B25" i="51"/>
  <c r="B24" i="51"/>
  <c r="B23" i="51"/>
  <c r="B22" i="51"/>
  <c r="B21" i="51"/>
  <c r="B20" i="51"/>
  <c r="B19" i="51"/>
  <c r="B18" i="51"/>
  <c r="B17" i="51"/>
  <c r="B16" i="51"/>
  <c r="B15" i="51"/>
  <c r="B14" i="51"/>
  <c r="B13" i="51"/>
  <c r="B12" i="51"/>
  <c r="B11" i="51"/>
  <c r="B10" i="51"/>
  <c r="B9" i="51"/>
  <c r="B8" i="51"/>
  <c r="B7" i="51"/>
  <c r="B6" i="51"/>
  <c r="B5" i="51"/>
  <c r="B4" i="51"/>
  <c r="E4" i="51" s="1"/>
  <c r="D1" i="51"/>
  <c r="C36" i="51" s="1"/>
  <c r="F1" i="49"/>
  <c r="C49" i="49" s="1"/>
  <c r="F1" i="48"/>
  <c r="B51" i="49"/>
  <c r="B50" i="49"/>
  <c r="B49" i="49"/>
  <c r="B48" i="49"/>
  <c r="B47" i="49"/>
  <c r="B46" i="49"/>
  <c r="B45" i="49"/>
  <c r="C44" i="49"/>
  <c r="B44" i="49"/>
  <c r="B43" i="49"/>
  <c r="B42" i="49"/>
  <c r="B41" i="49"/>
  <c r="B40" i="49"/>
  <c r="B39" i="49"/>
  <c r="B38" i="49"/>
  <c r="B37" i="49"/>
  <c r="B36" i="49"/>
  <c r="B35" i="49"/>
  <c r="B34" i="49"/>
  <c r="B33" i="49"/>
  <c r="B32" i="49"/>
  <c r="B31" i="49"/>
  <c r="B30" i="49"/>
  <c r="B29" i="49"/>
  <c r="B28" i="49"/>
  <c r="B27" i="49"/>
  <c r="B26" i="49"/>
  <c r="B25" i="49"/>
  <c r="B24" i="49"/>
  <c r="B23" i="49"/>
  <c r="B22" i="49"/>
  <c r="B21" i="49"/>
  <c r="B20" i="49"/>
  <c r="B19" i="49"/>
  <c r="B18" i="49"/>
  <c r="B17" i="49"/>
  <c r="B16" i="49"/>
  <c r="B15" i="49"/>
  <c r="B14" i="49"/>
  <c r="B13" i="49"/>
  <c r="B12" i="49"/>
  <c r="B11" i="49"/>
  <c r="B10" i="49"/>
  <c r="B9" i="49"/>
  <c r="C8" i="49"/>
  <c r="B8" i="49"/>
  <c r="B7" i="49"/>
  <c r="B6" i="49"/>
  <c r="B5" i="49"/>
  <c r="B4" i="49"/>
  <c r="D1" i="49"/>
  <c r="C38" i="49" s="1"/>
  <c r="B51" i="48"/>
  <c r="B50" i="48"/>
  <c r="B49" i="48"/>
  <c r="B48" i="48"/>
  <c r="B47" i="48"/>
  <c r="B46" i="48"/>
  <c r="B45" i="48"/>
  <c r="B44" i="48"/>
  <c r="B43" i="48"/>
  <c r="B42" i="48"/>
  <c r="B41" i="48"/>
  <c r="B40" i="48"/>
  <c r="B39" i="48"/>
  <c r="B38" i="48"/>
  <c r="B37" i="48"/>
  <c r="B36" i="48"/>
  <c r="B35" i="48"/>
  <c r="B34" i="48"/>
  <c r="B33" i="48"/>
  <c r="B32" i="48"/>
  <c r="B31" i="48"/>
  <c r="B30" i="48"/>
  <c r="B29" i="48"/>
  <c r="B28" i="48"/>
  <c r="B27" i="48"/>
  <c r="B26" i="48"/>
  <c r="B25" i="48"/>
  <c r="B24" i="48"/>
  <c r="B23" i="48"/>
  <c r="B22" i="48"/>
  <c r="B21" i="48"/>
  <c r="B20" i="48"/>
  <c r="B19" i="48"/>
  <c r="B18" i="48"/>
  <c r="B17" i="48"/>
  <c r="B16" i="48"/>
  <c r="B15" i="48"/>
  <c r="B14" i="48"/>
  <c r="B13" i="48"/>
  <c r="B12" i="48"/>
  <c r="B11" i="48"/>
  <c r="B10" i="48"/>
  <c r="B9" i="48"/>
  <c r="B8" i="48"/>
  <c r="B7" i="48"/>
  <c r="B6" i="48"/>
  <c r="B5" i="48"/>
  <c r="B4" i="48"/>
  <c r="D1" i="48"/>
  <c r="C13" i="48" s="1"/>
  <c r="E6" i="54" l="1"/>
  <c r="D6" i="54" s="1"/>
  <c r="G6" i="54" s="1"/>
  <c r="F7" i="54" s="1"/>
  <c r="H6" i="54"/>
  <c r="F6" i="56"/>
  <c r="F9" i="56"/>
  <c r="C51" i="52"/>
  <c r="C67" i="52"/>
  <c r="C66" i="52"/>
  <c r="C60" i="52"/>
  <c r="C59" i="52"/>
  <c r="C58" i="52"/>
  <c r="C52" i="52"/>
  <c r="C50" i="52"/>
  <c r="C65" i="52"/>
  <c r="C57" i="52"/>
  <c r="C64" i="52"/>
  <c r="C56" i="52"/>
  <c r="C63" i="52"/>
  <c r="C55" i="52"/>
  <c r="C62" i="52"/>
  <c r="C54" i="52"/>
  <c r="C61" i="52"/>
  <c r="C7" i="51"/>
  <c r="C39" i="51"/>
  <c r="D39" i="51" s="1"/>
  <c r="C60" i="51"/>
  <c r="C67" i="51"/>
  <c r="C59" i="51"/>
  <c r="C4" i="51"/>
  <c r="D4" i="51" s="1"/>
  <c r="G4" i="51" s="1"/>
  <c r="F5" i="51" s="1"/>
  <c r="C15" i="51"/>
  <c r="C66" i="51"/>
  <c r="C58" i="51"/>
  <c r="C35" i="51"/>
  <c r="C65" i="51"/>
  <c r="C57" i="51"/>
  <c r="C23" i="51"/>
  <c r="C63" i="51"/>
  <c r="C55" i="51"/>
  <c r="C52" i="51"/>
  <c r="C27" i="51"/>
  <c r="C64" i="51"/>
  <c r="C56" i="51"/>
  <c r="C11" i="51"/>
  <c r="C31" i="51"/>
  <c r="C62" i="51"/>
  <c r="C54" i="51"/>
  <c r="C19" i="51"/>
  <c r="C61" i="51"/>
  <c r="C53" i="51"/>
  <c r="E5" i="51"/>
  <c r="C6" i="51"/>
  <c r="C10" i="51"/>
  <c r="C14" i="51"/>
  <c r="C18" i="51"/>
  <c r="C22" i="51"/>
  <c r="C26" i="51"/>
  <c r="C30" i="51"/>
  <c r="C34" i="51"/>
  <c r="C38" i="51"/>
  <c r="C41" i="52"/>
  <c r="C45" i="52"/>
  <c r="C49" i="52"/>
  <c r="C41" i="51"/>
  <c r="C45" i="51"/>
  <c r="C49" i="51"/>
  <c r="C5" i="52"/>
  <c r="C9" i="52"/>
  <c r="C13" i="52"/>
  <c r="C17" i="52"/>
  <c r="C21" i="52"/>
  <c r="C25" i="52"/>
  <c r="C29" i="52"/>
  <c r="C33" i="52"/>
  <c r="C37" i="52"/>
  <c r="C5" i="51"/>
  <c r="C9" i="51"/>
  <c r="C13" i="51"/>
  <c r="C17" i="51"/>
  <c r="C21" i="51"/>
  <c r="C25" i="51"/>
  <c r="C29" i="51"/>
  <c r="C33" i="51"/>
  <c r="C37" i="51"/>
  <c r="C40" i="52"/>
  <c r="C44" i="52"/>
  <c r="C48" i="52"/>
  <c r="C40" i="51"/>
  <c r="C44" i="51"/>
  <c r="C48" i="51"/>
  <c r="C8" i="52"/>
  <c r="C12" i="52"/>
  <c r="C16" i="52"/>
  <c r="C20" i="52"/>
  <c r="C24" i="52"/>
  <c r="C28" i="52"/>
  <c r="C32" i="52"/>
  <c r="C36" i="52"/>
  <c r="C8" i="51"/>
  <c r="C12" i="51"/>
  <c r="C16" i="51"/>
  <c r="C20" i="51"/>
  <c r="C24" i="51"/>
  <c r="C28" i="51"/>
  <c r="C32" i="51"/>
  <c r="C4" i="52"/>
  <c r="D4" i="52" s="1"/>
  <c r="G4" i="52" s="1"/>
  <c r="F5" i="52" s="1"/>
  <c r="C43" i="52"/>
  <c r="C47" i="52"/>
  <c r="C43" i="51"/>
  <c r="C47" i="51"/>
  <c r="C51" i="51"/>
  <c r="C7" i="52"/>
  <c r="C11" i="52"/>
  <c r="C15" i="52"/>
  <c r="C19" i="52"/>
  <c r="C23" i="52"/>
  <c r="C27" i="52"/>
  <c r="C31" i="52"/>
  <c r="C35" i="52"/>
  <c r="C39" i="52"/>
  <c r="D39" i="52" s="1"/>
  <c r="C42" i="52"/>
  <c r="C46" i="52"/>
  <c r="C42" i="51"/>
  <c r="C46" i="51"/>
  <c r="C6" i="52"/>
  <c r="C10" i="52"/>
  <c r="C14" i="52"/>
  <c r="C18" i="52"/>
  <c r="C22" i="52"/>
  <c r="C26" i="52"/>
  <c r="C30" i="52"/>
  <c r="C34" i="52"/>
  <c r="C50" i="49"/>
  <c r="C41" i="49"/>
  <c r="C45" i="49"/>
  <c r="C28" i="49"/>
  <c r="C42" i="49"/>
  <c r="C46" i="49"/>
  <c r="C43" i="49"/>
  <c r="C47" i="49"/>
  <c r="C51" i="49"/>
  <c r="C48" i="49"/>
  <c r="C16" i="49"/>
  <c r="C36" i="49"/>
  <c r="C24" i="49"/>
  <c r="C12" i="49"/>
  <c r="C32" i="49"/>
  <c r="C20" i="49"/>
  <c r="C25" i="48"/>
  <c r="C14" i="48"/>
  <c r="C32" i="48"/>
  <c r="C11" i="48"/>
  <c r="C20" i="48"/>
  <c r="C29" i="48"/>
  <c r="C6" i="48"/>
  <c r="C12" i="48"/>
  <c r="C24" i="48"/>
  <c r="C19" i="48"/>
  <c r="C49" i="48"/>
  <c r="C41" i="48"/>
  <c r="C45" i="48"/>
  <c r="E4" i="48"/>
  <c r="C4" i="48"/>
  <c r="C9" i="48"/>
  <c r="C17" i="48"/>
  <c r="C8" i="48"/>
  <c r="C16" i="48"/>
  <c r="C21" i="48"/>
  <c r="C33" i="48"/>
  <c r="C5" i="48"/>
  <c r="C39" i="48"/>
  <c r="D39" i="48" s="1"/>
  <c r="C27" i="48"/>
  <c r="C23" i="48"/>
  <c r="C36" i="48"/>
  <c r="C40" i="48"/>
  <c r="C38" i="48"/>
  <c r="C34" i="48"/>
  <c r="C30" i="48"/>
  <c r="C26" i="48"/>
  <c r="C22" i="48"/>
  <c r="C35" i="48"/>
  <c r="C31" i="48"/>
  <c r="C10" i="48"/>
  <c r="C18" i="48"/>
  <c r="C28" i="48"/>
  <c r="C7" i="48"/>
  <c r="C15" i="48"/>
  <c r="C37" i="48"/>
  <c r="E4" i="49"/>
  <c r="C42" i="48"/>
  <c r="C46" i="48"/>
  <c r="C50" i="48"/>
  <c r="C5" i="49"/>
  <c r="C9" i="49"/>
  <c r="C13" i="49"/>
  <c r="C17" i="49"/>
  <c r="C21" i="49"/>
  <c r="C25" i="49"/>
  <c r="C29" i="49"/>
  <c r="C33" i="49"/>
  <c r="C37" i="49"/>
  <c r="C40" i="49"/>
  <c r="C44" i="48"/>
  <c r="C48" i="48"/>
  <c r="C4" i="49"/>
  <c r="C7" i="49"/>
  <c r="C11" i="49"/>
  <c r="C15" i="49"/>
  <c r="C19" i="49"/>
  <c r="C23" i="49"/>
  <c r="C27" i="49"/>
  <c r="C31" i="49"/>
  <c r="C35" i="49"/>
  <c r="C39" i="49"/>
  <c r="D39" i="49" s="1"/>
  <c r="C43" i="48"/>
  <c r="C47" i="48"/>
  <c r="C51" i="48"/>
  <c r="C6" i="49"/>
  <c r="C10" i="49"/>
  <c r="C14" i="49"/>
  <c r="C18" i="49"/>
  <c r="C22" i="49"/>
  <c r="C26" i="49"/>
  <c r="C30" i="49"/>
  <c r="C34" i="49"/>
  <c r="H7" i="54" l="1"/>
  <c r="E7" i="54"/>
  <c r="D7" i="54" s="1"/>
  <c r="G7" i="54" s="1"/>
  <c r="F8" i="54" s="1"/>
  <c r="I6" i="54"/>
  <c r="E6" i="56"/>
  <c r="D6" i="56" s="1"/>
  <c r="D9" i="56"/>
  <c r="D5" i="51"/>
  <c r="G5" i="51" s="1"/>
  <c r="F6" i="51" s="1"/>
  <c r="E6" i="51" s="1"/>
  <c r="D6" i="51" s="1"/>
  <c r="G6" i="51" s="1"/>
  <c r="F7" i="51" s="1"/>
  <c r="E5" i="52"/>
  <c r="D5" i="52" s="1"/>
  <c r="G5" i="52" s="1"/>
  <c r="F6" i="52" s="1"/>
  <c r="D4" i="49"/>
  <c r="G4" i="49" s="1"/>
  <c r="F5" i="49" s="1"/>
  <c r="E5" i="49" s="1"/>
  <c r="D5" i="49" s="1"/>
  <c r="G5" i="49" s="1"/>
  <c r="F6" i="49" s="1"/>
  <c r="D4" i="48"/>
  <c r="G4" i="48" s="1"/>
  <c r="F5" i="48" s="1"/>
  <c r="E5" i="48" s="1"/>
  <c r="D5" i="48" s="1"/>
  <c r="G5" i="48" s="1"/>
  <c r="F6" i="48" s="1"/>
  <c r="E8" i="54" l="1"/>
  <c r="D8" i="54" s="1"/>
  <c r="G8" i="54" s="1"/>
  <c r="F9" i="54" s="1"/>
  <c r="H8" i="54"/>
  <c r="I7" i="54"/>
  <c r="G6" i="56"/>
  <c r="F7" i="56" s="1"/>
  <c r="G7" i="56" s="1"/>
  <c r="E6" i="52"/>
  <c r="D6" i="52" s="1"/>
  <c r="G6" i="52" s="1"/>
  <c r="F7" i="52" s="1"/>
  <c r="E7" i="51"/>
  <c r="D7" i="51" s="1"/>
  <c r="G7" i="51" s="1"/>
  <c r="F8" i="51" s="1"/>
  <c r="E6" i="48"/>
  <c r="D6" i="48" s="1"/>
  <c r="G6" i="48" s="1"/>
  <c r="F7" i="48" s="1"/>
  <c r="E6" i="49"/>
  <c r="D6" i="49" s="1"/>
  <c r="G6" i="49" s="1"/>
  <c r="F7" i="49" s="1"/>
  <c r="D8" i="56" l="1"/>
  <c r="G8" i="56" s="1"/>
  <c r="H9" i="54"/>
  <c r="E9" i="54"/>
  <c r="D9" i="54" s="1"/>
  <c r="G9" i="54" s="1"/>
  <c r="F10" i="54" s="1"/>
  <c r="I8" i="54"/>
  <c r="E8" i="51"/>
  <c r="D8" i="51" s="1"/>
  <c r="G8" i="51" s="1"/>
  <c r="F9" i="51" s="1"/>
  <c r="E7" i="52"/>
  <c r="D7" i="52" s="1"/>
  <c r="G7" i="52" s="1"/>
  <c r="F8" i="52" s="1"/>
  <c r="E7" i="49"/>
  <c r="D7" i="49" s="1"/>
  <c r="G7" i="49" s="1"/>
  <c r="F8" i="49" s="1"/>
  <c r="E7" i="48"/>
  <c r="D7" i="48" s="1"/>
  <c r="G7" i="48" s="1"/>
  <c r="F8" i="48" s="1"/>
  <c r="H10" i="54" l="1"/>
  <c r="E10" i="54"/>
  <c r="D10" i="54" s="1"/>
  <c r="G10" i="54" s="1"/>
  <c r="F11" i="54" s="1"/>
  <c r="I9" i="54"/>
  <c r="E8" i="52"/>
  <c r="D8" i="52" s="1"/>
  <c r="G8" i="52" s="1"/>
  <c r="F9" i="52" s="1"/>
  <c r="E9" i="51"/>
  <c r="D9" i="51" s="1"/>
  <c r="G9" i="51" s="1"/>
  <c r="F10" i="51" s="1"/>
  <c r="E8" i="49"/>
  <c r="D8" i="49" s="1"/>
  <c r="G8" i="49" s="1"/>
  <c r="F9" i="49" s="1"/>
  <c r="E8" i="48"/>
  <c r="D8" i="48" s="1"/>
  <c r="G8" i="48" s="1"/>
  <c r="F9" i="48" s="1"/>
  <c r="E11" i="54" l="1"/>
  <c r="D11" i="54" s="1"/>
  <c r="G11" i="54" s="1"/>
  <c r="F12" i="54" s="1"/>
  <c r="H11" i="54"/>
  <c r="I10" i="54"/>
  <c r="E10" i="51"/>
  <c r="D10" i="51" s="1"/>
  <c r="G10" i="51" s="1"/>
  <c r="F11" i="51" s="1"/>
  <c r="E9" i="52"/>
  <c r="D9" i="52" s="1"/>
  <c r="G9" i="52" s="1"/>
  <c r="F10" i="52" s="1"/>
  <c r="E9" i="48"/>
  <c r="D9" i="48" s="1"/>
  <c r="G9" i="48" s="1"/>
  <c r="F10" i="48" s="1"/>
  <c r="E9" i="49"/>
  <c r="D9" i="49" s="1"/>
  <c r="G9" i="49" s="1"/>
  <c r="F10" i="49" s="1"/>
  <c r="I11" i="54" l="1"/>
  <c r="H12" i="54"/>
  <c r="E12" i="54"/>
  <c r="D12" i="54" s="1"/>
  <c r="G12" i="54" s="1"/>
  <c r="F13" i="54" s="1"/>
  <c r="E10" i="52"/>
  <c r="D10" i="52" s="1"/>
  <c r="G10" i="52" s="1"/>
  <c r="F11" i="52" s="1"/>
  <c r="E11" i="51"/>
  <c r="D11" i="51" s="1"/>
  <c r="G11" i="51" s="1"/>
  <c r="F12" i="51" s="1"/>
  <c r="E10" i="48"/>
  <c r="D10" i="48" s="1"/>
  <c r="G10" i="48" s="1"/>
  <c r="F11" i="48" s="1"/>
  <c r="E10" i="49"/>
  <c r="D10" i="49" s="1"/>
  <c r="G10" i="49" s="1"/>
  <c r="F11" i="49" s="1"/>
  <c r="I12" i="54" l="1"/>
  <c r="E13" i="54"/>
  <c r="D13" i="54" s="1"/>
  <c r="G13" i="54" s="1"/>
  <c r="H13" i="54"/>
  <c r="E11" i="52"/>
  <c r="D11" i="52" s="1"/>
  <c r="G11" i="52" s="1"/>
  <c r="F12" i="52" s="1"/>
  <c r="E12" i="51"/>
  <c r="D12" i="51" s="1"/>
  <c r="G12" i="51" s="1"/>
  <c r="F13" i="51" s="1"/>
  <c r="E11" i="48"/>
  <c r="D11" i="48" s="1"/>
  <c r="G11" i="48" s="1"/>
  <c r="F12" i="48" s="1"/>
  <c r="E11" i="49"/>
  <c r="D11" i="49" s="1"/>
  <c r="G11" i="49" s="1"/>
  <c r="F12" i="49" s="1"/>
  <c r="I13" i="54" l="1"/>
  <c r="F14" i="54"/>
  <c r="F245" i="54"/>
  <c r="H245" i="54" s="1"/>
  <c r="E14" i="54"/>
  <c r="H14" i="54"/>
  <c r="E13" i="51"/>
  <c r="D13" i="51" s="1"/>
  <c r="G13" i="51" s="1"/>
  <c r="F14" i="51" s="1"/>
  <c r="E12" i="52"/>
  <c r="D12" i="52" s="1"/>
  <c r="G12" i="52" s="1"/>
  <c r="F13" i="52" s="1"/>
  <c r="E12" i="49"/>
  <c r="D12" i="49" s="1"/>
  <c r="G12" i="49" s="1"/>
  <c r="F13" i="49" s="1"/>
  <c r="E12" i="48"/>
  <c r="D12" i="48" s="1"/>
  <c r="G12" i="48" s="1"/>
  <c r="F13" i="48" s="1"/>
  <c r="D14" i="54" l="1"/>
  <c r="G14" i="54" s="1"/>
  <c r="F15" i="54" s="1"/>
  <c r="D245" i="54"/>
  <c r="E245" i="54"/>
  <c r="I245" i="54" s="1"/>
  <c r="G245" i="54"/>
  <c r="F246" i="54" s="1"/>
  <c r="E246" i="54" s="1"/>
  <c r="D246" i="54" s="1"/>
  <c r="G246" i="54" s="1"/>
  <c r="F247" i="54" s="1"/>
  <c r="E247" i="54" s="1"/>
  <c r="D247" i="54" s="1"/>
  <c r="G247" i="54" s="1"/>
  <c r="F248" i="54" s="1"/>
  <c r="E248" i="54" s="1"/>
  <c r="D248" i="54" s="1"/>
  <c r="G248" i="54" s="1"/>
  <c r="F249" i="54" s="1"/>
  <c r="E249" i="54" s="1"/>
  <c r="D249" i="54" s="1"/>
  <c r="G249" i="54" s="1"/>
  <c r="F250" i="54" s="1"/>
  <c r="E250" i="54" s="1"/>
  <c r="D250" i="54" s="1"/>
  <c r="G250" i="54" s="1"/>
  <c r="F251" i="54" s="1"/>
  <c r="E251" i="54" s="1"/>
  <c r="D251" i="54" s="1"/>
  <c r="G251" i="54" s="1"/>
  <c r="F252" i="54" s="1"/>
  <c r="E252" i="54" s="1"/>
  <c r="D252" i="54" s="1"/>
  <c r="G252" i="54" s="1"/>
  <c r="F253" i="54" s="1"/>
  <c r="E253" i="54" s="1"/>
  <c r="D253" i="54" s="1"/>
  <c r="G253" i="54" s="1"/>
  <c r="F254" i="54" s="1"/>
  <c r="E254" i="54" s="1"/>
  <c r="D254" i="54" s="1"/>
  <c r="G254" i="54" s="1"/>
  <c r="F255" i="54" s="1"/>
  <c r="E255" i="54" s="1"/>
  <c r="D255" i="54" s="1"/>
  <c r="G255" i="54" s="1"/>
  <c r="F256" i="54" s="1"/>
  <c r="E256" i="54" s="1"/>
  <c r="D256" i="54" s="1"/>
  <c r="G256" i="54" s="1"/>
  <c r="F257" i="54" s="1"/>
  <c r="E257" i="54" s="1"/>
  <c r="D257" i="54" s="1"/>
  <c r="G257" i="54" s="1"/>
  <c r="F258" i="54" s="1"/>
  <c r="E258" i="54" s="1"/>
  <c r="D258" i="54" s="1"/>
  <c r="G258" i="54" s="1"/>
  <c r="F259" i="54" s="1"/>
  <c r="E259" i="54" s="1"/>
  <c r="D259" i="54" s="1"/>
  <c r="G259" i="54" s="1"/>
  <c r="F260" i="54" s="1"/>
  <c r="E260" i="54" s="1"/>
  <c r="D260" i="54" s="1"/>
  <c r="G260" i="54" s="1"/>
  <c r="F261" i="54" s="1"/>
  <c r="E261" i="54" s="1"/>
  <c r="D261" i="54" s="1"/>
  <c r="G261" i="54" s="1"/>
  <c r="F262" i="54" s="1"/>
  <c r="E262" i="54" s="1"/>
  <c r="D262" i="54" s="1"/>
  <c r="G262" i="54" s="1"/>
  <c r="F263" i="54" s="1"/>
  <c r="E263" i="54" s="1"/>
  <c r="D263" i="54" s="1"/>
  <c r="G263" i="54" s="1"/>
  <c r="F264" i="54" s="1"/>
  <c r="E264" i="54" s="1"/>
  <c r="D264" i="54" s="1"/>
  <c r="G264" i="54" s="1"/>
  <c r="F265" i="54" s="1"/>
  <c r="E265" i="54" s="1"/>
  <c r="D265" i="54" s="1"/>
  <c r="G265" i="54" s="1"/>
  <c r="F266" i="54" s="1"/>
  <c r="E266" i="54" s="1"/>
  <c r="D266" i="54" s="1"/>
  <c r="G266" i="54" s="1"/>
  <c r="F267" i="54" s="1"/>
  <c r="E267" i="54" s="1"/>
  <c r="D267" i="54" s="1"/>
  <c r="G267" i="54" s="1"/>
  <c r="F268" i="54" s="1"/>
  <c r="E268" i="54" s="1"/>
  <c r="D268" i="54" s="1"/>
  <c r="G268" i="54" s="1"/>
  <c r="F269" i="54" s="1"/>
  <c r="E269" i="54" s="1"/>
  <c r="D269" i="54" s="1"/>
  <c r="G269" i="54" s="1"/>
  <c r="F270" i="54" s="1"/>
  <c r="E270" i="54" s="1"/>
  <c r="D270" i="54" s="1"/>
  <c r="G270" i="54" s="1"/>
  <c r="F271" i="54" s="1"/>
  <c r="E271" i="54" s="1"/>
  <c r="D271" i="54" s="1"/>
  <c r="G271" i="54" s="1"/>
  <c r="F272" i="54" s="1"/>
  <c r="E272" i="54" s="1"/>
  <c r="D272" i="54" s="1"/>
  <c r="G272" i="54" s="1"/>
  <c r="F273" i="54" s="1"/>
  <c r="E273" i="54" s="1"/>
  <c r="D273" i="54" s="1"/>
  <c r="G273" i="54" s="1"/>
  <c r="F274" i="54" s="1"/>
  <c r="E274" i="54" s="1"/>
  <c r="D274" i="54" s="1"/>
  <c r="G274" i="54" s="1"/>
  <c r="F275" i="54" s="1"/>
  <c r="E275" i="54" s="1"/>
  <c r="D275" i="54" s="1"/>
  <c r="G275" i="54" s="1"/>
  <c r="F276" i="54" s="1"/>
  <c r="E276" i="54" s="1"/>
  <c r="D276" i="54" s="1"/>
  <c r="G276" i="54" s="1"/>
  <c r="F277" i="54" s="1"/>
  <c r="E277" i="54" s="1"/>
  <c r="D277" i="54" s="1"/>
  <c r="G277" i="54" s="1"/>
  <c r="F278" i="54" s="1"/>
  <c r="E278" i="54" s="1"/>
  <c r="D278" i="54" s="1"/>
  <c r="G278" i="54" s="1"/>
  <c r="F279" i="54" s="1"/>
  <c r="E279" i="54" s="1"/>
  <c r="D279" i="54" s="1"/>
  <c r="G279" i="54" s="1"/>
  <c r="F280" i="54" s="1"/>
  <c r="E280" i="54" s="1"/>
  <c r="D280" i="54" s="1"/>
  <c r="G280" i="54" s="1"/>
  <c r="F281" i="54" s="1"/>
  <c r="E281" i="54" s="1"/>
  <c r="D281" i="54" s="1"/>
  <c r="G281" i="54" s="1"/>
  <c r="F282" i="54" s="1"/>
  <c r="E282" i="54" s="1"/>
  <c r="D282" i="54" s="1"/>
  <c r="G282" i="54" s="1"/>
  <c r="F283" i="54" s="1"/>
  <c r="E283" i="54" s="1"/>
  <c r="D283" i="54" s="1"/>
  <c r="G283" i="54" s="1"/>
  <c r="F284" i="54" s="1"/>
  <c r="E284" i="54" s="1"/>
  <c r="D284" i="54" s="1"/>
  <c r="G284" i="54" s="1"/>
  <c r="F285" i="54" s="1"/>
  <c r="E285" i="54" s="1"/>
  <c r="D285" i="54" s="1"/>
  <c r="G285" i="54" s="1"/>
  <c r="F286" i="54" s="1"/>
  <c r="E286" i="54" s="1"/>
  <c r="D286" i="54" s="1"/>
  <c r="G286" i="54" s="1"/>
  <c r="F287" i="54" s="1"/>
  <c r="E287" i="54" s="1"/>
  <c r="D287" i="54" s="1"/>
  <c r="G287" i="54" s="1"/>
  <c r="F288" i="54" s="1"/>
  <c r="E288" i="54" s="1"/>
  <c r="D288" i="54" s="1"/>
  <c r="G288" i="54" s="1"/>
  <c r="F289" i="54" s="1"/>
  <c r="E289" i="54" s="1"/>
  <c r="D289" i="54" s="1"/>
  <c r="G289" i="54" s="1"/>
  <c r="F290" i="54" s="1"/>
  <c r="E290" i="54" s="1"/>
  <c r="D290" i="54" s="1"/>
  <c r="G290" i="54" s="1"/>
  <c r="F291" i="54" s="1"/>
  <c r="E291" i="54" s="1"/>
  <c r="D291" i="54" s="1"/>
  <c r="G291" i="54" s="1"/>
  <c r="F292" i="54" s="1"/>
  <c r="E292" i="54" s="1"/>
  <c r="D292" i="54" s="1"/>
  <c r="G292" i="54" s="1"/>
  <c r="F293" i="54" s="1"/>
  <c r="E293" i="54" s="1"/>
  <c r="D293" i="54" s="1"/>
  <c r="G293" i="54" s="1"/>
  <c r="F294" i="54" s="1"/>
  <c r="E294" i="54" s="1"/>
  <c r="D294" i="54" s="1"/>
  <c r="G294" i="54" s="1"/>
  <c r="F295" i="54" s="1"/>
  <c r="E295" i="54" s="1"/>
  <c r="D295" i="54" s="1"/>
  <c r="G295" i="54" s="1"/>
  <c r="F296" i="54" s="1"/>
  <c r="E296" i="54" s="1"/>
  <c r="D296" i="54" s="1"/>
  <c r="G296" i="54" s="1"/>
  <c r="F297" i="54" s="1"/>
  <c r="E297" i="54" s="1"/>
  <c r="D297" i="54" s="1"/>
  <c r="G297" i="54" s="1"/>
  <c r="F298" i="54" s="1"/>
  <c r="E298" i="54" s="1"/>
  <c r="D298" i="54" s="1"/>
  <c r="G298" i="54" s="1"/>
  <c r="F299" i="54" s="1"/>
  <c r="E299" i="54" s="1"/>
  <c r="D299" i="54" s="1"/>
  <c r="G299" i="54" s="1"/>
  <c r="F300" i="54" s="1"/>
  <c r="E300" i="54" s="1"/>
  <c r="D300" i="54" s="1"/>
  <c r="G300" i="54" s="1"/>
  <c r="F301" i="54" s="1"/>
  <c r="E301" i="54" s="1"/>
  <c r="D301" i="54" s="1"/>
  <c r="G301" i="54" s="1"/>
  <c r="F302" i="54" s="1"/>
  <c r="E302" i="54" s="1"/>
  <c r="D302" i="54" s="1"/>
  <c r="G302" i="54" s="1"/>
  <c r="F303" i="54" s="1"/>
  <c r="E303" i="54" s="1"/>
  <c r="D303" i="54" s="1"/>
  <c r="G303" i="54" s="1"/>
  <c r="F304" i="54" s="1"/>
  <c r="E304" i="54" s="1"/>
  <c r="D304" i="54" s="1"/>
  <c r="G304" i="54" s="1"/>
  <c r="F305" i="54" s="1"/>
  <c r="E305" i="54" s="1"/>
  <c r="D305" i="54" s="1"/>
  <c r="G305" i="54" s="1"/>
  <c r="F306" i="54" s="1"/>
  <c r="E306" i="54" s="1"/>
  <c r="D306" i="54" s="1"/>
  <c r="G306" i="54" s="1"/>
  <c r="F307" i="54" s="1"/>
  <c r="E307" i="54" s="1"/>
  <c r="D307" i="54" s="1"/>
  <c r="G307" i="54" s="1"/>
  <c r="F308" i="54" s="1"/>
  <c r="E308" i="54" s="1"/>
  <c r="D308" i="54" s="1"/>
  <c r="G308" i="54" s="1"/>
  <c r="F309" i="54" s="1"/>
  <c r="E309" i="54" s="1"/>
  <c r="D309" i="54" s="1"/>
  <c r="G309" i="54" s="1"/>
  <c r="F310" i="54" s="1"/>
  <c r="E310" i="54" s="1"/>
  <c r="D310" i="54" s="1"/>
  <c r="G310" i="54" s="1"/>
  <c r="F311" i="54" s="1"/>
  <c r="E311" i="54" s="1"/>
  <c r="D311" i="54" s="1"/>
  <c r="G311" i="54" s="1"/>
  <c r="F312" i="54" s="1"/>
  <c r="E312" i="54" s="1"/>
  <c r="D312" i="54" s="1"/>
  <c r="G312" i="54" s="1"/>
  <c r="F313" i="54" s="1"/>
  <c r="E313" i="54" s="1"/>
  <c r="D313" i="54" s="1"/>
  <c r="G313" i="54" s="1"/>
  <c r="F314" i="54" s="1"/>
  <c r="E314" i="54" s="1"/>
  <c r="D314" i="54" s="1"/>
  <c r="G314" i="54" s="1"/>
  <c r="F315" i="54" s="1"/>
  <c r="E315" i="54" s="1"/>
  <c r="D315" i="54" s="1"/>
  <c r="G315" i="54" s="1"/>
  <c r="F316" i="54" s="1"/>
  <c r="E316" i="54" s="1"/>
  <c r="D316" i="54" s="1"/>
  <c r="G316" i="54" s="1"/>
  <c r="F317" i="54" s="1"/>
  <c r="E317" i="54" s="1"/>
  <c r="D317" i="54" s="1"/>
  <c r="G317" i="54" s="1"/>
  <c r="F318" i="54" s="1"/>
  <c r="E318" i="54" s="1"/>
  <c r="D318" i="54" s="1"/>
  <c r="G318" i="54" s="1"/>
  <c r="F319" i="54" s="1"/>
  <c r="E319" i="54" s="1"/>
  <c r="D319" i="54" s="1"/>
  <c r="G319" i="54" s="1"/>
  <c r="F320" i="54" s="1"/>
  <c r="E320" i="54" s="1"/>
  <c r="D320" i="54" s="1"/>
  <c r="G320" i="54" s="1"/>
  <c r="F321" i="54" s="1"/>
  <c r="E321" i="54" s="1"/>
  <c r="D321" i="54" s="1"/>
  <c r="G321" i="54" s="1"/>
  <c r="F322" i="54" s="1"/>
  <c r="E322" i="54" s="1"/>
  <c r="D322" i="54" s="1"/>
  <c r="G322" i="54" s="1"/>
  <c r="F323" i="54" s="1"/>
  <c r="E323" i="54" s="1"/>
  <c r="D323" i="54" s="1"/>
  <c r="G323" i="54" s="1"/>
  <c r="F324" i="54" s="1"/>
  <c r="E324" i="54" s="1"/>
  <c r="D324" i="54" s="1"/>
  <c r="G324" i="54" s="1"/>
  <c r="F325" i="54" s="1"/>
  <c r="E325" i="54" s="1"/>
  <c r="D325" i="54" s="1"/>
  <c r="G325" i="54" s="1"/>
  <c r="F326" i="54" s="1"/>
  <c r="E326" i="54" s="1"/>
  <c r="D326" i="54" s="1"/>
  <c r="G326" i="54" s="1"/>
  <c r="F327" i="54" s="1"/>
  <c r="E327" i="54" s="1"/>
  <c r="D327" i="54" s="1"/>
  <c r="G327" i="54" s="1"/>
  <c r="F328" i="54" s="1"/>
  <c r="E328" i="54" s="1"/>
  <c r="D328" i="54" s="1"/>
  <c r="G328" i="54" s="1"/>
  <c r="F329" i="54" s="1"/>
  <c r="E329" i="54" s="1"/>
  <c r="D329" i="54" s="1"/>
  <c r="G329" i="54" s="1"/>
  <c r="F330" i="54" s="1"/>
  <c r="E330" i="54" s="1"/>
  <c r="D330" i="54" s="1"/>
  <c r="G330" i="54" s="1"/>
  <c r="F331" i="54" s="1"/>
  <c r="E331" i="54" s="1"/>
  <c r="D331" i="54" s="1"/>
  <c r="G331" i="54" s="1"/>
  <c r="F332" i="54" s="1"/>
  <c r="E332" i="54" s="1"/>
  <c r="D332" i="54" s="1"/>
  <c r="G332" i="54" s="1"/>
  <c r="F333" i="54" s="1"/>
  <c r="E333" i="54" s="1"/>
  <c r="D333" i="54" s="1"/>
  <c r="G333" i="54" s="1"/>
  <c r="F334" i="54" s="1"/>
  <c r="E334" i="54" s="1"/>
  <c r="D334" i="54" s="1"/>
  <c r="G334" i="54" s="1"/>
  <c r="F335" i="54" s="1"/>
  <c r="E335" i="54" s="1"/>
  <c r="D335" i="54" s="1"/>
  <c r="G335" i="54" s="1"/>
  <c r="F336" i="54" s="1"/>
  <c r="E336" i="54" s="1"/>
  <c r="D336" i="54" s="1"/>
  <c r="G336" i="54" s="1"/>
  <c r="F337" i="54" s="1"/>
  <c r="E337" i="54" s="1"/>
  <c r="D337" i="54" s="1"/>
  <c r="G337" i="54" s="1"/>
  <c r="F338" i="54" s="1"/>
  <c r="E338" i="54" s="1"/>
  <c r="D338" i="54" s="1"/>
  <c r="G338" i="54" s="1"/>
  <c r="F339" i="54" s="1"/>
  <c r="E339" i="54" s="1"/>
  <c r="D339" i="54" s="1"/>
  <c r="G339" i="54" s="1"/>
  <c r="F340" i="54" s="1"/>
  <c r="E340" i="54" s="1"/>
  <c r="D340" i="54" s="1"/>
  <c r="G340" i="54" s="1"/>
  <c r="F341" i="54" s="1"/>
  <c r="E341" i="54" s="1"/>
  <c r="D341" i="54" s="1"/>
  <c r="G341" i="54" s="1"/>
  <c r="F342" i="54" s="1"/>
  <c r="E342" i="54" s="1"/>
  <c r="D342" i="54" s="1"/>
  <c r="G342" i="54" s="1"/>
  <c r="F343" i="54" s="1"/>
  <c r="E343" i="54" s="1"/>
  <c r="D343" i="54" s="1"/>
  <c r="G343" i="54" s="1"/>
  <c r="F344" i="54" s="1"/>
  <c r="E344" i="54" s="1"/>
  <c r="D344" i="54" s="1"/>
  <c r="G344" i="54" s="1"/>
  <c r="F345" i="54" s="1"/>
  <c r="E345" i="54" s="1"/>
  <c r="D345" i="54" s="1"/>
  <c r="G345" i="54" s="1"/>
  <c r="F346" i="54" s="1"/>
  <c r="E346" i="54" s="1"/>
  <c r="D346" i="54" s="1"/>
  <c r="G346" i="54" s="1"/>
  <c r="F347" i="54" s="1"/>
  <c r="E347" i="54" s="1"/>
  <c r="D347" i="54" s="1"/>
  <c r="G347" i="54" s="1"/>
  <c r="F348" i="54" s="1"/>
  <c r="E348" i="54" s="1"/>
  <c r="D348" i="54" s="1"/>
  <c r="G348" i="54" s="1"/>
  <c r="F349" i="54" s="1"/>
  <c r="E349" i="54" s="1"/>
  <c r="D349" i="54" s="1"/>
  <c r="G349" i="54" s="1"/>
  <c r="F350" i="54" s="1"/>
  <c r="E350" i="54" s="1"/>
  <c r="D350" i="54" s="1"/>
  <c r="G350" i="54" s="1"/>
  <c r="F351" i="54" s="1"/>
  <c r="E351" i="54" s="1"/>
  <c r="D351" i="54" s="1"/>
  <c r="G351" i="54" s="1"/>
  <c r="F352" i="54" s="1"/>
  <c r="E352" i="54" s="1"/>
  <c r="D352" i="54" s="1"/>
  <c r="G352" i="54" s="1"/>
  <c r="F353" i="54" s="1"/>
  <c r="E353" i="54" s="1"/>
  <c r="D353" i="54" s="1"/>
  <c r="G353" i="54" s="1"/>
  <c r="F354" i="54" s="1"/>
  <c r="E354" i="54" s="1"/>
  <c r="D354" i="54" s="1"/>
  <c r="G354" i="54" s="1"/>
  <c r="F355" i="54" s="1"/>
  <c r="E355" i="54" s="1"/>
  <c r="D355" i="54" s="1"/>
  <c r="G355" i="54" s="1"/>
  <c r="F356" i="54" s="1"/>
  <c r="E356" i="54" s="1"/>
  <c r="D356" i="54" s="1"/>
  <c r="G356" i="54" s="1"/>
  <c r="F357" i="54" s="1"/>
  <c r="E357" i="54" s="1"/>
  <c r="D357" i="54" s="1"/>
  <c r="G357" i="54" s="1"/>
  <c r="F358" i="54" s="1"/>
  <c r="E358" i="54" s="1"/>
  <c r="D358" i="54" s="1"/>
  <c r="G358" i="54" s="1"/>
  <c r="F359" i="54" s="1"/>
  <c r="E359" i="54" s="1"/>
  <c r="D359" i="54" s="1"/>
  <c r="G359" i="54" s="1"/>
  <c r="F360" i="54" s="1"/>
  <c r="E360" i="54" s="1"/>
  <c r="D360" i="54" s="1"/>
  <c r="G360" i="54" s="1"/>
  <c r="F361" i="54" s="1"/>
  <c r="E361" i="54" s="1"/>
  <c r="D361" i="54" s="1"/>
  <c r="G361" i="54" s="1"/>
  <c r="F362" i="54" s="1"/>
  <c r="E362" i="54" s="1"/>
  <c r="D362" i="54" s="1"/>
  <c r="G362" i="54" s="1"/>
  <c r="F363" i="54" s="1"/>
  <c r="E363" i="54" s="1"/>
  <c r="D363" i="54" s="1"/>
  <c r="G363" i="54" s="1"/>
  <c r="F364" i="54" s="1"/>
  <c r="E364" i="54" s="1"/>
  <c r="D364" i="54" s="1"/>
  <c r="G364" i="54" s="1"/>
  <c r="F365" i="54" s="1"/>
  <c r="E365" i="54" s="1"/>
  <c r="D365" i="54" s="1"/>
  <c r="G365" i="54" s="1"/>
  <c r="F366" i="54" s="1"/>
  <c r="E366" i="54" s="1"/>
  <c r="D366" i="54" s="1"/>
  <c r="G366" i="54" s="1"/>
  <c r="F367" i="54" s="1"/>
  <c r="E367" i="54" s="1"/>
  <c r="D367" i="54" s="1"/>
  <c r="G367" i="54" s="1"/>
  <c r="F368" i="54" s="1"/>
  <c r="E368" i="54" s="1"/>
  <c r="D368" i="54" s="1"/>
  <c r="G368" i="54" s="1"/>
  <c r="F369" i="54" s="1"/>
  <c r="E369" i="54" s="1"/>
  <c r="D369" i="54" s="1"/>
  <c r="G369" i="54" s="1"/>
  <c r="F370" i="54" s="1"/>
  <c r="E370" i="54" s="1"/>
  <c r="D370" i="54" s="1"/>
  <c r="G370" i="54" s="1"/>
  <c r="F371" i="54" s="1"/>
  <c r="E371" i="54" s="1"/>
  <c r="D371" i="54" s="1"/>
  <c r="G371" i="54" s="1"/>
  <c r="F372" i="54" s="1"/>
  <c r="E372" i="54" s="1"/>
  <c r="D372" i="54" s="1"/>
  <c r="G372" i="54" s="1"/>
  <c r="F373" i="54" s="1"/>
  <c r="E373" i="54" s="1"/>
  <c r="D373" i="54" s="1"/>
  <c r="G373" i="54" s="1"/>
  <c r="F374" i="54" s="1"/>
  <c r="E374" i="54" s="1"/>
  <c r="D374" i="54" s="1"/>
  <c r="G374" i="54" s="1"/>
  <c r="F375" i="54" s="1"/>
  <c r="E375" i="54" s="1"/>
  <c r="D375" i="54" s="1"/>
  <c r="G375" i="54" s="1"/>
  <c r="F376" i="54" s="1"/>
  <c r="E376" i="54" s="1"/>
  <c r="D376" i="54" s="1"/>
  <c r="G376" i="54" s="1"/>
  <c r="F377" i="54" s="1"/>
  <c r="E377" i="54" s="1"/>
  <c r="D377" i="54" s="1"/>
  <c r="G377" i="54" s="1"/>
  <c r="F378" i="54" s="1"/>
  <c r="E378" i="54" s="1"/>
  <c r="D378" i="54" s="1"/>
  <c r="G378" i="54" s="1"/>
  <c r="F379" i="54" s="1"/>
  <c r="E379" i="54" s="1"/>
  <c r="D379" i="54" s="1"/>
  <c r="G379" i="54" s="1"/>
  <c r="F380" i="54" s="1"/>
  <c r="E380" i="54" s="1"/>
  <c r="D380" i="54" s="1"/>
  <c r="G380" i="54" s="1"/>
  <c r="F381" i="54" s="1"/>
  <c r="E381" i="54" s="1"/>
  <c r="D381" i="54" s="1"/>
  <c r="G381" i="54" s="1"/>
  <c r="F382" i="54" s="1"/>
  <c r="E382" i="54" s="1"/>
  <c r="D382" i="54" s="1"/>
  <c r="G382" i="54" s="1"/>
  <c r="F383" i="54" s="1"/>
  <c r="E383" i="54" s="1"/>
  <c r="D383" i="54" s="1"/>
  <c r="G383" i="54" s="1"/>
  <c r="F384" i="54" s="1"/>
  <c r="E384" i="54" s="1"/>
  <c r="D384" i="54" s="1"/>
  <c r="G384" i="54" s="1"/>
  <c r="F385" i="54" s="1"/>
  <c r="E385" i="54" s="1"/>
  <c r="D385" i="54" s="1"/>
  <c r="G385" i="54" s="1"/>
  <c r="F386" i="54" s="1"/>
  <c r="E386" i="54" s="1"/>
  <c r="D386" i="54" s="1"/>
  <c r="G386" i="54" s="1"/>
  <c r="F387" i="54" s="1"/>
  <c r="E387" i="54" s="1"/>
  <c r="D387" i="54" s="1"/>
  <c r="G387" i="54" s="1"/>
  <c r="F388" i="54" s="1"/>
  <c r="E388" i="54" s="1"/>
  <c r="D388" i="54" s="1"/>
  <c r="G388" i="54" s="1"/>
  <c r="F389" i="54" s="1"/>
  <c r="E389" i="54" s="1"/>
  <c r="D389" i="54" s="1"/>
  <c r="G389" i="54" s="1"/>
  <c r="F390" i="54" s="1"/>
  <c r="E390" i="54" s="1"/>
  <c r="D390" i="54" s="1"/>
  <c r="G390" i="54" s="1"/>
  <c r="F391" i="54" s="1"/>
  <c r="E391" i="54" s="1"/>
  <c r="D391" i="54" s="1"/>
  <c r="G391" i="54" s="1"/>
  <c r="F392" i="54" s="1"/>
  <c r="E392" i="54" s="1"/>
  <c r="D392" i="54" s="1"/>
  <c r="G392" i="54" s="1"/>
  <c r="F393" i="54" s="1"/>
  <c r="E393" i="54" s="1"/>
  <c r="D393" i="54" s="1"/>
  <c r="G393" i="54" s="1"/>
  <c r="F394" i="54" s="1"/>
  <c r="E394" i="54" s="1"/>
  <c r="D394" i="54" s="1"/>
  <c r="G394" i="54" s="1"/>
  <c r="F395" i="54" s="1"/>
  <c r="E395" i="54" s="1"/>
  <c r="D395" i="54" s="1"/>
  <c r="G395" i="54" s="1"/>
  <c r="F396" i="54" s="1"/>
  <c r="E396" i="54" s="1"/>
  <c r="D396" i="54" s="1"/>
  <c r="G396" i="54" s="1"/>
  <c r="F397" i="54" s="1"/>
  <c r="E397" i="54" s="1"/>
  <c r="D397" i="54" s="1"/>
  <c r="G397" i="54" s="1"/>
  <c r="F398" i="54" s="1"/>
  <c r="E398" i="54" s="1"/>
  <c r="D398" i="54" s="1"/>
  <c r="G398" i="54" s="1"/>
  <c r="F399" i="54" s="1"/>
  <c r="E399" i="54" s="1"/>
  <c r="D399" i="54" s="1"/>
  <c r="G399" i="54" s="1"/>
  <c r="F400" i="54" s="1"/>
  <c r="E400" i="54" s="1"/>
  <c r="D400" i="54" s="1"/>
  <c r="G400" i="54" s="1"/>
  <c r="F401" i="54" s="1"/>
  <c r="E401" i="54" s="1"/>
  <c r="D401" i="54" s="1"/>
  <c r="G401" i="54" s="1"/>
  <c r="F402" i="54" s="1"/>
  <c r="I14" i="54"/>
  <c r="H15" i="54"/>
  <c r="E15" i="54"/>
  <c r="D15" i="54" s="1"/>
  <c r="G15" i="54" s="1"/>
  <c r="F16" i="54" s="1"/>
  <c r="E13" i="52"/>
  <c r="D13" i="52" s="1"/>
  <c r="G13" i="52" s="1"/>
  <c r="F14" i="52" s="1"/>
  <c r="E14" i="51"/>
  <c r="D14" i="51" s="1"/>
  <c r="G14" i="51" s="1"/>
  <c r="F15" i="51" s="1"/>
  <c r="E13" i="49"/>
  <c r="D13" i="49" s="1"/>
  <c r="G13" i="49" s="1"/>
  <c r="F14" i="49" s="1"/>
  <c r="E13" i="48"/>
  <c r="D13" i="48" s="1"/>
  <c r="G13" i="48" s="1"/>
  <c r="F14" i="48" s="1"/>
  <c r="E402" i="54" l="1"/>
  <c r="D402" i="54" s="1"/>
  <c r="G402" i="54" s="1"/>
  <c r="F403" i="54" s="1"/>
  <c r="E403" i="54" s="1"/>
  <c r="D403" i="54" s="1"/>
  <c r="G403" i="54" s="1"/>
  <c r="F404" i="54" s="1"/>
  <c r="E404" i="54" s="1"/>
  <c r="D404" i="54" s="1"/>
  <c r="G404" i="54" s="1"/>
  <c r="F405" i="54" s="1"/>
  <c r="E405" i="54" s="1"/>
  <c r="D405" i="54" s="1"/>
  <c r="G405" i="54" s="1"/>
  <c r="F406" i="54" s="1"/>
  <c r="E406" i="54" s="1"/>
  <c r="D406" i="54" s="1"/>
  <c r="G406" i="54" s="1"/>
  <c r="F407" i="54" s="1"/>
  <c r="E407" i="54" s="1"/>
  <c r="D407" i="54" s="1"/>
  <c r="G407" i="54" s="1"/>
  <c r="F408" i="54" s="1"/>
  <c r="E408" i="54" s="1"/>
  <c r="D408" i="54" s="1"/>
  <c r="G408" i="54" s="1"/>
  <c r="F409" i="54" s="1"/>
  <c r="E409" i="54" s="1"/>
  <c r="D409" i="54" s="1"/>
  <c r="G409" i="54" s="1"/>
  <c r="F410" i="54" s="1"/>
  <c r="E410" i="54" s="1"/>
  <c r="D410" i="54" s="1"/>
  <c r="G410" i="54" s="1"/>
  <c r="F411" i="54" s="1"/>
  <c r="E411" i="54" s="1"/>
  <c r="D411" i="54" s="1"/>
  <c r="G411" i="54" s="1"/>
  <c r="F412" i="54" s="1"/>
  <c r="E412" i="54" s="1"/>
  <c r="D412" i="54" s="1"/>
  <c r="G412" i="54" s="1"/>
  <c r="F413" i="54" s="1"/>
  <c r="E413" i="54" s="1"/>
  <c r="D413" i="54" s="1"/>
  <c r="G413" i="54" s="1"/>
  <c r="F414" i="54" s="1"/>
  <c r="E414" i="54" s="1"/>
  <c r="D414" i="54" s="1"/>
  <c r="G414" i="54" s="1"/>
  <c r="F415" i="54" s="1"/>
  <c r="E415" i="54" s="1"/>
  <c r="D415" i="54" s="1"/>
  <c r="G415" i="54" s="1"/>
  <c r="F416" i="54" s="1"/>
  <c r="E416" i="54" s="1"/>
  <c r="D416" i="54" s="1"/>
  <c r="G416" i="54" s="1"/>
  <c r="F417" i="54" s="1"/>
  <c r="E417" i="54" s="1"/>
  <c r="D417" i="54" s="1"/>
  <c r="G417" i="54" s="1"/>
  <c r="F418" i="54" s="1"/>
  <c r="E418" i="54" s="1"/>
  <c r="D418" i="54" s="1"/>
  <c r="G418" i="54" s="1"/>
  <c r="F419" i="54" s="1"/>
  <c r="E419" i="54" s="1"/>
  <c r="D419" i="54" s="1"/>
  <c r="G419" i="54" s="1"/>
  <c r="F420" i="54" s="1"/>
  <c r="E420" i="54" s="1"/>
  <c r="D420" i="54" s="1"/>
  <c r="G420" i="54" s="1"/>
  <c r="F421" i="54" s="1"/>
  <c r="E421" i="54" s="1"/>
  <c r="D421" i="54" s="1"/>
  <c r="G421" i="54" s="1"/>
  <c r="F422" i="54" s="1"/>
  <c r="E422" i="54" s="1"/>
  <c r="D422" i="54" s="1"/>
  <c r="G422" i="54" s="1"/>
  <c r="F423" i="54" s="1"/>
  <c r="E423" i="54" s="1"/>
  <c r="D423" i="54" s="1"/>
  <c r="G423" i="54" s="1"/>
  <c r="F424" i="54" s="1"/>
  <c r="E424" i="54" s="1"/>
  <c r="D424" i="54" s="1"/>
  <c r="G424" i="54" s="1"/>
  <c r="F425" i="54" s="1"/>
  <c r="E425" i="54" s="1"/>
  <c r="D425" i="54" s="1"/>
  <c r="G425" i="54" s="1"/>
  <c r="F426" i="54" s="1"/>
  <c r="E426" i="54" s="1"/>
  <c r="D426" i="54" s="1"/>
  <c r="G426" i="54" s="1"/>
  <c r="F427" i="54" s="1"/>
  <c r="E427" i="54" s="1"/>
  <c r="D427" i="54" s="1"/>
  <c r="G427" i="54" s="1"/>
  <c r="F428" i="54" s="1"/>
  <c r="E428" i="54" s="1"/>
  <c r="D428" i="54" s="1"/>
  <c r="G428" i="54" s="1"/>
  <c r="F429" i="54" s="1"/>
  <c r="E429" i="54" s="1"/>
  <c r="D429" i="54" s="1"/>
  <c r="G429" i="54" s="1"/>
  <c r="F430" i="54" s="1"/>
  <c r="E430" i="54" s="1"/>
  <c r="D430" i="54" s="1"/>
  <c r="G430" i="54" s="1"/>
  <c r="F431" i="54" s="1"/>
  <c r="E431" i="54" s="1"/>
  <c r="D431" i="54" s="1"/>
  <c r="G431" i="54" s="1"/>
  <c r="F432" i="54" s="1"/>
  <c r="I15" i="54"/>
  <c r="E16" i="54"/>
  <c r="D16" i="54" s="1"/>
  <c r="G16" i="54" s="1"/>
  <c r="F17" i="54" s="1"/>
  <c r="H16" i="54"/>
  <c r="E15" i="51"/>
  <c r="D15" i="51" s="1"/>
  <c r="G15" i="51" s="1"/>
  <c r="E14" i="52"/>
  <c r="D14" i="52" s="1"/>
  <c r="G14" i="52" s="1"/>
  <c r="F15" i="52" s="1"/>
  <c r="E14" i="48"/>
  <c r="D14" i="48" s="1"/>
  <c r="G14" i="48" s="1"/>
  <c r="F15" i="48" s="1"/>
  <c r="E14" i="49"/>
  <c r="D14" i="49" s="1"/>
  <c r="G14" i="49" s="1"/>
  <c r="F15" i="49" s="1"/>
  <c r="E432" i="54" l="1"/>
  <c r="D432" i="54" s="1"/>
  <c r="G432" i="54" s="1"/>
  <c r="F433" i="54" s="1"/>
  <c r="E433" i="54" s="1"/>
  <c r="D433" i="54" s="1"/>
  <c r="G433" i="54" s="1"/>
  <c r="F434" i="54" s="1"/>
  <c r="E434" i="54" s="1"/>
  <c r="D434" i="54" s="1"/>
  <c r="G434" i="54" s="1"/>
  <c r="F435" i="54" s="1"/>
  <c r="E435" i="54" s="1"/>
  <c r="D435" i="54" s="1"/>
  <c r="G435" i="54" s="1"/>
  <c r="F436" i="54" s="1"/>
  <c r="E436" i="54" s="1"/>
  <c r="D436" i="54" s="1"/>
  <c r="G436" i="54" s="1"/>
  <c r="F437" i="54" s="1"/>
  <c r="E437" i="54" s="1"/>
  <c r="D437" i="54" s="1"/>
  <c r="G437" i="54" s="1"/>
  <c r="F438" i="54" s="1"/>
  <c r="E438" i="54" s="1"/>
  <c r="D438" i="54" s="1"/>
  <c r="G438" i="54" s="1"/>
  <c r="F439" i="54" s="1"/>
  <c r="E439" i="54" s="1"/>
  <c r="D439" i="54" s="1"/>
  <c r="G439" i="54" s="1"/>
  <c r="F440" i="54" s="1"/>
  <c r="E440" i="54" s="1"/>
  <c r="D440" i="54" s="1"/>
  <c r="G440" i="54" s="1"/>
  <c r="F441" i="54" s="1"/>
  <c r="E441" i="54" s="1"/>
  <c r="D441" i="54" s="1"/>
  <c r="G441" i="54" s="1"/>
  <c r="F442" i="54" s="1"/>
  <c r="E442" i="54" s="1"/>
  <c r="D442" i="54" s="1"/>
  <c r="G442" i="54" s="1"/>
  <c r="F443" i="54" s="1"/>
  <c r="E443" i="54" s="1"/>
  <c r="D443" i="54" s="1"/>
  <c r="G443" i="54" s="1"/>
  <c r="F444" i="54" s="1"/>
  <c r="E444" i="54" s="1"/>
  <c r="D444" i="54" s="1"/>
  <c r="G444" i="54" s="1"/>
  <c r="F445" i="54" s="1"/>
  <c r="E445" i="54" s="1"/>
  <c r="D445" i="54" s="1"/>
  <c r="G445" i="54" s="1"/>
  <c r="F446" i="54" s="1"/>
  <c r="E446" i="54" s="1"/>
  <c r="D446" i="54" s="1"/>
  <c r="G446" i="54" s="1"/>
  <c r="F447" i="54" s="1"/>
  <c r="E447" i="54" s="1"/>
  <c r="D447" i="54" s="1"/>
  <c r="G447" i="54" s="1"/>
  <c r="F448" i="54" s="1"/>
  <c r="E448" i="54" s="1"/>
  <c r="D448" i="54" s="1"/>
  <c r="G448" i="54" s="1"/>
  <c r="F449" i="54" s="1"/>
  <c r="E449" i="54" s="1"/>
  <c r="D449" i="54" s="1"/>
  <c r="G449" i="54" s="1"/>
  <c r="F450" i="54" s="1"/>
  <c r="E450" i="54" s="1"/>
  <c r="D450" i="54" s="1"/>
  <c r="G450" i="54" s="1"/>
  <c r="F451" i="54" s="1"/>
  <c r="E451" i="54" s="1"/>
  <c r="D451" i="54" s="1"/>
  <c r="G451" i="54" s="1"/>
  <c r="F452" i="54" s="1"/>
  <c r="E452" i="54" s="1"/>
  <c r="D452" i="54" s="1"/>
  <c r="G452" i="54" s="1"/>
  <c r="F453" i="54" s="1"/>
  <c r="E453" i="54" s="1"/>
  <c r="D453" i="54" s="1"/>
  <c r="G453" i="54" s="1"/>
  <c r="F454" i="54" s="1"/>
  <c r="E454" i="54" s="1"/>
  <c r="D454" i="54" s="1"/>
  <c r="G454" i="54" s="1"/>
  <c r="F455" i="54" s="1"/>
  <c r="E455" i="54" s="1"/>
  <c r="D455" i="54" s="1"/>
  <c r="G455" i="54" s="1"/>
  <c r="F456" i="54" s="1"/>
  <c r="E456" i="54" s="1"/>
  <c r="D456" i="54" s="1"/>
  <c r="G456" i="54" s="1"/>
  <c r="F457" i="54" s="1"/>
  <c r="E457" i="54" s="1"/>
  <c r="D457" i="54" s="1"/>
  <c r="G457" i="54" s="1"/>
  <c r="F458" i="54" s="1"/>
  <c r="E458" i="54" s="1"/>
  <c r="D458" i="54" s="1"/>
  <c r="G458" i="54" s="1"/>
  <c r="F459" i="54" s="1"/>
  <c r="E459" i="54" s="1"/>
  <c r="D459" i="54" s="1"/>
  <c r="G459" i="54" s="1"/>
  <c r="F460" i="54" s="1"/>
  <c r="E460" i="54" s="1"/>
  <c r="D460" i="54" s="1"/>
  <c r="G460" i="54" s="1"/>
  <c r="F461" i="54" s="1"/>
  <c r="E461" i="54" s="1"/>
  <c r="D461" i="54" s="1"/>
  <c r="G461" i="54" s="1"/>
  <c r="F462" i="54" s="1"/>
  <c r="E462" i="54" s="1"/>
  <c r="D462" i="54" s="1"/>
  <c r="G462" i="54" s="1"/>
  <c r="F463" i="54" s="1"/>
  <c r="E463" i="54" s="1"/>
  <c r="D463" i="54" s="1"/>
  <c r="G463" i="54" s="1"/>
  <c r="F464" i="54" s="1"/>
  <c r="E464" i="54" s="1"/>
  <c r="D464" i="54" s="1"/>
  <c r="G464" i="54" s="1"/>
  <c r="F465" i="54" s="1"/>
  <c r="E465" i="54" s="1"/>
  <c r="D465" i="54" s="1"/>
  <c r="G465" i="54" s="1"/>
  <c r="F466" i="54" s="1"/>
  <c r="E466" i="54" s="1"/>
  <c r="D466" i="54" s="1"/>
  <c r="G466" i="54" s="1"/>
  <c r="F467" i="54" s="1"/>
  <c r="E467" i="54" s="1"/>
  <c r="D467" i="54" s="1"/>
  <c r="G467" i="54" s="1"/>
  <c r="F468" i="54" s="1"/>
  <c r="E468" i="54" s="1"/>
  <c r="D468" i="54" s="1"/>
  <c r="G468" i="54" s="1"/>
  <c r="F469" i="54" s="1"/>
  <c r="E469" i="54" s="1"/>
  <c r="D469" i="54" s="1"/>
  <c r="G469" i="54" s="1"/>
  <c r="F470" i="54" s="1"/>
  <c r="E470" i="54" s="1"/>
  <c r="D470" i="54" s="1"/>
  <c r="G470" i="54" s="1"/>
  <c r="F471" i="54" s="1"/>
  <c r="E471" i="54" s="1"/>
  <c r="D471" i="54" s="1"/>
  <c r="G471" i="54" s="1"/>
  <c r="F472" i="54" s="1"/>
  <c r="E472" i="54" s="1"/>
  <c r="D472" i="54" s="1"/>
  <c r="G472" i="54" s="1"/>
  <c r="F473" i="54" s="1"/>
  <c r="E473" i="54" s="1"/>
  <c r="D473" i="54" s="1"/>
  <c r="G473" i="54" s="1"/>
  <c r="F474" i="54" s="1"/>
  <c r="E474" i="54" s="1"/>
  <c r="D474" i="54" s="1"/>
  <c r="G474" i="54" s="1"/>
  <c r="F475" i="54" s="1"/>
  <c r="E475" i="54" s="1"/>
  <c r="D475" i="54" s="1"/>
  <c r="G475" i="54" s="1"/>
  <c r="F476" i="54" s="1"/>
  <c r="H17" i="54"/>
  <c r="E17" i="54"/>
  <c r="D17" i="54" s="1"/>
  <c r="G17" i="54" s="1"/>
  <c r="F18" i="54" s="1"/>
  <c r="I16" i="54"/>
  <c r="F16" i="51"/>
  <c r="F40" i="51"/>
  <c r="E15" i="52"/>
  <c r="D15" i="52" s="1"/>
  <c r="G15" i="52" s="1"/>
  <c r="E15" i="49"/>
  <c r="D15" i="49" s="1"/>
  <c r="G15" i="49" s="1"/>
  <c r="E15" i="48"/>
  <c r="D15" i="48" s="1"/>
  <c r="G15" i="48" s="1"/>
  <c r="D51" i="49"/>
  <c r="E476" i="54" l="1"/>
  <c r="D476" i="54" s="1"/>
  <c r="G476" i="54" s="1"/>
  <c r="F477" i="54" s="1"/>
  <c r="E477" i="54" s="1"/>
  <c r="D477" i="54" s="1"/>
  <c r="G477" i="54" s="1"/>
  <c r="F478" i="54" s="1"/>
  <c r="E478" i="54" s="1"/>
  <c r="D478" i="54" s="1"/>
  <c r="G478" i="54" s="1"/>
  <c r="F479" i="54" s="1"/>
  <c r="E479" i="54" s="1"/>
  <c r="D479" i="54" s="1"/>
  <c r="G479" i="54" s="1"/>
  <c r="F480" i="54" s="1"/>
  <c r="E480" i="54" s="1"/>
  <c r="D480" i="54" s="1"/>
  <c r="G480" i="54" s="1"/>
  <c r="F481" i="54" s="1"/>
  <c r="E481" i="54" s="1"/>
  <c r="D481" i="54" s="1"/>
  <c r="G481" i="54" s="1"/>
  <c r="F482" i="54" s="1"/>
  <c r="E482" i="54" s="1"/>
  <c r="D482" i="54" s="1"/>
  <c r="G482" i="54" s="1"/>
  <c r="F483" i="54" s="1"/>
  <c r="E483" i="54" s="1"/>
  <c r="D483" i="54" s="1"/>
  <c r="G483" i="54" s="1"/>
  <c r="F484" i="54" s="1"/>
  <c r="E484" i="54" s="1"/>
  <c r="D484" i="54" s="1"/>
  <c r="G484" i="54" s="1"/>
  <c r="F485" i="54" s="1"/>
  <c r="G485" i="54" s="1"/>
  <c r="E18" i="54"/>
  <c r="D18" i="54" s="1"/>
  <c r="G18" i="54" s="1"/>
  <c r="F19" i="54" s="1"/>
  <c r="H18" i="54"/>
  <c r="I17" i="54"/>
  <c r="F16" i="52"/>
  <c r="F40" i="52"/>
  <c r="E16" i="51"/>
  <c r="D16" i="51" s="1"/>
  <c r="G16" i="51" s="1"/>
  <c r="F17" i="51" s="1"/>
  <c r="E40" i="51"/>
  <c r="D40" i="51" s="1"/>
  <c r="G40" i="51" s="1"/>
  <c r="F41" i="51" s="1"/>
  <c r="F16" i="49"/>
  <c r="E40" i="49" s="1"/>
  <c r="D40" i="49" s="1"/>
  <c r="G40" i="49" s="1"/>
  <c r="F41" i="49" s="1"/>
  <c r="F40" i="49"/>
  <c r="F16" i="48"/>
  <c r="E40" i="48" s="1"/>
  <c r="D40" i="48" s="1"/>
  <c r="F40" i="48"/>
  <c r="E16" i="48"/>
  <c r="D16" i="48" s="1"/>
  <c r="G16" i="48" s="1"/>
  <c r="F17" i="48" s="1"/>
  <c r="E16" i="49"/>
  <c r="D16" i="49" s="1"/>
  <c r="G16" i="49" s="1"/>
  <c r="F17" i="49" s="1"/>
  <c r="I18" i="54" l="1"/>
  <c r="E19" i="54"/>
  <c r="D19" i="54" s="1"/>
  <c r="G19" i="54" s="1"/>
  <c r="F20" i="54" s="1"/>
  <c r="H19" i="54"/>
  <c r="E41" i="51"/>
  <c r="D41" i="51" s="1"/>
  <c r="G41" i="51" s="1"/>
  <c r="F42" i="51" s="1"/>
  <c r="E17" i="51"/>
  <c r="D17" i="51" s="1"/>
  <c r="G17" i="51" s="1"/>
  <c r="F18" i="51" s="1"/>
  <c r="E16" i="52"/>
  <c r="D16" i="52" s="1"/>
  <c r="G16" i="52" s="1"/>
  <c r="F17" i="52" s="1"/>
  <c r="E40" i="52"/>
  <c r="D40" i="52" s="1"/>
  <c r="G40" i="52" s="1"/>
  <c r="F41" i="52" s="1"/>
  <c r="E41" i="49"/>
  <c r="D41" i="49" s="1"/>
  <c r="G41" i="49" s="1"/>
  <c r="F42" i="49" s="1"/>
  <c r="E42" i="49" s="1"/>
  <c r="D42" i="49" s="1"/>
  <c r="G42" i="49" s="1"/>
  <c r="F43" i="49" s="1"/>
  <c r="E43" i="49" s="1"/>
  <c r="D43" i="49" s="1"/>
  <c r="G43" i="49" s="1"/>
  <c r="F44" i="49" s="1"/>
  <c r="E44" i="49" s="1"/>
  <c r="D44" i="49" s="1"/>
  <c r="G44" i="49" s="1"/>
  <c r="F45" i="49" s="1"/>
  <c r="E45" i="49" s="1"/>
  <c r="D45" i="49" s="1"/>
  <c r="G45" i="49" s="1"/>
  <c r="F46" i="49" s="1"/>
  <c r="E46" i="49" s="1"/>
  <c r="D46" i="49" s="1"/>
  <c r="G46" i="49" s="1"/>
  <c r="F47" i="49" s="1"/>
  <c r="E47" i="49" s="1"/>
  <c r="D47" i="49" s="1"/>
  <c r="G47" i="49" s="1"/>
  <c r="F48" i="49" s="1"/>
  <c r="E48" i="49" s="1"/>
  <c r="D48" i="49" s="1"/>
  <c r="G48" i="49" s="1"/>
  <c r="F49" i="49" s="1"/>
  <c r="E49" i="49" s="1"/>
  <c r="D49" i="49" s="1"/>
  <c r="G49" i="49" s="1"/>
  <c r="F50" i="49" s="1"/>
  <c r="E50" i="49" s="1"/>
  <c r="D50" i="49" s="1"/>
  <c r="G50" i="49" s="1"/>
  <c r="F51" i="49" s="1"/>
  <c r="G51" i="49" s="1"/>
  <c r="G40" i="48"/>
  <c r="F41" i="48" s="1"/>
  <c r="E41" i="48" s="1"/>
  <c r="D41" i="48" s="1"/>
  <c r="G41" i="48" s="1"/>
  <c r="F42" i="48" s="1"/>
  <c r="E42" i="48" s="1"/>
  <c r="D42" i="48" s="1"/>
  <c r="G42" i="48" s="1"/>
  <c r="F43" i="48" s="1"/>
  <c r="E43" i="48" s="1"/>
  <c r="D43" i="48" s="1"/>
  <c r="G43" i="48" s="1"/>
  <c r="F44" i="48" s="1"/>
  <c r="E44" i="48" s="1"/>
  <c r="D44" i="48" s="1"/>
  <c r="G44" i="48" s="1"/>
  <c r="F45" i="48" s="1"/>
  <c r="E45" i="48" s="1"/>
  <c r="D45" i="48" s="1"/>
  <c r="G45" i="48" s="1"/>
  <c r="F46" i="48" s="1"/>
  <c r="E46" i="48" s="1"/>
  <c r="D46" i="48" s="1"/>
  <c r="G46" i="48" s="1"/>
  <c r="F47" i="48" s="1"/>
  <c r="E47" i="48" s="1"/>
  <c r="D47" i="48" s="1"/>
  <c r="G47" i="48" s="1"/>
  <c r="F48" i="48" s="1"/>
  <c r="E48" i="48" s="1"/>
  <c r="D48" i="48" s="1"/>
  <c r="G48" i="48" s="1"/>
  <c r="F49" i="48" s="1"/>
  <c r="E49" i="48" s="1"/>
  <c r="D49" i="48" s="1"/>
  <c r="G49" i="48" s="1"/>
  <c r="F50" i="48" s="1"/>
  <c r="E50" i="48" s="1"/>
  <c r="D50" i="48" s="1"/>
  <c r="G50" i="48" s="1"/>
  <c r="F51" i="48" s="1"/>
  <c r="D51" i="48" s="1"/>
  <c r="G51" i="48" s="1"/>
  <c r="E17" i="48"/>
  <c r="D17" i="48" s="1"/>
  <c r="G17" i="48" s="1"/>
  <c r="F18" i="48" s="1"/>
  <c r="E17" i="49"/>
  <c r="D17" i="49" s="1"/>
  <c r="G17" i="49" s="1"/>
  <c r="F18" i="49" s="1"/>
  <c r="I19" i="54" l="1"/>
  <c r="E20" i="54"/>
  <c r="D20" i="54" s="1"/>
  <c r="G20" i="54" s="1"/>
  <c r="F21" i="54" s="1"/>
  <c r="H20" i="54"/>
  <c r="E42" i="51"/>
  <c r="D42" i="51" s="1"/>
  <c r="G42" i="51" s="1"/>
  <c r="F43" i="51" s="1"/>
  <c r="E41" i="52"/>
  <c r="D41" i="52" s="1"/>
  <c r="G41" i="52" s="1"/>
  <c r="F42" i="52" s="1"/>
  <c r="E18" i="51"/>
  <c r="D18" i="51" s="1"/>
  <c r="G18" i="51" s="1"/>
  <c r="F19" i="51" s="1"/>
  <c r="E17" i="52"/>
  <c r="D17" i="52" s="1"/>
  <c r="G17" i="52" s="1"/>
  <c r="F18" i="52" s="1"/>
  <c r="E18" i="48"/>
  <c r="D18" i="48" s="1"/>
  <c r="G18" i="48" s="1"/>
  <c r="F19" i="48" s="1"/>
  <c r="E18" i="49"/>
  <c r="D18" i="49" s="1"/>
  <c r="G18" i="49" s="1"/>
  <c r="F19" i="49" s="1"/>
  <c r="I20" i="54" l="1"/>
  <c r="H21" i="54"/>
  <c r="E21" i="54"/>
  <c r="D21" i="54" s="1"/>
  <c r="G21" i="54" s="1"/>
  <c r="F22" i="54" s="1"/>
  <c r="E19" i="51"/>
  <c r="D19" i="51" s="1"/>
  <c r="G19" i="51" s="1"/>
  <c r="F20" i="51" s="1"/>
  <c r="E43" i="51"/>
  <c r="D43" i="51" s="1"/>
  <c r="G43" i="51" s="1"/>
  <c r="F44" i="51" s="1"/>
  <c r="E42" i="52"/>
  <c r="D42" i="52" s="1"/>
  <c r="G42" i="52" s="1"/>
  <c r="F43" i="52" s="1"/>
  <c r="E18" i="52"/>
  <c r="D18" i="52" s="1"/>
  <c r="G18" i="52" s="1"/>
  <c r="F19" i="52" s="1"/>
  <c r="E19" i="48"/>
  <c r="D19" i="48" s="1"/>
  <c r="G19" i="48" s="1"/>
  <c r="F20" i="48" s="1"/>
  <c r="E19" i="49"/>
  <c r="D19" i="49" s="1"/>
  <c r="G19" i="49" s="1"/>
  <c r="F20" i="49" s="1"/>
  <c r="H22" i="54" l="1"/>
  <c r="E22" i="54"/>
  <c r="D22" i="54" s="1"/>
  <c r="G22" i="54" s="1"/>
  <c r="F23" i="54" s="1"/>
  <c r="I21" i="54"/>
  <c r="E19" i="52"/>
  <c r="D19" i="52" s="1"/>
  <c r="G19" i="52" s="1"/>
  <c r="F20" i="52" s="1"/>
  <c r="E43" i="52"/>
  <c r="D43" i="52" s="1"/>
  <c r="G43" i="52" s="1"/>
  <c r="F44" i="52" s="1"/>
  <c r="E20" i="51"/>
  <c r="D20" i="51" s="1"/>
  <c r="G20" i="51" s="1"/>
  <c r="F21" i="51" s="1"/>
  <c r="E44" i="51"/>
  <c r="D44" i="51" s="1"/>
  <c r="G44" i="51" s="1"/>
  <c r="F45" i="51" s="1"/>
  <c r="E20" i="48"/>
  <c r="D20" i="48" s="1"/>
  <c r="G20" i="48" s="1"/>
  <c r="F21" i="48" s="1"/>
  <c r="E20" i="49"/>
  <c r="D20" i="49" s="1"/>
  <c r="G20" i="49" s="1"/>
  <c r="F21" i="49" s="1"/>
  <c r="E23" i="54" l="1"/>
  <c r="D23" i="54" s="1"/>
  <c r="G23" i="54" s="1"/>
  <c r="F24" i="54" s="1"/>
  <c r="H23" i="54"/>
  <c r="I23" i="54" s="1"/>
  <c r="I22" i="54"/>
  <c r="E21" i="51"/>
  <c r="D21" i="51" s="1"/>
  <c r="G21" i="51" s="1"/>
  <c r="F22" i="51" s="1"/>
  <c r="E20" i="52"/>
  <c r="D20" i="52" s="1"/>
  <c r="G20" i="52" s="1"/>
  <c r="F21" i="52" s="1"/>
  <c r="E44" i="52"/>
  <c r="D44" i="52" s="1"/>
  <c r="G44" i="52" s="1"/>
  <c r="F45" i="52" s="1"/>
  <c r="E45" i="51"/>
  <c r="D45" i="51" s="1"/>
  <c r="G45" i="51" s="1"/>
  <c r="F46" i="51" s="1"/>
  <c r="E21" i="48"/>
  <c r="D21" i="48" s="1"/>
  <c r="G21" i="48" s="1"/>
  <c r="F22" i="48" s="1"/>
  <c r="E21" i="49"/>
  <c r="D21" i="49" s="1"/>
  <c r="G21" i="49" s="1"/>
  <c r="F22" i="49" s="1"/>
  <c r="H24" i="54" l="1"/>
  <c r="E24" i="54"/>
  <c r="D24" i="54" s="1"/>
  <c r="G24" i="54" s="1"/>
  <c r="F25" i="54" s="1"/>
  <c r="E22" i="51"/>
  <c r="D22" i="51" s="1"/>
  <c r="G22" i="51" s="1"/>
  <c r="F23" i="51" s="1"/>
  <c r="E46" i="51"/>
  <c r="D46" i="51" s="1"/>
  <c r="G46" i="51" s="1"/>
  <c r="F47" i="51" s="1"/>
  <c r="E45" i="52"/>
  <c r="D45" i="52" s="1"/>
  <c r="G45" i="52" s="1"/>
  <c r="F46" i="52" s="1"/>
  <c r="E21" i="52"/>
  <c r="D21" i="52" s="1"/>
  <c r="G21" i="52" s="1"/>
  <c r="F22" i="52" s="1"/>
  <c r="E22" i="49"/>
  <c r="D22" i="49" s="1"/>
  <c r="G22" i="49" s="1"/>
  <c r="F23" i="49" s="1"/>
  <c r="E22" i="48"/>
  <c r="D22" i="48" s="1"/>
  <c r="G22" i="48" s="1"/>
  <c r="F23" i="48" s="1"/>
  <c r="H25" i="54" l="1"/>
  <c r="E25" i="54"/>
  <c r="D25" i="54" s="1"/>
  <c r="G25" i="54" s="1"/>
  <c r="F26" i="54" s="1"/>
  <c r="I24" i="54"/>
  <c r="E23" i="51"/>
  <c r="D23" i="51" s="1"/>
  <c r="G23" i="51" s="1"/>
  <c r="F24" i="51" s="1"/>
  <c r="E22" i="52"/>
  <c r="D22" i="52" s="1"/>
  <c r="G22" i="52" s="1"/>
  <c r="F23" i="52" s="1"/>
  <c r="E46" i="52"/>
  <c r="D46" i="52" s="1"/>
  <c r="G46" i="52" s="1"/>
  <c r="F47" i="52" s="1"/>
  <c r="E47" i="51"/>
  <c r="D47" i="51" s="1"/>
  <c r="G47" i="51" s="1"/>
  <c r="F48" i="51" s="1"/>
  <c r="E23" i="48"/>
  <c r="D23" i="48" s="1"/>
  <c r="G23" i="48" s="1"/>
  <c r="F24" i="48" s="1"/>
  <c r="E23" i="49"/>
  <c r="D23" i="49" s="1"/>
  <c r="G23" i="49" s="1"/>
  <c r="F24" i="49" s="1"/>
  <c r="E26" i="54" l="1"/>
  <c r="D26" i="54" s="1"/>
  <c r="H26" i="54"/>
  <c r="I26" i="54" s="1"/>
  <c r="G26" i="54"/>
  <c r="F27" i="54" s="1"/>
  <c r="I25" i="54"/>
  <c r="E24" i="51"/>
  <c r="D24" i="51" s="1"/>
  <c r="G24" i="51" s="1"/>
  <c r="F25" i="51" s="1"/>
  <c r="E48" i="51"/>
  <c r="D48" i="51" s="1"/>
  <c r="G48" i="51" s="1"/>
  <c r="F49" i="51" s="1"/>
  <c r="E47" i="52"/>
  <c r="D47" i="52" s="1"/>
  <c r="G47" i="52" s="1"/>
  <c r="F48" i="52" s="1"/>
  <c r="E23" i="52"/>
  <c r="D23" i="52" s="1"/>
  <c r="G23" i="52" s="1"/>
  <c r="F24" i="52" s="1"/>
  <c r="E24" i="49"/>
  <c r="D24" i="49" s="1"/>
  <c r="G24" i="49" s="1"/>
  <c r="F25" i="49" s="1"/>
  <c r="E24" i="48"/>
  <c r="D24" i="48" s="1"/>
  <c r="G24" i="48" s="1"/>
  <c r="F25" i="48" s="1"/>
  <c r="H27" i="54" l="1"/>
  <c r="E27" i="54"/>
  <c r="D27" i="54" s="1"/>
  <c r="G27" i="54" s="1"/>
  <c r="F28" i="54" s="1"/>
  <c r="E25" i="51"/>
  <c r="D25" i="51" s="1"/>
  <c r="G25" i="51" s="1"/>
  <c r="F26" i="51" s="1"/>
  <c r="E24" i="52"/>
  <c r="D24" i="52" s="1"/>
  <c r="G24" i="52" s="1"/>
  <c r="F25" i="52" s="1"/>
  <c r="E48" i="52"/>
  <c r="D48" i="52" s="1"/>
  <c r="G48" i="52" s="1"/>
  <c r="F49" i="52" s="1"/>
  <c r="E49" i="51"/>
  <c r="D49" i="51" s="1"/>
  <c r="G49" i="51" s="1"/>
  <c r="F50" i="51" s="1"/>
  <c r="E25" i="48"/>
  <c r="D25" i="48" s="1"/>
  <c r="G25" i="48" s="1"/>
  <c r="F26" i="48" s="1"/>
  <c r="E25" i="49"/>
  <c r="D25" i="49" s="1"/>
  <c r="G25" i="49" s="1"/>
  <c r="F26" i="49" s="1"/>
  <c r="E28" i="54" l="1"/>
  <c r="D28" i="54" s="1"/>
  <c r="G28" i="54" s="1"/>
  <c r="F29" i="54" s="1"/>
  <c r="H28" i="54"/>
  <c r="I28" i="54" s="1"/>
  <c r="I27" i="54"/>
  <c r="E26" i="51"/>
  <c r="D26" i="51" s="1"/>
  <c r="G26" i="51" s="1"/>
  <c r="F27" i="51" s="1"/>
  <c r="E25" i="52"/>
  <c r="D25" i="52" s="1"/>
  <c r="G25" i="52" s="1"/>
  <c r="F26" i="52" s="1"/>
  <c r="E49" i="52"/>
  <c r="D49" i="52" s="1"/>
  <c r="G49" i="52" s="1"/>
  <c r="F50" i="52" s="1"/>
  <c r="E50" i="51"/>
  <c r="D50" i="51" s="1"/>
  <c r="G50" i="51" s="1"/>
  <c r="F51" i="51" s="1"/>
  <c r="E26" i="49"/>
  <c r="D26" i="49" s="1"/>
  <c r="G26" i="49" s="1"/>
  <c r="F27" i="49" s="1"/>
  <c r="E26" i="48"/>
  <c r="D26" i="48" s="1"/>
  <c r="G26" i="48" s="1"/>
  <c r="F27" i="48" s="1"/>
  <c r="E29" i="54" l="1"/>
  <c r="D29" i="54" s="1"/>
  <c r="G29" i="54" s="1"/>
  <c r="F30" i="54" s="1"/>
  <c r="H29" i="54"/>
  <c r="I29" i="54" s="1"/>
  <c r="E51" i="51"/>
  <c r="D51" i="51" s="1"/>
  <c r="G51" i="51" s="1"/>
  <c r="F52" i="51" s="1"/>
  <c r="E52" i="51" s="1"/>
  <c r="D52" i="51" s="1"/>
  <c r="G52" i="51" s="1"/>
  <c r="F53" i="51" s="1"/>
  <c r="E27" i="51"/>
  <c r="D27" i="51" s="1"/>
  <c r="G27" i="51" s="1"/>
  <c r="F28" i="51" s="1"/>
  <c r="E50" i="52"/>
  <c r="D50" i="52" s="1"/>
  <c r="G50" i="52" s="1"/>
  <c r="F51" i="52" s="1"/>
  <c r="E51" i="52" s="1"/>
  <c r="D51" i="52" s="1"/>
  <c r="G51" i="52" s="1"/>
  <c r="F52" i="52" s="1"/>
  <c r="E52" i="52" s="1"/>
  <c r="D52" i="52" s="1"/>
  <c r="G52" i="52" s="1"/>
  <c r="F53" i="52" s="1"/>
  <c r="E53" i="52" s="1"/>
  <c r="D53" i="52" s="1"/>
  <c r="G53" i="52" s="1"/>
  <c r="F54" i="52" s="1"/>
  <c r="E54" i="52" s="1"/>
  <c r="D54" i="52" s="1"/>
  <c r="G54" i="52" s="1"/>
  <c r="F55" i="52" s="1"/>
  <c r="E55" i="52" s="1"/>
  <c r="D55" i="52" s="1"/>
  <c r="G55" i="52" s="1"/>
  <c r="F56" i="52" s="1"/>
  <c r="E56" i="52" s="1"/>
  <c r="D56" i="52" s="1"/>
  <c r="G56" i="52" s="1"/>
  <c r="F57" i="52" s="1"/>
  <c r="E57" i="52" s="1"/>
  <c r="D57" i="52" s="1"/>
  <c r="G57" i="52" s="1"/>
  <c r="F58" i="52" s="1"/>
  <c r="E58" i="52" s="1"/>
  <c r="D58" i="52" s="1"/>
  <c r="G58" i="52" s="1"/>
  <c r="F59" i="52" s="1"/>
  <c r="E59" i="52" s="1"/>
  <c r="D59" i="52" s="1"/>
  <c r="G59" i="52" s="1"/>
  <c r="F60" i="52" s="1"/>
  <c r="E60" i="52" s="1"/>
  <c r="D60" i="52" s="1"/>
  <c r="G60" i="52" s="1"/>
  <c r="F61" i="52" s="1"/>
  <c r="E61" i="52" s="1"/>
  <c r="D61" i="52" s="1"/>
  <c r="G61" i="52" s="1"/>
  <c r="F62" i="52" s="1"/>
  <c r="E62" i="52" s="1"/>
  <c r="D62" i="52" s="1"/>
  <c r="G62" i="52" s="1"/>
  <c r="F63" i="52" s="1"/>
  <c r="E63" i="52" s="1"/>
  <c r="D63" i="52" s="1"/>
  <c r="G63" i="52" s="1"/>
  <c r="F64" i="52" s="1"/>
  <c r="E64" i="52" s="1"/>
  <c r="D64" i="52" s="1"/>
  <c r="G64" i="52" s="1"/>
  <c r="F65" i="52" s="1"/>
  <c r="E65" i="52" s="1"/>
  <c r="D65" i="52" s="1"/>
  <c r="G65" i="52" s="1"/>
  <c r="F66" i="52" s="1"/>
  <c r="E66" i="52" s="1"/>
  <c r="D66" i="52" s="1"/>
  <c r="G66" i="52" s="1"/>
  <c r="F67" i="52" s="1"/>
  <c r="D67" i="52" s="1"/>
  <c r="G67" i="52" s="1"/>
  <c r="E26" i="52"/>
  <c r="D26" i="52" s="1"/>
  <c r="G26" i="52" s="1"/>
  <c r="F27" i="52" s="1"/>
  <c r="E27" i="48"/>
  <c r="D27" i="48" s="1"/>
  <c r="G27" i="48" s="1"/>
  <c r="F28" i="48" s="1"/>
  <c r="E27" i="49"/>
  <c r="D27" i="49" s="1"/>
  <c r="G27" i="49" s="1"/>
  <c r="F28" i="49" s="1"/>
  <c r="H30" i="54" l="1"/>
  <c r="E30" i="54"/>
  <c r="D30" i="54" s="1"/>
  <c r="G30" i="54" s="1"/>
  <c r="F31" i="54" s="1"/>
  <c r="E53" i="51"/>
  <c r="D53" i="51" s="1"/>
  <c r="G53" i="51" s="1"/>
  <c r="F54" i="51" s="1"/>
  <c r="E28" i="51"/>
  <c r="D28" i="51" s="1"/>
  <c r="G28" i="51" s="1"/>
  <c r="F29" i="51" s="1"/>
  <c r="E27" i="52"/>
  <c r="D27" i="52" s="1"/>
  <c r="G27" i="52" s="1"/>
  <c r="F28" i="52" s="1"/>
  <c r="E28" i="48"/>
  <c r="D28" i="48" s="1"/>
  <c r="G28" i="48" s="1"/>
  <c r="F29" i="48" s="1"/>
  <c r="E28" i="49"/>
  <c r="D28" i="49" s="1"/>
  <c r="G28" i="49" s="1"/>
  <c r="F29" i="49" s="1"/>
  <c r="E31" i="54" l="1"/>
  <c r="D31" i="54" s="1"/>
  <c r="H31" i="54"/>
  <c r="I31" i="54" s="1"/>
  <c r="G31" i="54"/>
  <c r="F32" i="54" s="1"/>
  <c r="I30" i="54"/>
  <c r="E54" i="51"/>
  <c r="D54" i="51" s="1"/>
  <c r="G54" i="51" s="1"/>
  <c r="F55" i="51" s="1"/>
  <c r="E28" i="52"/>
  <c r="D28" i="52" s="1"/>
  <c r="G28" i="52" s="1"/>
  <c r="F29" i="52" s="1"/>
  <c r="E29" i="51"/>
  <c r="D29" i="51" s="1"/>
  <c r="G29" i="51" s="1"/>
  <c r="F30" i="51" s="1"/>
  <c r="E29" i="48"/>
  <c r="D29" i="48" s="1"/>
  <c r="G29" i="48" s="1"/>
  <c r="F30" i="48" s="1"/>
  <c r="E29" i="49"/>
  <c r="D29" i="49" s="1"/>
  <c r="G29" i="49" s="1"/>
  <c r="F30" i="49" s="1"/>
  <c r="E32" i="54" l="1"/>
  <c r="D32" i="54" s="1"/>
  <c r="H32" i="54"/>
  <c r="I32" i="54" s="1"/>
  <c r="G32" i="54"/>
  <c r="F33" i="54" s="1"/>
  <c r="E55" i="51"/>
  <c r="D55" i="51" s="1"/>
  <c r="G55" i="51" s="1"/>
  <c r="F56" i="51" s="1"/>
  <c r="E30" i="51"/>
  <c r="D30" i="51" s="1"/>
  <c r="G30" i="51" s="1"/>
  <c r="F31" i="51" s="1"/>
  <c r="E29" i="52"/>
  <c r="D29" i="52" s="1"/>
  <c r="G29" i="52" s="1"/>
  <c r="F30" i="52" s="1"/>
  <c r="E30" i="48"/>
  <c r="D30" i="48" s="1"/>
  <c r="G30" i="48" s="1"/>
  <c r="F31" i="48" s="1"/>
  <c r="E30" i="49"/>
  <c r="D30" i="49" s="1"/>
  <c r="G30" i="49" s="1"/>
  <c r="F31" i="49" s="1"/>
  <c r="E33" i="54" l="1"/>
  <c r="D33" i="54" s="1"/>
  <c r="G33" i="54" s="1"/>
  <c r="F34" i="54" s="1"/>
  <c r="H33" i="54"/>
  <c r="E56" i="51"/>
  <c r="D56" i="51" s="1"/>
  <c r="G56" i="51" s="1"/>
  <c r="F57" i="51" s="1"/>
  <c r="E31" i="51"/>
  <c r="D31" i="51" s="1"/>
  <c r="G31" i="51" s="1"/>
  <c r="F32" i="51" s="1"/>
  <c r="E30" i="52"/>
  <c r="D30" i="52" s="1"/>
  <c r="G30" i="52" s="1"/>
  <c r="F31" i="52" s="1"/>
  <c r="E31" i="48"/>
  <c r="D31" i="48" s="1"/>
  <c r="G31" i="48" s="1"/>
  <c r="F32" i="48" s="1"/>
  <c r="E31" i="49"/>
  <c r="D31" i="49" s="1"/>
  <c r="G31" i="49" s="1"/>
  <c r="F32" i="49" s="1"/>
  <c r="H34" i="54" l="1"/>
  <c r="E34" i="54"/>
  <c r="D34" i="54" s="1"/>
  <c r="G34" i="54" s="1"/>
  <c r="F35" i="54" s="1"/>
  <c r="I33" i="54"/>
  <c r="E57" i="51"/>
  <c r="D57" i="51" s="1"/>
  <c r="G57" i="51" s="1"/>
  <c r="F58" i="51" s="1"/>
  <c r="E32" i="51"/>
  <c r="D32" i="51" s="1"/>
  <c r="G32" i="51" s="1"/>
  <c r="F33" i="51" s="1"/>
  <c r="E31" i="52"/>
  <c r="D31" i="52" s="1"/>
  <c r="G31" i="52" s="1"/>
  <c r="F32" i="52" s="1"/>
  <c r="E32" i="48"/>
  <c r="D32" i="48" s="1"/>
  <c r="G32" i="48" s="1"/>
  <c r="F33" i="48" s="1"/>
  <c r="E32" i="49"/>
  <c r="D32" i="49" s="1"/>
  <c r="G32" i="49" s="1"/>
  <c r="F33" i="49" s="1"/>
  <c r="H35" i="54" l="1"/>
  <c r="E35" i="54"/>
  <c r="D35" i="54" s="1"/>
  <c r="G35" i="54" s="1"/>
  <c r="F36" i="54" s="1"/>
  <c r="I34" i="54"/>
  <c r="E58" i="51"/>
  <c r="D58" i="51" s="1"/>
  <c r="G58" i="51" s="1"/>
  <c r="F59" i="51" s="1"/>
  <c r="E32" i="52"/>
  <c r="D32" i="52" s="1"/>
  <c r="G32" i="52" s="1"/>
  <c r="F33" i="52" s="1"/>
  <c r="E33" i="51"/>
  <c r="D33" i="51" s="1"/>
  <c r="G33" i="51" s="1"/>
  <c r="F34" i="51" s="1"/>
  <c r="E33" i="48"/>
  <c r="D33" i="48" s="1"/>
  <c r="G33" i="48" s="1"/>
  <c r="F34" i="48" s="1"/>
  <c r="E33" i="49"/>
  <c r="D33" i="49" s="1"/>
  <c r="G33" i="49" s="1"/>
  <c r="F34" i="49" s="1"/>
  <c r="H36" i="54" l="1"/>
  <c r="E36" i="54"/>
  <c r="D36" i="54" s="1"/>
  <c r="G36" i="54" s="1"/>
  <c r="F37" i="54" s="1"/>
  <c r="I35" i="54"/>
  <c r="E59" i="51"/>
  <c r="D59" i="51" s="1"/>
  <c r="G59" i="51" s="1"/>
  <c r="F60" i="51" s="1"/>
  <c r="E34" i="51"/>
  <c r="D34" i="51" s="1"/>
  <c r="G34" i="51" s="1"/>
  <c r="F35" i="51" s="1"/>
  <c r="E33" i="52"/>
  <c r="D33" i="52" s="1"/>
  <c r="G33" i="52" s="1"/>
  <c r="F34" i="52" s="1"/>
  <c r="E34" i="48"/>
  <c r="D34" i="48" s="1"/>
  <c r="G34" i="48" s="1"/>
  <c r="F35" i="48" s="1"/>
  <c r="E34" i="49"/>
  <c r="D34" i="49" s="1"/>
  <c r="G34" i="49" s="1"/>
  <c r="F35" i="49" s="1"/>
  <c r="E37" i="54" l="1"/>
  <c r="D37" i="54" s="1"/>
  <c r="G37" i="54" s="1"/>
  <c r="F38" i="54" s="1"/>
  <c r="H37" i="54"/>
  <c r="I37" i="54" s="1"/>
  <c r="I36" i="54"/>
  <c r="G60" i="51"/>
  <c r="F61" i="51" s="1"/>
  <c r="E60" i="51"/>
  <c r="D60" i="51" s="1"/>
  <c r="E34" i="52"/>
  <c r="D34" i="52" s="1"/>
  <c r="G34" i="52" s="1"/>
  <c r="F35" i="52" s="1"/>
  <c r="E35" i="51"/>
  <c r="D35" i="51" s="1"/>
  <c r="G35" i="51" s="1"/>
  <c r="F36" i="51" s="1"/>
  <c r="E35" i="49"/>
  <c r="D35" i="49" s="1"/>
  <c r="G35" i="49" s="1"/>
  <c r="F36" i="49" s="1"/>
  <c r="E35" i="48"/>
  <c r="D35" i="48" s="1"/>
  <c r="G35" i="48" s="1"/>
  <c r="F36" i="48" s="1"/>
  <c r="H38" i="54" l="1"/>
  <c r="E38" i="54"/>
  <c r="D38" i="54" s="1"/>
  <c r="G38" i="54" s="1"/>
  <c r="F39" i="54" s="1"/>
  <c r="E61" i="51"/>
  <c r="D61" i="51" s="1"/>
  <c r="G61" i="51" s="1"/>
  <c r="F62" i="51" s="1"/>
  <c r="E36" i="51"/>
  <c r="D36" i="51" s="1"/>
  <c r="G36" i="51" s="1"/>
  <c r="F37" i="51" s="1"/>
  <c r="E35" i="52"/>
  <c r="D35" i="52" s="1"/>
  <c r="G35" i="52" s="1"/>
  <c r="F36" i="52" s="1"/>
  <c r="E36" i="49"/>
  <c r="D36" i="49" s="1"/>
  <c r="G36" i="49" s="1"/>
  <c r="F37" i="49" s="1"/>
  <c r="E36" i="48"/>
  <c r="D36" i="48" s="1"/>
  <c r="G36" i="48" s="1"/>
  <c r="F37" i="48" s="1"/>
  <c r="E39" i="54" l="1"/>
  <c r="D39" i="54" s="1"/>
  <c r="G39" i="54" s="1"/>
  <c r="F40" i="54" s="1"/>
  <c r="H39" i="54"/>
  <c r="I39" i="54" s="1"/>
  <c r="I38" i="54"/>
  <c r="E62" i="51"/>
  <c r="D62" i="51" s="1"/>
  <c r="G62" i="51" s="1"/>
  <c r="F63" i="51" s="1"/>
  <c r="E37" i="51"/>
  <c r="D37" i="51" s="1"/>
  <c r="G37" i="51" s="1"/>
  <c r="F38" i="51" s="1"/>
  <c r="E36" i="52"/>
  <c r="D36" i="52" s="1"/>
  <c r="G36" i="52" s="1"/>
  <c r="F37" i="52" s="1"/>
  <c r="E37" i="49"/>
  <c r="D37" i="49" s="1"/>
  <c r="G37" i="49" s="1"/>
  <c r="F38" i="49" s="1"/>
  <c r="E37" i="48"/>
  <c r="D37" i="48" s="1"/>
  <c r="G37" i="48" s="1"/>
  <c r="F38" i="48" s="1"/>
  <c r="H40" i="54" l="1"/>
  <c r="E40" i="54"/>
  <c r="D40" i="54" s="1"/>
  <c r="G40" i="54" s="1"/>
  <c r="F41" i="54" s="1"/>
  <c r="E63" i="51"/>
  <c r="D63" i="51" s="1"/>
  <c r="G63" i="51" s="1"/>
  <c r="F64" i="51" s="1"/>
  <c r="E37" i="52"/>
  <c r="D37" i="52" s="1"/>
  <c r="G37" i="52" s="1"/>
  <c r="F38" i="52" s="1"/>
  <c r="E38" i="51"/>
  <c r="D38" i="51" s="1"/>
  <c r="G38" i="51" s="1"/>
  <c r="F39" i="51" s="1"/>
  <c r="G39" i="51" s="1"/>
  <c r="E38" i="49"/>
  <c r="D38" i="49" s="1"/>
  <c r="G38" i="49" s="1"/>
  <c r="F39" i="49" s="1"/>
  <c r="G39" i="49" s="1"/>
  <c r="E38" i="48"/>
  <c r="D38" i="48" s="1"/>
  <c r="G38" i="48" s="1"/>
  <c r="F39" i="48" s="1"/>
  <c r="G39" i="48" s="1"/>
  <c r="H41" i="54" l="1"/>
  <c r="E41" i="54"/>
  <c r="D41" i="54" s="1"/>
  <c r="G41" i="54" s="1"/>
  <c r="F42" i="54" s="1"/>
  <c r="I40" i="54"/>
  <c r="E64" i="51"/>
  <c r="D64" i="51" s="1"/>
  <c r="G64" i="51" s="1"/>
  <c r="F65" i="51" s="1"/>
  <c r="E38" i="52"/>
  <c r="D38" i="52" s="1"/>
  <c r="G38" i="52" s="1"/>
  <c r="F39" i="52" s="1"/>
  <c r="G39" i="52" s="1"/>
  <c r="H42" i="54" l="1"/>
  <c r="E42" i="54"/>
  <c r="D42" i="54" s="1"/>
  <c r="G42" i="54" s="1"/>
  <c r="F43" i="54" s="1"/>
  <c r="I41" i="54"/>
  <c r="E65" i="51"/>
  <c r="D65" i="51" s="1"/>
  <c r="G65" i="51" s="1"/>
  <c r="F66" i="51" s="1"/>
  <c r="E43" i="54" l="1"/>
  <c r="D43" i="54" s="1"/>
  <c r="H43" i="54"/>
  <c r="I43" i="54" s="1"/>
  <c r="G43" i="54"/>
  <c r="F44" i="54" s="1"/>
  <c r="I42" i="54"/>
  <c r="E66" i="51"/>
  <c r="D66" i="51" s="1"/>
  <c r="G66" i="51" s="1"/>
  <c r="F67" i="51" s="1"/>
  <c r="H44" i="54" l="1"/>
  <c r="E44" i="54"/>
  <c r="D44" i="54" s="1"/>
  <c r="G44" i="54" s="1"/>
  <c r="F45" i="54" s="1"/>
  <c r="D67" i="51"/>
  <c r="G67" i="51" s="1"/>
  <c r="H45" i="54" l="1"/>
  <c r="E45" i="54"/>
  <c r="D45" i="54" s="1"/>
  <c r="G45" i="54" s="1"/>
  <c r="F46" i="54" s="1"/>
  <c r="I44" i="54"/>
  <c r="C75" i="46"/>
  <c r="D75" i="46" s="1"/>
  <c r="B75" i="46"/>
  <c r="C74" i="46"/>
  <c r="B74" i="46"/>
  <c r="C73" i="46"/>
  <c r="B73" i="46"/>
  <c r="C72" i="46"/>
  <c r="B72" i="46"/>
  <c r="C71" i="46"/>
  <c r="B71" i="46"/>
  <c r="C70" i="46"/>
  <c r="B70" i="46"/>
  <c r="C69" i="46"/>
  <c r="B69" i="46"/>
  <c r="C68" i="46"/>
  <c r="B68" i="46"/>
  <c r="C67" i="46"/>
  <c r="B67" i="46"/>
  <c r="C66" i="46"/>
  <c r="B66" i="46"/>
  <c r="C65" i="46"/>
  <c r="B65" i="46"/>
  <c r="C64" i="46"/>
  <c r="B64" i="46"/>
  <c r="C63" i="46"/>
  <c r="B63" i="46"/>
  <c r="C62" i="46"/>
  <c r="B62" i="46"/>
  <c r="C61" i="46"/>
  <c r="B61" i="46"/>
  <c r="C60" i="46"/>
  <c r="B60" i="46"/>
  <c r="C59" i="46"/>
  <c r="B59" i="46"/>
  <c r="C58" i="46"/>
  <c r="B58" i="46"/>
  <c r="C57" i="46"/>
  <c r="B57" i="46"/>
  <c r="C56" i="46"/>
  <c r="B56" i="46"/>
  <c r="C55" i="46"/>
  <c r="B55" i="46"/>
  <c r="C54" i="46"/>
  <c r="B54" i="46"/>
  <c r="C53" i="46"/>
  <c r="B53" i="46"/>
  <c r="C52" i="46"/>
  <c r="B52" i="46"/>
  <c r="C51" i="46"/>
  <c r="B51" i="46"/>
  <c r="C50" i="46"/>
  <c r="B50" i="46"/>
  <c r="C49" i="46"/>
  <c r="B49" i="46"/>
  <c r="C48" i="46"/>
  <c r="B48" i="46"/>
  <c r="C47" i="46"/>
  <c r="B47" i="46"/>
  <c r="C46" i="46"/>
  <c r="B46" i="46"/>
  <c r="C45" i="46"/>
  <c r="B45" i="46"/>
  <c r="C44" i="46"/>
  <c r="B44" i="46"/>
  <c r="C43" i="46"/>
  <c r="B43" i="46"/>
  <c r="C42" i="46"/>
  <c r="B42" i="46"/>
  <c r="C41" i="46"/>
  <c r="B41" i="46"/>
  <c r="F40" i="46"/>
  <c r="B40" i="46"/>
  <c r="C39" i="46"/>
  <c r="D39" i="46" s="1"/>
  <c r="B39" i="46"/>
  <c r="C38" i="46"/>
  <c r="B38" i="46"/>
  <c r="C37" i="46"/>
  <c r="B37" i="46"/>
  <c r="C36" i="46"/>
  <c r="B36" i="46"/>
  <c r="C35" i="46"/>
  <c r="B35" i="46"/>
  <c r="C34" i="46"/>
  <c r="B34" i="46"/>
  <c r="C33" i="46"/>
  <c r="B33" i="46"/>
  <c r="C32" i="46"/>
  <c r="B32" i="46"/>
  <c r="C31" i="46"/>
  <c r="B31" i="46"/>
  <c r="C30" i="46"/>
  <c r="B30" i="46"/>
  <c r="C29" i="46"/>
  <c r="B29" i="46"/>
  <c r="C28" i="46"/>
  <c r="B28" i="46"/>
  <c r="C27" i="46"/>
  <c r="B27" i="46"/>
  <c r="C26" i="46"/>
  <c r="B26" i="46"/>
  <c r="C25" i="46"/>
  <c r="B25" i="46"/>
  <c r="C24" i="46"/>
  <c r="B24" i="46"/>
  <c r="C23" i="46"/>
  <c r="B23" i="46"/>
  <c r="C22" i="46"/>
  <c r="B22" i="46"/>
  <c r="C21" i="46"/>
  <c r="B21" i="46"/>
  <c r="C20" i="46"/>
  <c r="B20" i="46"/>
  <c r="C19" i="46"/>
  <c r="B19" i="46"/>
  <c r="C18" i="46"/>
  <c r="B18" i="46"/>
  <c r="C17" i="46"/>
  <c r="B17" i="46"/>
  <c r="C16" i="46"/>
  <c r="B16" i="46"/>
  <c r="C15" i="46"/>
  <c r="B15" i="46"/>
  <c r="C14" i="46"/>
  <c r="B14" i="46"/>
  <c r="C13" i="46"/>
  <c r="B13" i="46"/>
  <c r="C12" i="46"/>
  <c r="B12" i="46"/>
  <c r="C11" i="46"/>
  <c r="B11" i="46"/>
  <c r="C10" i="46"/>
  <c r="B10" i="46"/>
  <c r="C9" i="46"/>
  <c r="B9" i="46"/>
  <c r="C8" i="46"/>
  <c r="B8" i="46"/>
  <c r="C7" i="46"/>
  <c r="B7" i="46"/>
  <c r="C6" i="46"/>
  <c r="B6" i="46"/>
  <c r="C5" i="46"/>
  <c r="B5" i="46"/>
  <c r="C4" i="46"/>
  <c r="B4" i="46"/>
  <c r="E4" i="46" s="1"/>
  <c r="D4" i="46" s="1"/>
  <c r="G4" i="46" s="1"/>
  <c r="F5" i="46" s="1"/>
  <c r="D1" i="46"/>
  <c r="C40" i="46" s="1"/>
  <c r="B75" i="45"/>
  <c r="B74" i="45"/>
  <c r="B73" i="45"/>
  <c r="B72" i="45"/>
  <c r="B71" i="45"/>
  <c r="B70" i="45"/>
  <c r="B69" i="45"/>
  <c r="B68" i="45"/>
  <c r="B67" i="45"/>
  <c r="B66" i="45"/>
  <c r="B65" i="45"/>
  <c r="B64" i="45"/>
  <c r="B63" i="45"/>
  <c r="B62" i="45"/>
  <c r="B61" i="45"/>
  <c r="B60" i="45"/>
  <c r="B59" i="45"/>
  <c r="B58" i="45"/>
  <c r="B57" i="45"/>
  <c r="B56" i="45"/>
  <c r="B55" i="45"/>
  <c r="B54" i="45"/>
  <c r="B53" i="45"/>
  <c r="B52" i="45"/>
  <c r="B51" i="45"/>
  <c r="B50" i="45"/>
  <c r="B49" i="45"/>
  <c r="B48" i="45"/>
  <c r="B47" i="45"/>
  <c r="B46" i="45"/>
  <c r="B45" i="45"/>
  <c r="B44" i="45"/>
  <c r="B43" i="45"/>
  <c r="B42" i="45"/>
  <c r="B41" i="45"/>
  <c r="F40" i="45"/>
  <c r="B40" i="45"/>
  <c r="B39" i="45"/>
  <c r="B38" i="45"/>
  <c r="B37" i="45"/>
  <c r="B36" i="45"/>
  <c r="B35" i="45"/>
  <c r="B34" i="45"/>
  <c r="B33" i="45"/>
  <c r="B32" i="45"/>
  <c r="B31" i="45"/>
  <c r="B30" i="45"/>
  <c r="B29" i="45"/>
  <c r="B28" i="45"/>
  <c r="B27" i="45"/>
  <c r="B26" i="45"/>
  <c r="B25" i="45"/>
  <c r="B24" i="45"/>
  <c r="B23" i="45"/>
  <c r="B22" i="45"/>
  <c r="B21" i="45"/>
  <c r="B20" i="45"/>
  <c r="B19" i="45"/>
  <c r="B18" i="45"/>
  <c r="B17" i="45"/>
  <c r="B16" i="45"/>
  <c r="B15" i="45"/>
  <c r="B14" i="45"/>
  <c r="B13" i="45"/>
  <c r="B12" i="45"/>
  <c r="B11" i="45"/>
  <c r="B10" i="45"/>
  <c r="B9" i="45"/>
  <c r="B8" i="45"/>
  <c r="B7" i="45"/>
  <c r="B6" i="45"/>
  <c r="B5" i="45"/>
  <c r="B4" i="45"/>
  <c r="F1" i="45"/>
  <c r="D1" i="45"/>
  <c r="C23" i="45" s="1"/>
  <c r="B42" i="44"/>
  <c r="B43" i="44"/>
  <c r="B44" i="44"/>
  <c r="B45" i="44"/>
  <c r="B46" i="44"/>
  <c r="B47" i="44"/>
  <c r="B48" i="44"/>
  <c r="B49" i="44"/>
  <c r="B50" i="44"/>
  <c r="B51" i="44"/>
  <c r="B52" i="44"/>
  <c r="B53" i="44"/>
  <c r="B54" i="44"/>
  <c r="B55" i="44"/>
  <c r="B56" i="44"/>
  <c r="B57" i="44"/>
  <c r="B58" i="44"/>
  <c r="B59" i="44"/>
  <c r="B60" i="44"/>
  <c r="B61" i="44"/>
  <c r="B62" i="44"/>
  <c r="B63" i="44"/>
  <c r="B64" i="44"/>
  <c r="B65" i="44"/>
  <c r="B66" i="44"/>
  <c r="B67" i="44"/>
  <c r="B68" i="44"/>
  <c r="B69" i="44"/>
  <c r="B70" i="44"/>
  <c r="B71" i="44"/>
  <c r="B72" i="44"/>
  <c r="B73" i="44"/>
  <c r="B74" i="44"/>
  <c r="B75" i="44"/>
  <c r="B41" i="44"/>
  <c r="B40" i="44"/>
  <c r="E40" i="44"/>
  <c r="C75" i="44"/>
  <c r="C74" i="44"/>
  <c r="C73" i="44"/>
  <c r="C72" i="44"/>
  <c r="C71" i="44"/>
  <c r="C70" i="44"/>
  <c r="C69" i="44"/>
  <c r="C68" i="44"/>
  <c r="C67" i="44"/>
  <c r="C66" i="44"/>
  <c r="C65" i="44"/>
  <c r="C64" i="44"/>
  <c r="C63" i="44"/>
  <c r="C62" i="44"/>
  <c r="C61" i="44"/>
  <c r="C60" i="44"/>
  <c r="C59" i="44"/>
  <c r="C58" i="44"/>
  <c r="C57" i="44"/>
  <c r="C56" i="44"/>
  <c r="C55" i="44"/>
  <c r="C54" i="44"/>
  <c r="C53" i="44"/>
  <c r="C52" i="44"/>
  <c r="C51" i="44"/>
  <c r="C50" i="44"/>
  <c r="C49" i="44"/>
  <c r="C48" i="44"/>
  <c r="C47" i="44"/>
  <c r="C46" i="44"/>
  <c r="C45" i="44"/>
  <c r="C44" i="44"/>
  <c r="C43" i="44"/>
  <c r="C42" i="44"/>
  <c r="C41" i="44"/>
  <c r="F40" i="44"/>
  <c r="B39" i="44"/>
  <c r="B38" i="44"/>
  <c r="B37" i="44"/>
  <c r="B36" i="44"/>
  <c r="C35" i="44"/>
  <c r="B35" i="44"/>
  <c r="B34" i="44"/>
  <c r="B33" i="44"/>
  <c r="B32" i="44"/>
  <c r="B31" i="44"/>
  <c r="B30" i="44"/>
  <c r="B29" i="44"/>
  <c r="B28" i="44"/>
  <c r="B27" i="44"/>
  <c r="B26" i="44"/>
  <c r="B25" i="44"/>
  <c r="C24" i="44"/>
  <c r="B24" i="44"/>
  <c r="B23" i="44"/>
  <c r="B22" i="44"/>
  <c r="B21" i="44"/>
  <c r="B20" i="44"/>
  <c r="C19" i="44"/>
  <c r="B19" i="44"/>
  <c r="B18" i="44"/>
  <c r="B17" i="44"/>
  <c r="B16" i="44"/>
  <c r="B15" i="44"/>
  <c r="B14" i="44"/>
  <c r="B13" i="44"/>
  <c r="B12" i="44"/>
  <c r="B11" i="44"/>
  <c r="B10" i="44"/>
  <c r="B9" i="44"/>
  <c r="C8" i="44"/>
  <c r="B8" i="44"/>
  <c r="B7" i="44"/>
  <c r="B6" i="44"/>
  <c r="B5" i="44"/>
  <c r="B4" i="44"/>
  <c r="E4" i="44" s="1"/>
  <c r="D1" i="44"/>
  <c r="C38" i="44" s="1"/>
  <c r="F40" i="43"/>
  <c r="E40" i="43"/>
  <c r="B60" i="43"/>
  <c r="B61" i="43"/>
  <c r="B62" i="43"/>
  <c r="B63" i="43"/>
  <c r="B64" i="43"/>
  <c r="B65" i="43"/>
  <c r="B66" i="43"/>
  <c r="B67" i="43"/>
  <c r="B68" i="43"/>
  <c r="B69" i="43"/>
  <c r="B70" i="43"/>
  <c r="B71" i="43"/>
  <c r="B72" i="43"/>
  <c r="B73" i="43"/>
  <c r="B74" i="43"/>
  <c r="B75" i="43"/>
  <c r="C60" i="43"/>
  <c r="C65" i="43"/>
  <c r="C66" i="43"/>
  <c r="C67" i="43"/>
  <c r="C68" i="43"/>
  <c r="C73" i="43"/>
  <c r="C74" i="43"/>
  <c r="C75" i="43"/>
  <c r="C42" i="43"/>
  <c r="C47" i="43"/>
  <c r="C48" i="43"/>
  <c r="C49" i="43"/>
  <c r="C50" i="43"/>
  <c r="C55" i="43"/>
  <c r="C56" i="43"/>
  <c r="C57" i="43"/>
  <c r="C58" i="43"/>
  <c r="B40" i="43"/>
  <c r="F1" i="43"/>
  <c r="C61" i="43" s="1"/>
  <c r="D1" i="43"/>
  <c r="C38" i="43" s="1"/>
  <c r="B59" i="43"/>
  <c r="B58" i="43"/>
  <c r="B57" i="43"/>
  <c r="B56" i="43"/>
  <c r="B55" i="43"/>
  <c r="B54" i="43"/>
  <c r="B53" i="43"/>
  <c r="B52" i="43"/>
  <c r="B51" i="43"/>
  <c r="B50" i="43"/>
  <c r="B49" i="43"/>
  <c r="B48" i="43"/>
  <c r="B47" i="43"/>
  <c r="B46" i="43"/>
  <c r="B45" i="43"/>
  <c r="B44" i="43"/>
  <c r="B43" i="43"/>
  <c r="B42" i="43"/>
  <c r="B41" i="43"/>
  <c r="B39" i="43"/>
  <c r="B38" i="43"/>
  <c r="B37" i="43"/>
  <c r="B36" i="43"/>
  <c r="B35" i="43"/>
  <c r="B34" i="43"/>
  <c r="B33" i="43"/>
  <c r="B32" i="43"/>
  <c r="B31" i="43"/>
  <c r="B30" i="43"/>
  <c r="B29" i="43"/>
  <c r="B28" i="43"/>
  <c r="B27" i="43"/>
  <c r="B26" i="43"/>
  <c r="B25" i="43"/>
  <c r="B24" i="43"/>
  <c r="B23" i="43"/>
  <c r="B22" i="43"/>
  <c r="B21" i="43"/>
  <c r="B20" i="43"/>
  <c r="B19" i="43"/>
  <c r="B18" i="43"/>
  <c r="B17" i="43"/>
  <c r="B16" i="43"/>
  <c r="B15" i="43"/>
  <c r="B14" i="43"/>
  <c r="B13" i="43"/>
  <c r="B12" i="43"/>
  <c r="B11" i="43"/>
  <c r="B10" i="43"/>
  <c r="B9" i="43"/>
  <c r="B8" i="43"/>
  <c r="B7" i="43"/>
  <c r="B6" i="43"/>
  <c r="B5" i="43"/>
  <c r="B4" i="43"/>
  <c r="E4" i="43" s="1"/>
  <c r="H46" i="54" l="1"/>
  <c r="E46" i="54"/>
  <c r="D46" i="54" s="1"/>
  <c r="G46" i="54" s="1"/>
  <c r="F47" i="54" s="1"/>
  <c r="I45" i="54"/>
  <c r="E5" i="46"/>
  <c r="C8" i="45"/>
  <c r="C11" i="45"/>
  <c r="C16" i="45"/>
  <c r="C19" i="45"/>
  <c r="C21" i="45"/>
  <c r="C25" i="45"/>
  <c r="C6" i="45"/>
  <c r="C14" i="45"/>
  <c r="C5" i="45"/>
  <c r="C13" i="45"/>
  <c r="D5" i="46"/>
  <c r="G5" i="46" s="1"/>
  <c r="F6" i="46" s="1"/>
  <c r="C39" i="45"/>
  <c r="D39" i="45" s="1"/>
  <c r="C35" i="45"/>
  <c r="C27" i="45"/>
  <c r="C36" i="45"/>
  <c r="C32" i="45"/>
  <c r="C28" i="45"/>
  <c r="C40" i="45"/>
  <c r="C37" i="45"/>
  <c r="C33" i="45"/>
  <c r="C29" i="45"/>
  <c r="C22" i="45"/>
  <c r="C38" i="45"/>
  <c r="C34" i="45"/>
  <c r="C30" i="45"/>
  <c r="C26" i="45"/>
  <c r="C31" i="45"/>
  <c r="C75" i="45"/>
  <c r="D75" i="45" s="1"/>
  <c r="C71" i="45"/>
  <c r="C67" i="45"/>
  <c r="C63" i="45"/>
  <c r="C59" i="45"/>
  <c r="C55" i="45"/>
  <c r="C51" i="45"/>
  <c r="C47" i="45"/>
  <c r="C43" i="45"/>
  <c r="C72" i="45"/>
  <c r="C68" i="45"/>
  <c r="C64" i="45"/>
  <c r="C60" i="45"/>
  <c r="C56" i="45"/>
  <c r="C52" i="45"/>
  <c r="C48" i="45"/>
  <c r="C44" i="45"/>
  <c r="C73" i="45"/>
  <c r="C69" i="45"/>
  <c r="C65" i="45"/>
  <c r="C61" i="45"/>
  <c r="C57" i="45"/>
  <c r="C53" i="45"/>
  <c r="C49" i="45"/>
  <c r="C45" i="45"/>
  <c r="C41" i="45"/>
  <c r="C74" i="45"/>
  <c r="C70" i="45"/>
  <c r="C66" i="45"/>
  <c r="C62" i="45"/>
  <c r="C58" i="45"/>
  <c r="C54" i="45"/>
  <c r="C50" i="45"/>
  <c r="C46" i="45"/>
  <c r="C42" i="45"/>
  <c r="C10" i="45"/>
  <c r="C18" i="45"/>
  <c r="E40" i="45"/>
  <c r="E4" i="45"/>
  <c r="C7" i="45"/>
  <c r="C12" i="45"/>
  <c r="C15" i="45"/>
  <c r="C20" i="45"/>
  <c r="C4" i="45"/>
  <c r="D4" i="45" s="1"/>
  <c r="G4" i="45" s="1"/>
  <c r="F5" i="45" s="1"/>
  <c r="C9" i="45"/>
  <c r="C17" i="45"/>
  <c r="C24" i="45"/>
  <c r="D40" i="46"/>
  <c r="G40" i="46" s="1"/>
  <c r="F41" i="46" s="1"/>
  <c r="E40" i="46"/>
  <c r="C15" i="44"/>
  <c r="C20" i="44"/>
  <c r="C31" i="44"/>
  <c r="C36" i="44"/>
  <c r="C16" i="44"/>
  <c r="C32" i="44"/>
  <c r="C11" i="44"/>
  <c r="C27" i="44"/>
  <c r="C7" i="44"/>
  <c r="C12" i="44"/>
  <c r="C23" i="44"/>
  <c r="C28" i="44"/>
  <c r="C39" i="44"/>
  <c r="D39" i="44" s="1"/>
  <c r="C40" i="44"/>
  <c r="D40" i="44"/>
  <c r="G40" i="44" s="1"/>
  <c r="F41" i="44" s="1"/>
  <c r="C6" i="44"/>
  <c r="C5" i="44"/>
  <c r="C9" i="44"/>
  <c r="C13" i="44"/>
  <c r="C17" i="44"/>
  <c r="C21" i="44"/>
  <c r="C25" i="44"/>
  <c r="C29" i="44"/>
  <c r="C33" i="44"/>
  <c r="C37" i="44"/>
  <c r="C4" i="44"/>
  <c r="D4" i="44" s="1"/>
  <c r="G4" i="44" s="1"/>
  <c r="F5" i="44" s="1"/>
  <c r="C10" i="44"/>
  <c r="C14" i="44"/>
  <c r="C18" i="44"/>
  <c r="C22" i="44"/>
  <c r="C26" i="44"/>
  <c r="C30" i="44"/>
  <c r="C34" i="44"/>
  <c r="C54" i="43"/>
  <c r="C46" i="43"/>
  <c r="C72" i="43"/>
  <c r="C64" i="43"/>
  <c r="C53" i="43"/>
  <c r="C45" i="43"/>
  <c r="C71" i="43"/>
  <c r="C63" i="43"/>
  <c r="C52" i="43"/>
  <c r="C44" i="43"/>
  <c r="C70" i="43"/>
  <c r="C62" i="43"/>
  <c r="C59" i="43"/>
  <c r="C51" i="43"/>
  <c r="C43" i="43"/>
  <c r="C69" i="43"/>
  <c r="C41" i="43"/>
  <c r="C9" i="43"/>
  <c r="C13" i="43"/>
  <c r="C17" i="43"/>
  <c r="C21" i="43"/>
  <c r="C25" i="43"/>
  <c r="C29" i="43"/>
  <c r="C33" i="43"/>
  <c r="C37" i="43"/>
  <c r="C40" i="43"/>
  <c r="C8" i="43"/>
  <c r="C24" i="43"/>
  <c r="C36" i="43"/>
  <c r="C4" i="43"/>
  <c r="D4" i="43" s="1"/>
  <c r="G4" i="43" s="1"/>
  <c r="F5" i="43" s="1"/>
  <c r="C12" i="43"/>
  <c r="C32" i="43"/>
  <c r="C7" i="43"/>
  <c r="C11" i="43"/>
  <c r="C15" i="43"/>
  <c r="C19" i="43"/>
  <c r="C23" i="43"/>
  <c r="C27" i="43"/>
  <c r="C31" i="43"/>
  <c r="C35" i="43"/>
  <c r="C39" i="43"/>
  <c r="D39" i="43" s="1"/>
  <c r="C5" i="43"/>
  <c r="C16" i="43"/>
  <c r="C28" i="43"/>
  <c r="C20" i="43"/>
  <c r="C6" i="43"/>
  <c r="C10" i="43"/>
  <c r="C14" i="43"/>
  <c r="C18" i="43"/>
  <c r="C22" i="43"/>
  <c r="C26" i="43"/>
  <c r="C30" i="43"/>
  <c r="C34" i="43"/>
  <c r="H47" i="54" l="1"/>
  <c r="E47" i="54"/>
  <c r="D47" i="54" s="1"/>
  <c r="G47" i="54" s="1"/>
  <c r="F48" i="54" s="1"/>
  <c r="I46" i="54"/>
  <c r="E6" i="46"/>
  <c r="D6" i="46" s="1"/>
  <c r="G6" i="46" s="1"/>
  <c r="F7" i="46" s="1"/>
  <c r="G41" i="46"/>
  <c r="F42" i="46" s="1"/>
  <c r="E41" i="46"/>
  <c r="D41" i="46" s="1"/>
  <c r="D40" i="45"/>
  <c r="G40" i="45" s="1"/>
  <c r="F41" i="45" s="1"/>
  <c r="E5" i="45"/>
  <c r="D5" i="45"/>
  <c r="G5" i="45" s="1"/>
  <c r="F6" i="45" s="1"/>
  <c r="D41" i="44"/>
  <c r="G41" i="44" s="1"/>
  <c r="F42" i="44" s="1"/>
  <c r="E42" i="44" s="1"/>
  <c r="D42" i="44" s="1"/>
  <c r="G42" i="44" s="1"/>
  <c r="F43" i="44" s="1"/>
  <c r="E43" i="44" s="1"/>
  <c r="E41" i="44"/>
  <c r="E5" i="44"/>
  <c r="D5" i="44" s="1"/>
  <c r="G5" i="44" s="1"/>
  <c r="F6" i="44" s="1"/>
  <c r="E5" i="43"/>
  <c r="D5" i="43" s="1"/>
  <c r="G5" i="43" s="1"/>
  <c r="F6" i="43" s="1"/>
  <c r="H48" i="54" l="1"/>
  <c r="E48" i="54"/>
  <c r="D48" i="54" s="1"/>
  <c r="G48" i="54" s="1"/>
  <c r="F49" i="54" s="1"/>
  <c r="I47" i="54"/>
  <c r="E7" i="46"/>
  <c r="D7" i="46" s="1"/>
  <c r="G7" i="46" s="1"/>
  <c r="F8" i="46" s="1"/>
  <c r="G6" i="45"/>
  <c r="F7" i="45" s="1"/>
  <c r="E6" i="45"/>
  <c r="D6" i="45" s="1"/>
  <c r="E41" i="45"/>
  <c r="D41" i="45" s="1"/>
  <c r="G41" i="45" s="1"/>
  <c r="F42" i="45" s="1"/>
  <c r="E42" i="46"/>
  <c r="D42" i="46" s="1"/>
  <c r="G42" i="46" s="1"/>
  <c r="F43" i="46" s="1"/>
  <c r="D43" i="44"/>
  <c r="G43" i="44" s="1"/>
  <c r="F44" i="44" s="1"/>
  <c r="E44" i="44" s="1"/>
  <c r="E6" i="44"/>
  <c r="D6" i="44" s="1"/>
  <c r="G6" i="44" s="1"/>
  <c r="F7" i="44" s="1"/>
  <c r="E6" i="43"/>
  <c r="D6" i="43" s="1"/>
  <c r="G6" i="43" s="1"/>
  <c r="F7" i="43" s="1"/>
  <c r="E49" i="54" l="1"/>
  <c r="D49" i="54" s="1"/>
  <c r="G49" i="54" s="1"/>
  <c r="F50" i="54" s="1"/>
  <c r="H49" i="54"/>
  <c r="I48" i="54"/>
  <c r="E8" i="46"/>
  <c r="D8" i="46" s="1"/>
  <c r="G8" i="46" s="1"/>
  <c r="F9" i="46" s="1"/>
  <c r="E43" i="46"/>
  <c r="D43" i="46" s="1"/>
  <c r="G43" i="46" s="1"/>
  <c r="F44" i="46" s="1"/>
  <c r="E42" i="45"/>
  <c r="D42" i="45" s="1"/>
  <c r="G42" i="45" s="1"/>
  <c r="F43" i="45" s="1"/>
  <c r="E7" i="45"/>
  <c r="D7" i="45" s="1"/>
  <c r="G7" i="45" s="1"/>
  <c r="F8" i="45" s="1"/>
  <c r="D44" i="44"/>
  <c r="G44" i="44" s="1"/>
  <c r="F45" i="44" s="1"/>
  <c r="E45" i="44" s="1"/>
  <c r="E7" i="44"/>
  <c r="D7" i="44" s="1"/>
  <c r="G7" i="44" s="1"/>
  <c r="F8" i="44" s="1"/>
  <c r="E7" i="43"/>
  <c r="D7" i="43" s="1"/>
  <c r="G7" i="43" s="1"/>
  <c r="F8" i="43" s="1"/>
  <c r="I49" i="54" l="1"/>
  <c r="H50" i="54"/>
  <c r="E50" i="54"/>
  <c r="D50" i="54" s="1"/>
  <c r="G50" i="54" s="1"/>
  <c r="F51" i="54" s="1"/>
  <c r="G8" i="45"/>
  <c r="F9" i="45" s="1"/>
  <c r="E8" i="45"/>
  <c r="D8" i="45" s="1"/>
  <c r="E43" i="45"/>
  <c r="D43" i="45" s="1"/>
  <c r="G43" i="45" s="1"/>
  <c r="F44" i="45" s="1"/>
  <c r="E44" i="46"/>
  <c r="D44" i="46" s="1"/>
  <c r="G44" i="46" s="1"/>
  <c r="F45" i="46" s="1"/>
  <c r="E9" i="46"/>
  <c r="D9" i="46" s="1"/>
  <c r="G9" i="46" s="1"/>
  <c r="F10" i="46" s="1"/>
  <c r="D45" i="44"/>
  <c r="G45" i="44" s="1"/>
  <c r="F46" i="44" s="1"/>
  <c r="E46" i="44" s="1"/>
  <c r="E8" i="44"/>
  <c r="D8" i="44" s="1"/>
  <c r="G8" i="44" s="1"/>
  <c r="F9" i="44" s="1"/>
  <c r="E8" i="43"/>
  <c r="D8" i="43" s="1"/>
  <c r="G8" i="43" s="1"/>
  <c r="F9" i="43" s="1"/>
  <c r="E51" i="54" l="1"/>
  <c r="D51" i="54" s="1"/>
  <c r="G51" i="54" s="1"/>
  <c r="F52" i="54" s="1"/>
  <c r="H51" i="54"/>
  <c r="I50" i="54"/>
  <c r="G10" i="46"/>
  <c r="F11" i="46" s="1"/>
  <c r="E10" i="46"/>
  <c r="D10" i="46" s="1"/>
  <c r="G45" i="46"/>
  <c r="F46" i="46" s="1"/>
  <c r="E45" i="46"/>
  <c r="D45" i="46" s="1"/>
  <c r="E44" i="45"/>
  <c r="D44" i="45" s="1"/>
  <c r="G44" i="45"/>
  <c r="F45" i="45" s="1"/>
  <c r="E9" i="45"/>
  <c r="D9" i="45" s="1"/>
  <c r="G9" i="45" s="1"/>
  <c r="F10" i="45" s="1"/>
  <c r="D46" i="44"/>
  <c r="G46" i="44" s="1"/>
  <c r="F47" i="44" s="1"/>
  <c r="E47" i="44" s="1"/>
  <c r="E9" i="44"/>
  <c r="D9" i="44" s="1"/>
  <c r="G9" i="44" s="1"/>
  <c r="F10" i="44" s="1"/>
  <c r="E9" i="43"/>
  <c r="D9" i="43" s="1"/>
  <c r="G9" i="43" s="1"/>
  <c r="F10" i="43" s="1"/>
  <c r="E52" i="54" l="1"/>
  <c r="D52" i="54" s="1"/>
  <c r="G52" i="54" s="1"/>
  <c r="F53" i="54" s="1"/>
  <c r="H52" i="54"/>
  <c r="I51" i="54"/>
  <c r="E10" i="45"/>
  <c r="D10" i="45" s="1"/>
  <c r="G10" i="45" s="1"/>
  <c r="F11" i="45" s="1"/>
  <c r="E11" i="46"/>
  <c r="D11" i="46" s="1"/>
  <c r="G11" i="46" s="1"/>
  <c r="F12" i="46" s="1"/>
  <c r="E46" i="46"/>
  <c r="D46" i="46" s="1"/>
  <c r="G46" i="46" s="1"/>
  <c r="F47" i="46" s="1"/>
  <c r="E45" i="45"/>
  <c r="D45" i="45" s="1"/>
  <c r="G45" i="45" s="1"/>
  <c r="F46" i="45" s="1"/>
  <c r="D47" i="44"/>
  <c r="G47" i="44" s="1"/>
  <c r="F48" i="44" s="1"/>
  <c r="E48" i="44" s="1"/>
  <c r="E10" i="44"/>
  <c r="D10" i="44" s="1"/>
  <c r="G10" i="44" s="1"/>
  <c r="F11" i="44" s="1"/>
  <c r="E10" i="43"/>
  <c r="D10" i="43" s="1"/>
  <c r="G10" i="43" s="1"/>
  <c r="F11" i="43" s="1"/>
  <c r="H53" i="54" l="1"/>
  <c r="E53" i="54"/>
  <c r="D53" i="54" s="1"/>
  <c r="G53" i="54" s="1"/>
  <c r="F54" i="54" s="1"/>
  <c r="I52" i="54"/>
  <c r="G46" i="45"/>
  <c r="F47" i="45" s="1"/>
  <c r="E46" i="45"/>
  <c r="D46" i="45" s="1"/>
  <c r="E47" i="46"/>
  <c r="D47" i="46" s="1"/>
  <c r="G47" i="46" s="1"/>
  <c r="F48" i="46" s="1"/>
  <c r="E12" i="46"/>
  <c r="D12" i="46" s="1"/>
  <c r="G12" i="46" s="1"/>
  <c r="F13" i="46" s="1"/>
  <c r="E11" i="45"/>
  <c r="D11" i="45" s="1"/>
  <c r="G11" i="45" s="1"/>
  <c r="F12" i="45" s="1"/>
  <c r="D48" i="44"/>
  <c r="G48" i="44" s="1"/>
  <c r="F49" i="44" s="1"/>
  <c r="E49" i="44" s="1"/>
  <c r="E11" i="44"/>
  <c r="D11" i="44" s="1"/>
  <c r="G11" i="44" s="1"/>
  <c r="F12" i="44" s="1"/>
  <c r="E11" i="43"/>
  <c r="D11" i="43" s="1"/>
  <c r="G11" i="43" s="1"/>
  <c r="F12" i="43" s="1"/>
  <c r="H54" i="54" l="1"/>
  <c r="E54" i="54"/>
  <c r="D54" i="54" s="1"/>
  <c r="G54" i="54" s="1"/>
  <c r="F55" i="54" s="1"/>
  <c r="I53" i="54"/>
  <c r="E12" i="45"/>
  <c r="D12" i="45" s="1"/>
  <c r="G12" i="45" s="1"/>
  <c r="F13" i="45" s="1"/>
  <c r="E48" i="46"/>
  <c r="D48" i="46" s="1"/>
  <c r="G48" i="46" s="1"/>
  <c r="F49" i="46" s="1"/>
  <c r="E13" i="46"/>
  <c r="D13" i="46" s="1"/>
  <c r="G13" i="46" s="1"/>
  <c r="F14" i="46" s="1"/>
  <c r="E47" i="45"/>
  <c r="D47" i="45" s="1"/>
  <c r="G47" i="45" s="1"/>
  <c r="F48" i="45" s="1"/>
  <c r="D49" i="44"/>
  <c r="G49" i="44" s="1"/>
  <c r="F50" i="44" s="1"/>
  <c r="E50" i="44" s="1"/>
  <c r="E12" i="44"/>
  <c r="D12" i="44" s="1"/>
  <c r="G12" i="44" s="1"/>
  <c r="F13" i="44" s="1"/>
  <c r="E12" i="43"/>
  <c r="D12" i="43" s="1"/>
  <c r="G12" i="43" s="1"/>
  <c r="F13" i="43" s="1"/>
  <c r="H55" i="54" l="1"/>
  <c r="E55" i="54"/>
  <c r="D55" i="54" s="1"/>
  <c r="G55" i="54" s="1"/>
  <c r="F56" i="54" s="1"/>
  <c r="I54" i="54"/>
  <c r="E48" i="45"/>
  <c r="D48" i="45" s="1"/>
  <c r="G48" i="45" s="1"/>
  <c r="F49" i="45" s="1"/>
  <c r="E14" i="46"/>
  <c r="D14" i="46" s="1"/>
  <c r="G14" i="46" s="1"/>
  <c r="F15" i="46" s="1"/>
  <c r="E49" i="46"/>
  <c r="D49" i="46" s="1"/>
  <c r="G49" i="46" s="1"/>
  <c r="F50" i="46" s="1"/>
  <c r="E13" i="45"/>
  <c r="D13" i="45" s="1"/>
  <c r="G13" i="45" s="1"/>
  <c r="F14" i="45" s="1"/>
  <c r="D50" i="44"/>
  <c r="G50" i="44" s="1"/>
  <c r="F51" i="44" s="1"/>
  <c r="E51" i="44" s="1"/>
  <c r="E13" i="44"/>
  <c r="D13" i="44" s="1"/>
  <c r="G13" i="44" s="1"/>
  <c r="F14" i="44" s="1"/>
  <c r="E13" i="43"/>
  <c r="D13" i="43" s="1"/>
  <c r="G13" i="43" s="1"/>
  <c r="F14" i="43" s="1"/>
  <c r="H56" i="54" l="1"/>
  <c r="E56" i="54"/>
  <c r="D56" i="54" s="1"/>
  <c r="G56" i="54" s="1"/>
  <c r="F57" i="54" s="1"/>
  <c r="I55" i="54"/>
  <c r="G14" i="45"/>
  <c r="F15" i="45" s="1"/>
  <c r="E14" i="45"/>
  <c r="D14" i="45" s="1"/>
  <c r="E49" i="45"/>
  <c r="D49" i="45" s="1"/>
  <c r="G49" i="45" s="1"/>
  <c r="F50" i="45" s="1"/>
  <c r="E50" i="46"/>
  <c r="D50" i="46" s="1"/>
  <c r="G50" i="46" s="1"/>
  <c r="F51" i="46" s="1"/>
  <c r="E15" i="46"/>
  <c r="D15" i="46" s="1"/>
  <c r="G15" i="46"/>
  <c r="F16" i="46" s="1"/>
  <c r="D51" i="44"/>
  <c r="G51" i="44" s="1"/>
  <c r="F52" i="44" s="1"/>
  <c r="E52" i="44" s="1"/>
  <c r="E14" i="44"/>
  <c r="D14" i="44" s="1"/>
  <c r="G14" i="44" s="1"/>
  <c r="F15" i="44" s="1"/>
  <c r="E14" i="43"/>
  <c r="D14" i="43" s="1"/>
  <c r="G14" i="43" s="1"/>
  <c r="F15" i="43" s="1"/>
  <c r="H57" i="54" l="1"/>
  <c r="E57" i="54"/>
  <c r="D57" i="54" s="1"/>
  <c r="G57" i="54" s="1"/>
  <c r="F58" i="54" s="1"/>
  <c r="I56" i="54"/>
  <c r="E51" i="46"/>
  <c r="D51" i="46" s="1"/>
  <c r="G51" i="46" s="1"/>
  <c r="F52" i="46" s="1"/>
  <c r="E50" i="45"/>
  <c r="D50" i="45" s="1"/>
  <c r="G50" i="45" s="1"/>
  <c r="F51" i="45" s="1"/>
  <c r="E15" i="45"/>
  <c r="D15" i="45" s="1"/>
  <c r="G15" i="45" s="1"/>
  <c r="F16" i="45" s="1"/>
  <c r="E16" i="46"/>
  <c r="D16" i="46" s="1"/>
  <c r="G16" i="46" s="1"/>
  <c r="F17" i="46" s="1"/>
  <c r="D52" i="44"/>
  <c r="G52" i="44" s="1"/>
  <c r="F53" i="44" s="1"/>
  <c r="E53" i="44" s="1"/>
  <c r="E15" i="44"/>
  <c r="D15" i="44" s="1"/>
  <c r="G15" i="44" s="1"/>
  <c r="F16" i="44" s="1"/>
  <c r="E15" i="43"/>
  <c r="D15" i="43" s="1"/>
  <c r="G15" i="43" s="1"/>
  <c r="F16" i="43" s="1"/>
  <c r="H58" i="54" l="1"/>
  <c r="E58" i="54"/>
  <c r="D58" i="54" s="1"/>
  <c r="G58" i="54" s="1"/>
  <c r="F59" i="54" s="1"/>
  <c r="I57" i="54"/>
  <c r="E17" i="46"/>
  <c r="D17" i="46" s="1"/>
  <c r="G17" i="46" s="1"/>
  <c r="F18" i="46" s="1"/>
  <c r="E16" i="45"/>
  <c r="D16" i="45" s="1"/>
  <c r="G16" i="45" s="1"/>
  <c r="F17" i="45" s="1"/>
  <c r="E52" i="46"/>
  <c r="D52" i="46" s="1"/>
  <c r="G52" i="46" s="1"/>
  <c r="F53" i="46" s="1"/>
  <c r="E51" i="45"/>
  <c r="D51" i="45" s="1"/>
  <c r="G51" i="45" s="1"/>
  <c r="F52" i="45" s="1"/>
  <c r="D53" i="44"/>
  <c r="G53" i="44" s="1"/>
  <c r="F54" i="44" s="1"/>
  <c r="E54" i="44" s="1"/>
  <c r="E16" i="44"/>
  <c r="D16" i="44" s="1"/>
  <c r="G16" i="44" s="1"/>
  <c r="F17" i="44" s="1"/>
  <c r="E16" i="43"/>
  <c r="D16" i="43" s="1"/>
  <c r="G16" i="43" s="1"/>
  <c r="F17" i="43" s="1"/>
  <c r="H59" i="54" l="1"/>
  <c r="E59" i="54"/>
  <c r="D59" i="54" s="1"/>
  <c r="G59" i="54" s="1"/>
  <c r="F60" i="54" s="1"/>
  <c r="I58" i="54"/>
  <c r="E53" i="46"/>
  <c r="D53" i="46" s="1"/>
  <c r="G53" i="46" s="1"/>
  <c r="F54" i="46" s="1"/>
  <c r="E52" i="45"/>
  <c r="D52" i="45" s="1"/>
  <c r="G52" i="45" s="1"/>
  <c r="F53" i="45" s="1"/>
  <c r="E17" i="45"/>
  <c r="D17" i="45" s="1"/>
  <c r="G17" i="45" s="1"/>
  <c r="F18" i="45" s="1"/>
  <c r="E18" i="46"/>
  <c r="D18" i="46" s="1"/>
  <c r="G18" i="46" s="1"/>
  <c r="F19" i="46" s="1"/>
  <c r="D54" i="44"/>
  <c r="G54" i="44" s="1"/>
  <c r="F55" i="44" s="1"/>
  <c r="E55" i="44" s="1"/>
  <c r="E17" i="44"/>
  <c r="D17" i="44" s="1"/>
  <c r="G17" i="44" s="1"/>
  <c r="F18" i="44" s="1"/>
  <c r="E17" i="43"/>
  <c r="D17" i="43" s="1"/>
  <c r="G17" i="43" s="1"/>
  <c r="F18" i="43" s="1"/>
  <c r="H60" i="54" l="1"/>
  <c r="E60" i="54"/>
  <c r="D60" i="54" s="1"/>
  <c r="G60" i="54" s="1"/>
  <c r="F61" i="54" s="1"/>
  <c r="I59" i="54"/>
  <c r="E19" i="46"/>
  <c r="D19" i="46" s="1"/>
  <c r="G19" i="46" s="1"/>
  <c r="F20" i="46" s="1"/>
  <c r="E53" i="45"/>
  <c r="D53" i="45" s="1"/>
  <c r="G53" i="45" s="1"/>
  <c r="F54" i="45" s="1"/>
  <c r="E18" i="45"/>
  <c r="D18" i="45" s="1"/>
  <c r="G18" i="45" s="1"/>
  <c r="F19" i="45" s="1"/>
  <c r="E54" i="46"/>
  <c r="D54" i="46" s="1"/>
  <c r="G54" i="46" s="1"/>
  <c r="F55" i="46" s="1"/>
  <c r="D55" i="44"/>
  <c r="G55" i="44" s="1"/>
  <c r="F56" i="44" s="1"/>
  <c r="E56" i="44" s="1"/>
  <c r="E18" i="44"/>
  <c r="D18" i="44" s="1"/>
  <c r="G18" i="44" s="1"/>
  <c r="F19" i="44" s="1"/>
  <c r="E18" i="43"/>
  <c r="D18" i="43" s="1"/>
  <c r="G18" i="43" s="1"/>
  <c r="F19" i="43" s="1"/>
  <c r="H61" i="54" l="1"/>
  <c r="E61" i="54"/>
  <c r="D61" i="54" s="1"/>
  <c r="G61" i="54" s="1"/>
  <c r="F62" i="54" s="1"/>
  <c r="I60" i="54"/>
  <c r="E55" i="46"/>
  <c r="D55" i="46" s="1"/>
  <c r="G55" i="46"/>
  <c r="F56" i="46" s="1"/>
  <c r="E19" i="45"/>
  <c r="D19" i="45" s="1"/>
  <c r="G19" i="45" s="1"/>
  <c r="F20" i="45" s="1"/>
  <c r="E54" i="45"/>
  <c r="D54" i="45" s="1"/>
  <c r="G54" i="45" s="1"/>
  <c r="F55" i="45" s="1"/>
  <c r="E20" i="46"/>
  <c r="D20" i="46" s="1"/>
  <c r="G20" i="46" s="1"/>
  <c r="F21" i="46" s="1"/>
  <c r="D56" i="44"/>
  <c r="G56" i="44" s="1"/>
  <c r="F57" i="44" s="1"/>
  <c r="E57" i="44" s="1"/>
  <c r="E19" i="44"/>
  <c r="D19" i="44" s="1"/>
  <c r="G19" i="44" s="1"/>
  <c r="E19" i="43"/>
  <c r="D19" i="43" s="1"/>
  <c r="G19" i="43" s="1"/>
  <c r="E62" i="54" l="1"/>
  <c r="D62" i="54" s="1"/>
  <c r="G62" i="54" s="1"/>
  <c r="F63" i="54" s="1"/>
  <c r="H62" i="54"/>
  <c r="I61" i="54"/>
  <c r="E21" i="46"/>
  <c r="D21" i="46" s="1"/>
  <c r="G21" i="46" s="1"/>
  <c r="F22" i="46" s="1"/>
  <c r="E55" i="45"/>
  <c r="D55" i="45" s="1"/>
  <c r="G55" i="45" s="1"/>
  <c r="F56" i="45" s="1"/>
  <c r="E20" i="45"/>
  <c r="D20" i="45" s="1"/>
  <c r="G20" i="45" s="1"/>
  <c r="F21" i="45" s="1"/>
  <c r="E56" i="46"/>
  <c r="D56" i="46" s="1"/>
  <c r="G56" i="46" s="1"/>
  <c r="F57" i="46" s="1"/>
  <c r="D57" i="44"/>
  <c r="G57" i="44" s="1"/>
  <c r="F58" i="44" s="1"/>
  <c r="E58" i="44" s="1"/>
  <c r="F20" i="44"/>
  <c r="F20" i="43"/>
  <c r="I62" i="54" l="1"/>
  <c r="H63" i="54"/>
  <c r="E63" i="54"/>
  <c r="D63" i="54" s="1"/>
  <c r="G63" i="54" s="1"/>
  <c r="F64" i="54" s="1"/>
  <c r="E57" i="46"/>
  <c r="D57" i="46" s="1"/>
  <c r="G57" i="46" s="1"/>
  <c r="F58" i="46" s="1"/>
  <c r="E21" i="45"/>
  <c r="D21" i="45" s="1"/>
  <c r="G21" i="45" s="1"/>
  <c r="F22" i="45" s="1"/>
  <c r="E56" i="45"/>
  <c r="D56" i="45" s="1"/>
  <c r="G56" i="45" s="1"/>
  <c r="F57" i="45" s="1"/>
  <c r="E22" i="46"/>
  <c r="D22" i="46" s="1"/>
  <c r="G22" i="46" s="1"/>
  <c r="F23" i="46" s="1"/>
  <c r="D58" i="44"/>
  <c r="G58" i="44" s="1"/>
  <c r="F59" i="44" s="1"/>
  <c r="E59" i="44" s="1"/>
  <c r="E20" i="44"/>
  <c r="D20" i="44" s="1"/>
  <c r="G20" i="44" s="1"/>
  <c r="F21" i="44" s="1"/>
  <c r="E20" i="43"/>
  <c r="D20" i="43" s="1"/>
  <c r="G20" i="43" s="1"/>
  <c r="F21" i="43" s="1"/>
  <c r="D40" i="43"/>
  <c r="G40" i="43" s="1"/>
  <c r="F41" i="43" s="1"/>
  <c r="I63" i="54" l="1"/>
  <c r="H64" i="54"/>
  <c r="E64" i="54"/>
  <c r="D64" i="54" s="1"/>
  <c r="G64" i="54" s="1"/>
  <c r="F65" i="54" s="1"/>
  <c r="G57" i="45"/>
  <c r="F58" i="45" s="1"/>
  <c r="E57" i="45"/>
  <c r="D57" i="45" s="1"/>
  <c r="E23" i="46"/>
  <c r="D23" i="46" s="1"/>
  <c r="G23" i="46" s="1"/>
  <c r="F24" i="46" s="1"/>
  <c r="E22" i="45"/>
  <c r="D22" i="45" s="1"/>
  <c r="G22" i="45" s="1"/>
  <c r="F23" i="45" s="1"/>
  <c r="E58" i="46"/>
  <c r="D58" i="46" s="1"/>
  <c r="G58" i="46" s="1"/>
  <c r="F59" i="46" s="1"/>
  <c r="D59" i="44"/>
  <c r="G59" i="44" s="1"/>
  <c r="F60" i="44" s="1"/>
  <c r="E60" i="44" s="1"/>
  <c r="E21" i="44"/>
  <c r="D21" i="44" s="1"/>
  <c r="G21" i="44" s="1"/>
  <c r="F22" i="44" s="1"/>
  <c r="E41" i="43"/>
  <c r="D41" i="43" s="1"/>
  <c r="G41" i="43" s="1"/>
  <c r="F42" i="43" s="1"/>
  <c r="E21" i="43"/>
  <c r="D21" i="43" s="1"/>
  <c r="G21" i="43" s="1"/>
  <c r="F22" i="43" s="1"/>
  <c r="H65" i="54" l="1"/>
  <c r="E65" i="54"/>
  <c r="D65" i="54" s="1"/>
  <c r="G65" i="54" s="1"/>
  <c r="F66" i="54" s="1"/>
  <c r="I64" i="54"/>
  <c r="E23" i="45"/>
  <c r="D23" i="45" s="1"/>
  <c r="G23" i="45" s="1"/>
  <c r="F24" i="45" s="1"/>
  <c r="E59" i="46"/>
  <c r="D59" i="46" s="1"/>
  <c r="G59" i="46" s="1"/>
  <c r="F60" i="46" s="1"/>
  <c r="E24" i="46"/>
  <c r="D24" i="46" s="1"/>
  <c r="G24" i="46" s="1"/>
  <c r="F25" i="46" s="1"/>
  <c r="E58" i="45"/>
  <c r="D58" i="45" s="1"/>
  <c r="G58" i="45" s="1"/>
  <c r="F59" i="45" s="1"/>
  <c r="D60" i="44"/>
  <c r="G60" i="44" s="1"/>
  <c r="F61" i="44" s="1"/>
  <c r="E61" i="44" s="1"/>
  <c r="E22" i="44"/>
  <c r="D22" i="44" s="1"/>
  <c r="G22" i="44" s="1"/>
  <c r="F23" i="44" s="1"/>
  <c r="E22" i="43"/>
  <c r="D22" i="43" s="1"/>
  <c r="G22" i="43" s="1"/>
  <c r="F23" i="43" s="1"/>
  <c r="E42" i="43"/>
  <c r="D42" i="43" s="1"/>
  <c r="G42" i="43" s="1"/>
  <c r="F43" i="43" s="1"/>
  <c r="H66" i="54" l="1"/>
  <c r="E66" i="54"/>
  <c r="D66" i="54" s="1"/>
  <c r="G66" i="54" s="1"/>
  <c r="F67" i="54" s="1"/>
  <c r="I65" i="54"/>
  <c r="E25" i="46"/>
  <c r="D25" i="46" s="1"/>
  <c r="G25" i="46" s="1"/>
  <c r="F26" i="46" s="1"/>
  <c r="E59" i="45"/>
  <c r="D59" i="45" s="1"/>
  <c r="G59" i="45" s="1"/>
  <c r="F60" i="45" s="1"/>
  <c r="E60" i="46"/>
  <c r="D60" i="46" s="1"/>
  <c r="G60" i="46" s="1"/>
  <c r="F61" i="46" s="1"/>
  <c r="E24" i="45"/>
  <c r="D24" i="45" s="1"/>
  <c r="G24" i="45" s="1"/>
  <c r="F25" i="45" s="1"/>
  <c r="D61" i="44"/>
  <c r="G61" i="44" s="1"/>
  <c r="F62" i="44" s="1"/>
  <c r="E62" i="44" s="1"/>
  <c r="E23" i="44"/>
  <c r="D23" i="44" s="1"/>
  <c r="G23" i="44" s="1"/>
  <c r="F24" i="44" s="1"/>
  <c r="E43" i="43"/>
  <c r="D43" i="43" s="1"/>
  <c r="G43" i="43" s="1"/>
  <c r="F44" i="43" s="1"/>
  <c r="E23" i="43"/>
  <c r="D23" i="43" s="1"/>
  <c r="G23" i="43" s="1"/>
  <c r="F24" i="43" s="1"/>
  <c r="H67" i="54" l="1"/>
  <c r="E67" i="54"/>
  <c r="D67" i="54" s="1"/>
  <c r="G67" i="54" s="1"/>
  <c r="F68" i="54" s="1"/>
  <c r="I66" i="54"/>
  <c r="E25" i="45"/>
  <c r="D25" i="45" s="1"/>
  <c r="G25" i="45" s="1"/>
  <c r="F26" i="45" s="1"/>
  <c r="E60" i="45"/>
  <c r="D60" i="45" s="1"/>
  <c r="G60" i="45" s="1"/>
  <c r="F61" i="45" s="1"/>
  <c r="E61" i="46"/>
  <c r="D61" i="46" s="1"/>
  <c r="G61" i="46" s="1"/>
  <c r="F62" i="46" s="1"/>
  <c r="E26" i="46"/>
  <c r="D26" i="46" s="1"/>
  <c r="G26" i="46" s="1"/>
  <c r="F27" i="46" s="1"/>
  <c r="D62" i="44"/>
  <c r="G62" i="44" s="1"/>
  <c r="F63" i="44" s="1"/>
  <c r="E63" i="44" s="1"/>
  <c r="E24" i="44"/>
  <c r="D24" i="44" s="1"/>
  <c r="G24" i="44" s="1"/>
  <c r="F25" i="44" s="1"/>
  <c r="E24" i="43"/>
  <c r="D24" i="43" s="1"/>
  <c r="G24" i="43" s="1"/>
  <c r="F25" i="43" s="1"/>
  <c r="E44" i="43"/>
  <c r="D44" i="43" s="1"/>
  <c r="G44" i="43" s="1"/>
  <c r="F45" i="43" s="1"/>
  <c r="H68" i="54" l="1"/>
  <c r="E68" i="54"/>
  <c r="D68" i="54" s="1"/>
  <c r="G68" i="54" s="1"/>
  <c r="F69" i="54" s="1"/>
  <c r="I67" i="54"/>
  <c r="E26" i="45"/>
  <c r="D26" i="45" s="1"/>
  <c r="G26" i="45" s="1"/>
  <c r="F27" i="45" s="1"/>
  <c r="E27" i="46"/>
  <c r="D27" i="46" s="1"/>
  <c r="G27" i="46" s="1"/>
  <c r="F28" i="46" s="1"/>
  <c r="E62" i="46"/>
  <c r="D62" i="46" s="1"/>
  <c r="G62" i="46" s="1"/>
  <c r="F63" i="46" s="1"/>
  <c r="E61" i="45"/>
  <c r="D61" i="45" s="1"/>
  <c r="G61" i="45" s="1"/>
  <c r="F62" i="45" s="1"/>
  <c r="D63" i="44"/>
  <c r="G63" i="44" s="1"/>
  <c r="F64" i="44" s="1"/>
  <c r="E64" i="44" s="1"/>
  <c r="E25" i="44"/>
  <c r="D25" i="44" s="1"/>
  <c r="G25" i="44" s="1"/>
  <c r="F26" i="44" s="1"/>
  <c r="E45" i="43"/>
  <c r="D45" i="43" s="1"/>
  <c r="G45" i="43" s="1"/>
  <c r="F46" i="43" s="1"/>
  <c r="E25" i="43"/>
  <c r="D25" i="43" s="1"/>
  <c r="G25" i="43" s="1"/>
  <c r="F26" i="43" s="1"/>
  <c r="H69" i="54" l="1"/>
  <c r="E69" i="54"/>
  <c r="D69" i="54" s="1"/>
  <c r="G69" i="54" s="1"/>
  <c r="F70" i="54" s="1"/>
  <c r="I68" i="54"/>
  <c r="G27" i="45"/>
  <c r="F28" i="45" s="1"/>
  <c r="E27" i="45"/>
  <c r="D27" i="45" s="1"/>
  <c r="G62" i="45"/>
  <c r="F63" i="45" s="1"/>
  <c r="E62" i="45"/>
  <c r="D62" i="45" s="1"/>
  <c r="E63" i="46"/>
  <c r="D63" i="46" s="1"/>
  <c r="G63" i="46"/>
  <c r="F64" i="46" s="1"/>
  <c r="E28" i="46"/>
  <c r="D28" i="46" s="1"/>
  <c r="G28" i="46" s="1"/>
  <c r="F29" i="46" s="1"/>
  <c r="D64" i="44"/>
  <c r="G64" i="44" s="1"/>
  <c r="F65" i="44" s="1"/>
  <c r="E65" i="44" s="1"/>
  <c r="E26" i="44"/>
  <c r="D26" i="44" s="1"/>
  <c r="G26" i="44" s="1"/>
  <c r="F27" i="44" s="1"/>
  <c r="E26" i="43"/>
  <c r="D26" i="43" s="1"/>
  <c r="G26" i="43" s="1"/>
  <c r="F27" i="43" s="1"/>
  <c r="E46" i="43"/>
  <c r="D46" i="43" s="1"/>
  <c r="G46" i="43" s="1"/>
  <c r="F47" i="43" s="1"/>
  <c r="H70" i="54" l="1"/>
  <c r="E70" i="54"/>
  <c r="D70" i="54" s="1"/>
  <c r="G70" i="54" s="1"/>
  <c r="F71" i="54" s="1"/>
  <c r="I69" i="54"/>
  <c r="E29" i="46"/>
  <c r="D29" i="46" s="1"/>
  <c r="G29" i="46" s="1"/>
  <c r="F30" i="46" s="1"/>
  <c r="E64" i="46"/>
  <c r="D64" i="46" s="1"/>
  <c r="G64" i="46" s="1"/>
  <c r="F65" i="46" s="1"/>
  <c r="E63" i="45"/>
  <c r="D63" i="45" s="1"/>
  <c r="G63" i="45" s="1"/>
  <c r="F64" i="45" s="1"/>
  <c r="E28" i="45"/>
  <c r="D28" i="45" s="1"/>
  <c r="G28" i="45" s="1"/>
  <c r="F29" i="45" s="1"/>
  <c r="D65" i="44"/>
  <c r="G65" i="44" s="1"/>
  <c r="F66" i="44" s="1"/>
  <c r="E66" i="44" s="1"/>
  <c r="E27" i="44"/>
  <c r="D27" i="44" s="1"/>
  <c r="G27" i="44" s="1"/>
  <c r="F28" i="44" s="1"/>
  <c r="E47" i="43"/>
  <c r="D47" i="43" s="1"/>
  <c r="G47" i="43" s="1"/>
  <c r="F48" i="43" s="1"/>
  <c r="E27" i="43"/>
  <c r="D27" i="43" s="1"/>
  <c r="G27" i="43" s="1"/>
  <c r="F28" i="43" s="1"/>
  <c r="H71" i="54" l="1"/>
  <c r="E71" i="54"/>
  <c r="D71" i="54" s="1"/>
  <c r="G71" i="54" s="1"/>
  <c r="F72" i="54" s="1"/>
  <c r="I70" i="54"/>
  <c r="E64" i="45"/>
  <c r="D64" i="45" s="1"/>
  <c r="G64" i="45"/>
  <c r="F65" i="45" s="1"/>
  <c r="E65" i="46"/>
  <c r="D65" i="46" s="1"/>
  <c r="G65" i="46" s="1"/>
  <c r="F66" i="46" s="1"/>
  <c r="E29" i="45"/>
  <c r="D29" i="45" s="1"/>
  <c r="G29" i="45" s="1"/>
  <c r="F30" i="45" s="1"/>
  <c r="E30" i="46"/>
  <c r="D30" i="46" s="1"/>
  <c r="G30" i="46" s="1"/>
  <c r="F31" i="46" s="1"/>
  <c r="D66" i="44"/>
  <c r="G66" i="44" s="1"/>
  <c r="F67" i="44" s="1"/>
  <c r="E67" i="44" s="1"/>
  <c r="E28" i="44"/>
  <c r="D28" i="44" s="1"/>
  <c r="G28" i="44" s="1"/>
  <c r="F29" i="44" s="1"/>
  <c r="E28" i="43"/>
  <c r="D28" i="43" s="1"/>
  <c r="G28" i="43" s="1"/>
  <c r="F29" i="43" s="1"/>
  <c r="E48" i="43"/>
  <c r="D48" i="43" s="1"/>
  <c r="G48" i="43" s="1"/>
  <c r="F49" i="43" s="1"/>
  <c r="H72" i="54" l="1"/>
  <c r="E72" i="54"/>
  <c r="D72" i="54" s="1"/>
  <c r="G72" i="54" s="1"/>
  <c r="F73" i="54" s="1"/>
  <c r="I71" i="54"/>
  <c r="E30" i="45"/>
  <c r="D30" i="45" s="1"/>
  <c r="G30" i="45" s="1"/>
  <c r="F31" i="45" s="1"/>
  <c r="E31" i="46"/>
  <c r="D31" i="46" s="1"/>
  <c r="G31" i="46" s="1"/>
  <c r="F32" i="46" s="1"/>
  <c r="E66" i="46"/>
  <c r="D66" i="46" s="1"/>
  <c r="G66" i="46" s="1"/>
  <c r="F67" i="46" s="1"/>
  <c r="E65" i="45"/>
  <c r="D65" i="45" s="1"/>
  <c r="G65" i="45" s="1"/>
  <c r="F66" i="45" s="1"/>
  <c r="D67" i="44"/>
  <c r="G67" i="44" s="1"/>
  <c r="F68" i="44" s="1"/>
  <c r="E68" i="44" s="1"/>
  <c r="E29" i="44"/>
  <c r="D29" i="44" s="1"/>
  <c r="G29" i="44" s="1"/>
  <c r="F30" i="44" s="1"/>
  <c r="E49" i="43"/>
  <c r="D49" i="43" s="1"/>
  <c r="G49" i="43" s="1"/>
  <c r="F50" i="43" s="1"/>
  <c r="E29" i="43"/>
  <c r="D29" i="43" s="1"/>
  <c r="G29" i="43" s="1"/>
  <c r="F30" i="43" s="1"/>
  <c r="E73" i="54" l="1"/>
  <c r="D73" i="54" s="1"/>
  <c r="G73" i="54" s="1"/>
  <c r="F74" i="54" s="1"/>
  <c r="H73" i="54"/>
  <c r="I72" i="54"/>
  <c r="E66" i="45"/>
  <c r="D66" i="45" s="1"/>
  <c r="G66" i="45" s="1"/>
  <c r="F67" i="45" s="1"/>
  <c r="E67" i="46"/>
  <c r="D67" i="46" s="1"/>
  <c r="G67" i="46"/>
  <c r="F68" i="46" s="1"/>
  <c r="E32" i="46"/>
  <c r="D32" i="46" s="1"/>
  <c r="G32" i="46" s="1"/>
  <c r="F33" i="46" s="1"/>
  <c r="E31" i="45"/>
  <c r="D31" i="45" s="1"/>
  <c r="G31" i="45" s="1"/>
  <c r="F32" i="45" s="1"/>
  <c r="D68" i="44"/>
  <c r="G68" i="44" s="1"/>
  <c r="F69" i="44" s="1"/>
  <c r="E69" i="44" s="1"/>
  <c r="E30" i="44"/>
  <c r="D30" i="44" s="1"/>
  <c r="G30" i="44" s="1"/>
  <c r="F31" i="44" s="1"/>
  <c r="E30" i="43"/>
  <c r="D30" i="43" s="1"/>
  <c r="G30" i="43" s="1"/>
  <c r="F31" i="43" s="1"/>
  <c r="E50" i="43"/>
  <c r="D50" i="43" s="1"/>
  <c r="G50" i="43" s="1"/>
  <c r="F51" i="43" s="1"/>
  <c r="I73" i="54" l="1"/>
  <c r="E74" i="54"/>
  <c r="D74" i="54" s="1"/>
  <c r="G74" i="54" s="1"/>
  <c r="F75" i="54" s="1"/>
  <c r="H74" i="54"/>
  <c r="E67" i="45"/>
  <c r="D67" i="45" s="1"/>
  <c r="G67" i="45" s="1"/>
  <c r="F68" i="45" s="1"/>
  <c r="E32" i="45"/>
  <c r="D32" i="45" s="1"/>
  <c r="G32" i="45" s="1"/>
  <c r="F33" i="45" s="1"/>
  <c r="E33" i="46"/>
  <c r="D33" i="46" s="1"/>
  <c r="G33" i="46" s="1"/>
  <c r="F34" i="46" s="1"/>
  <c r="E68" i="46"/>
  <c r="D68" i="46" s="1"/>
  <c r="G68" i="46" s="1"/>
  <c r="F69" i="46" s="1"/>
  <c r="D69" i="44"/>
  <c r="G69" i="44" s="1"/>
  <c r="F70" i="44" s="1"/>
  <c r="E70" i="44" s="1"/>
  <c r="E31" i="44"/>
  <c r="D31" i="44" s="1"/>
  <c r="G31" i="44" s="1"/>
  <c r="F32" i="44" s="1"/>
  <c r="E51" i="43"/>
  <c r="D51" i="43" s="1"/>
  <c r="G51" i="43" s="1"/>
  <c r="F52" i="43" s="1"/>
  <c r="E31" i="43"/>
  <c r="D31" i="43" s="1"/>
  <c r="G31" i="43" s="1"/>
  <c r="F32" i="43" s="1"/>
  <c r="I74" i="54" l="1"/>
  <c r="H75" i="54"/>
  <c r="E75" i="54"/>
  <c r="D75" i="54" s="1"/>
  <c r="G75" i="54" s="1"/>
  <c r="F76" i="54" s="1"/>
  <c r="G69" i="46"/>
  <c r="F70" i="46" s="1"/>
  <c r="E69" i="46"/>
  <c r="D69" i="46" s="1"/>
  <c r="G34" i="46"/>
  <c r="F35" i="46" s="1"/>
  <c r="E34" i="46"/>
  <c r="D34" i="46" s="1"/>
  <c r="E33" i="45"/>
  <c r="D33" i="45" s="1"/>
  <c r="G33" i="45"/>
  <c r="F34" i="45" s="1"/>
  <c r="E68" i="45"/>
  <c r="D68" i="45" s="1"/>
  <c r="G68" i="45" s="1"/>
  <c r="F69" i="45" s="1"/>
  <c r="D70" i="44"/>
  <c r="G70" i="44" s="1"/>
  <c r="F71" i="44" s="1"/>
  <c r="E71" i="44" s="1"/>
  <c r="E32" i="44"/>
  <c r="D32" i="44" s="1"/>
  <c r="G32" i="44" s="1"/>
  <c r="F33" i="44" s="1"/>
  <c r="E32" i="43"/>
  <c r="D32" i="43" s="1"/>
  <c r="G32" i="43" s="1"/>
  <c r="F33" i="43" s="1"/>
  <c r="E52" i="43"/>
  <c r="D52" i="43" s="1"/>
  <c r="G52" i="43" s="1"/>
  <c r="F53" i="43" s="1"/>
  <c r="H76" i="54" l="1"/>
  <c r="E76" i="54"/>
  <c r="D76" i="54" s="1"/>
  <c r="G76" i="54" s="1"/>
  <c r="F77" i="54" s="1"/>
  <c r="I75" i="54"/>
  <c r="E69" i="45"/>
  <c r="D69" i="45" s="1"/>
  <c r="G69" i="45" s="1"/>
  <c r="F70" i="45" s="1"/>
  <c r="E34" i="45"/>
  <c r="D34" i="45" s="1"/>
  <c r="G34" i="45" s="1"/>
  <c r="F35" i="45" s="1"/>
  <c r="E35" i="46"/>
  <c r="D35" i="46" s="1"/>
  <c r="G35" i="46"/>
  <c r="F36" i="46" s="1"/>
  <c r="E70" i="46"/>
  <c r="D70" i="46" s="1"/>
  <c r="G70" i="46" s="1"/>
  <c r="F71" i="46" s="1"/>
  <c r="D71" i="44"/>
  <c r="G71" i="44" s="1"/>
  <c r="F72" i="44" s="1"/>
  <c r="E72" i="44" s="1"/>
  <c r="E33" i="44"/>
  <c r="D33" i="44" s="1"/>
  <c r="G33" i="44" s="1"/>
  <c r="F34" i="44" s="1"/>
  <c r="E53" i="43"/>
  <c r="D53" i="43" s="1"/>
  <c r="G53" i="43" s="1"/>
  <c r="F54" i="43" s="1"/>
  <c r="E33" i="43"/>
  <c r="D33" i="43" s="1"/>
  <c r="G33" i="43" s="1"/>
  <c r="F34" i="43" s="1"/>
  <c r="H77" i="54" l="1"/>
  <c r="E77" i="54"/>
  <c r="D77" i="54" s="1"/>
  <c r="G77" i="54" s="1"/>
  <c r="F78" i="54" s="1"/>
  <c r="I76" i="54"/>
  <c r="E70" i="45"/>
  <c r="D70" i="45" s="1"/>
  <c r="G70" i="45" s="1"/>
  <c r="F71" i="45" s="1"/>
  <c r="E71" i="46"/>
  <c r="D71" i="46" s="1"/>
  <c r="G71" i="46" s="1"/>
  <c r="F72" i="46" s="1"/>
  <c r="E35" i="45"/>
  <c r="D35" i="45" s="1"/>
  <c r="G35" i="45" s="1"/>
  <c r="F36" i="45" s="1"/>
  <c r="E36" i="46"/>
  <c r="D36" i="46" s="1"/>
  <c r="G36" i="46" s="1"/>
  <c r="F37" i="46" s="1"/>
  <c r="D72" i="44"/>
  <c r="G72" i="44" s="1"/>
  <c r="F73" i="44" s="1"/>
  <c r="E73" i="44" s="1"/>
  <c r="E34" i="44"/>
  <c r="D34" i="44" s="1"/>
  <c r="G34" i="44" s="1"/>
  <c r="F35" i="44" s="1"/>
  <c r="E34" i="43"/>
  <c r="D34" i="43" s="1"/>
  <c r="G34" i="43" s="1"/>
  <c r="F35" i="43" s="1"/>
  <c r="E54" i="43"/>
  <c r="D54" i="43" s="1"/>
  <c r="G54" i="43" s="1"/>
  <c r="F55" i="43" s="1"/>
  <c r="E78" i="54" l="1"/>
  <c r="D78" i="54" s="1"/>
  <c r="G78" i="54" s="1"/>
  <c r="F79" i="54" s="1"/>
  <c r="H78" i="54"/>
  <c r="I77" i="54"/>
  <c r="E71" i="45"/>
  <c r="D71" i="45" s="1"/>
  <c r="G71" i="45" s="1"/>
  <c r="F72" i="45" s="1"/>
  <c r="E36" i="45"/>
  <c r="D36" i="45" s="1"/>
  <c r="G36" i="45"/>
  <c r="F37" i="45" s="1"/>
  <c r="E37" i="46"/>
  <c r="D37" i="46" s="1"/>
  <c r="G37" i="46" s="1"/>
  <c r="F38" i="46" s="1"/>
  <c r="E72" i="46"/>
  <c r="D72" i="46" s="1"/>
  <c r="G72" i="46" s="1"/>
  <c r="F73" i="46" s="1"/>
  <c r="D73" i="44"/>
  <c r="G73" i="44" s="1"/>
  <c r="F74" i="44" s="1"/>
  <c r="E74" i="44" s="1"/>
  <c r="E35" i="44"/>
  <c r="D35" i="44" s="1"/>
  <c r="G35" i="44" s="1"/>
  <c r="F36" i="44" s="1"/>
  <c r="E55" i="43"/>
  <c r="D55" i="43" s="1"/>
  <c r="G55" i="43" s="1"/>
  <c r="F56" i="43" s="1"/>
  <c r="E35" i="43"/>
  <c r="D35" i="43" s="1"/>
  <c r="G35" i="43" s="1"/>
  <c r="F36" i="43" s="1"/>
  <c r="I78" i="54" l="1"/>
  <c r="H79" i="54"/>
  <c r="E79" i="54"/>
  <c r="D79" i="54" s="1"/>
  <c r="G79" i="54" s="1"/>
  <c r="F80" i="54" s="1"/>
  <c r="G38" i="46"/>
  <c r="F39" i="46" s="1"/>
  <c r="G39" i="46" s="1"/>
  <c r="E38" i="46"/>
  <c r="D38" i="46" s="1"/>
  <c r="E73" i="46"/>
  <c r="D73" i="46" s="1"/>
  <c r="G73" i="46" s="1"/>
  <c r="F74" i="46" s="1"/>
  <c r="E72" i="45"/>
  <c r="D72" i="45" s="1"/>
  <c r="G72" i="45"/>
  <c r="F73" i="45" s="1"/>
  <c r="E37" i="45"/>
  <c r="D37" i="45" s="1"/>
  <c r="G37" i="45" s="1"/>
  <c r="F38" i="45" s="1"/>
  <c r="D74" i="44"/>
  <c r="G74" i="44" s="1"/>
  <c r="F75" i="44" s="1"/>
  <c r="E36" i="44"/>
  <c r="D36" i="44" s="1"/>
  <c r="G36" i="44" s="1"/>
  <c r="F37" i="44" s="1"/>
  <c r="E56" i="43"/>
  <c r="D56" i="43" s="1"/>
  <c r="G56" i="43" s="1"/>
  <c r="F57" i="43" s="1"/>
  <c r="E36" i="43"/>
  <c r="D36" i="43" s="1"/>
  <c r="G36" i="43" s="1"/>
  <c r="F37" i="43" s="1"/>
  <c r="I79" i="54" l="1"/>
  <c r="H80" i="54"/>
  <c r="E80" i="54"/>
  <c r="D80" i="54" s="1"/>
  <c r="G80" i="54" s="1"/>
  <c r="F81" i="54" s="1"/>
  <c r="E38" i="45"/>
  <c r="D38" i="45" s="1"/>
  <c r="G38" i="45" s="1"/>
  <c r="F39" i="45" s="1"/>
  <c r="G39" i="45" s="1"/>
  <c r="E74" i="46"/>
  <c r="D74" i="46" s="1"/>
  <c r="G74" i="46" s="1"/>
  <c r="F75" i="46" s="1"/>
  <c r="G75" i="46" s="1"/>
  <c r="E73" i="45"/>
  <c r="D73" i="45" s="1"/>
  <c r="G73" i="45" s="1"/>
  <c r="F74" i="45" s="1"/>
  <c r="D75" i="44"/>
  <c r="G75" i="44" s="1"/>
  <c r="E37" i="44"/>
  <c r="D37" i="44" s="1"/>
  <c r="G37" i="44" s="1"/>
  <c r="F38" i="44" s="1"/>
  <c r="E37" i="43"/>
  <c r="D37" i="43" s="1"/>
  <c r="G37" i="43" s="1"/>
  <c r="F38" i="43" s="1"/>
  <c r="E57" i="43"/>
  <c r="D57" i="43" s="1"/>
  <c r="G57" i="43" s="1"/>
  <c r="F58" i="43" s="1"/>
  <c r="H81" i="54" l="1"/>
  <c r="E81" i="54"/>
  <c r="D81" i="54" s="1"/>
  <c r="G81" i="54" s="1"/>
  <c r="F82" i="54" s="1"/>
  <c r="I80" i="54"/>
  <c r="E74" i="45"/>
  <c r="D74" i="45" s="1"/>
  <c r="G74" i="45" s="1"/>
  <c r="F75" i="45" s="1"/>
  <c r="G75" i="45" s="1"/>
  <c r="E38" i="44"/>
  <c r="D38" i="44" s="1"/>
  <c r="G38" i="44" s="1"/>
  <c r="F39" i="44" s="1"/>
  <c r="G39" i="44" s="1"/>
  <c r="E58" i="43"/>
  <c r="D58" i="43" s="1"/>
  <c r="G58" i="43" s="1"/>
  <c r="F59" i="43" s="1"/>
  <c r="E38" i="43"/>
  <c r="D38" i="43" s="1"/>
  <c r="G38" i="43" s="1"/>
  <c r="F39" i="43" s="1"/>
  <c r="G39" i="43" s="1"/>
  <c r="H82" i="54" l="1"/>
  <c r="E82" i="54"/>
  <c r="D82" i="54" s="1"/>
  <c r="G82" i="54" s="1"/>
  <c r="F83" i="54" s="1"/>
  <c r="I81" i="54"/>
  <c r="E59" i="43"/>
  <c r="D59" i="43" s="1"/>
  <c r="G59" i="43" s="1"/>
  <c r="F60" i="43" s="1"/>
  <c r="H83" i="54" l="1"/>
  <c r="E83" i="54"/>
  <c r="D83" i="54" s="1"/>
  <c r="G83" i="54" s="1"/>
  <c r="F84" i="54" s="1"/>
  <c r="I82" i="54"/>
  <c r="E60" i="43"/>
  <c r="D60" i="43" s="1"/>
  <c r="G60" i="43" s="1"/>
  <c r="F61" i="43" s="1"/>
  <c r="E61" i="43" s="1"/>
  <c r="D61" i="43" s="1"/>
  <c r="G61" i="43" s="1"/>
  <c r="F62" i="43" s="1"/>
  <c r="E62" i="43" s="1"/>
  <c r="D62" i="43" s="1"/>
  <c r="G62" i="43" s="1"/>
  <c r="F63" i="43" s="1"/>
  <c r="H84" i="54" l="1"/>
  <c r="E84" i="54"/>
  <c r="D84" i="54" s="1"/>
  <c r="G84" i="54" s="1"/>
  <c r="F85" i="54" s="1"/>
  <c r="I83" i="54"/>
  <c r="E63" i="43"/>
  <c r="D63" i="43" s="1"/>
  <c r="G63" i="43" s="1"/>
  <c r="F64" i="43" s="1"/>
  <c r="H85" i="54" l="1"/>
  <c r="E85" i="54"/>
  <c r="D85" i="54" s="1"/>
  <c r="G85" i="54" s="1"/>
  <c r="F86" i="54" s="1"/>
  <c r="I84" i="54"/>
  <c r="E64" i="43"/>
  <c r="D64" i="43" s="1"/>
  <c r="G64" i="43" s="1"/>
  <c r="F65" i="43" s="1"/>
  <c r="H86" i="54" l="1"/>
  <c r="E86" i="54"/>
  <c r="D86" i="54" s="1"/>
  <c r="G86" i="54" s="1"/>
  <c r="F87" i="54" s="1"/>
  <c r="I85" i="54"/>
  <c r="E65" i="43"/>
  <c r="D65" i="43" s="1"/>
  <c r="G65" i="43" s="1"/>
  <c r="F66" i="43" s="1"/>
  <c r="H87" i="54" l="1"/>
  <c r="E87" i="54"/>
  <c r="D87" i="54" s="1"/>
  <c r="G87" i="54" s="1"/>
  <c r="F88" i="54" s="1"/>
  <c r="I86" i="54"/>
  <c r="E66" i="43"/>
  <c r="D66" i="43" s="1"/>
  <c r="G66" i="43" s="1"/>
  <c r="F67" i="43" s="1"/>
  <c r="H88" i="54" l="1"/>
  <c r="E88" i="54"/>
  <c r="D88" i="54" s="1"/>
  <c r="G88" i="54" s="1"/>
  <c r="F89" i="54" s="1"/>
  <c r="I87" i="54"/>
  <c r="E67" i="43"/>
  <c r="D67" i="43" s="1"/>
  <c r="G67" i="43" s="1"/>
  <c r="F68" i="43" s="1"/>
  <c r="H89" i="54" l="1"/>
  <c r="E89" i="54"/>
  <c r="D89" i="54" s="1"/>
  <c r="G89" i="54" s="1"/>
  <c r="F90" i="54" s="1"/>
  <c r="I88" i="54"/>
  <c r="E68" i="43"/>
  <c r="D68" i="43" s="1"/>
  <c r="G68" i="43" s="1"/>
  <c r="F69" i="43" s="1"/>
  <c r="H90" i="54" l="1"/>
  <c r="E90" i="54"/>
  <c r="D90" i="54" s="1"/>
  <c r="G90" i="54" s="1"/>
  <c r="F91" i="54" s="1"/>
  <c r="I89" i="54"/>
  <c r="E69" i="43"/>
  <c r="D69" i="43" s="1"/>
  <c r="G69" i="43" s="1"/>
  <c r="F70" i="43" s="1"/>
  <c r="H91" i="54" l="1"/>
  <c r="E91" i="54"/>
  <c r="D91" i="54" s="1"/>
  <c r="G91" i="54" s="1"/>
  <c r="F92" i="54" s="1"/>
  <c r="I90" i="54"/>
  <c r="E70" i="43"/>
  <c r="D70" i="43" s="1"/>
  <c r="G70" i="43" s="1"/>
  <c r="F71" i="43" s="1"/>
  <c r="H92" i="54" l="1"/>
  <c r="E92" i="54"/>
  <c r="D92" i="54" s="1"/>
  <c r="G92" i="54" s="1"/>
  <c r="F93" i="54" s="1"/>
  <c r="I91" i="54"/>
  <c r="E71" i="43"/>
  <c r="D71" i="43" s="1"/>
  <c r="G71" i="43" s="1"/>
  <c r="F72" i="43" s="1"/>
  <c r="H93" i="54" l="1"/>
  <c r="E93" i="54"/>
  <c r="D93" i="54" s="1"/>
  <c r="G93" i="54" s="1"/>
  <c r="F94" i="54" s="1"/>
  <c r="I92" i="54"/>
  <c r="E72" i="43"/>
  <c r="D72" i="43" s="1"/>
  <c r="G72" i="43" s="1"/>
  <c r="F73" i="43" s="1"/>
  <c r="H94" i="54" l="1"/>
  <c r="E94" i="54"/>
  <c r="D94" i="54" s="1"/>
  <c r="G94" i="54" s="1"/>
  <c r="F95" i="54" s="1"/>
  <c r="I93" i="54"/>
  <c r="E73" i="43"/>
  <c r="D73" i="43" s="1"/>
  <c r="G73" i="43" s="1"/>
  <c r="F74" i="43" s="1"/>
  <c r="H95" i="54" l="1"/>
  <c r="E95" i="54"/>
  <c r="D95" i="54" s="1"/>
  <c r="G95" i="54" s="1"/>
  <c r="F96" i="54" s="1"/>
  <c r="I94" i="54"/>
  <c r="E74" i="43"/>
  <c r="D74" i="43" s="1"/>
  <c r="G74" i="43" s="1"/>
  <c r="F75" i="43" s="1"/>
  <c r="H96" i="54" l="1"/>
  <c r="E96" i="54"/>
  <c r="D96" i="54" s="1"/>
  <c r="G96" i="54" s="1"/>
  <c r="F97" i="54" s="1"/>
  <c r="I95" i="54"/>
  <c r="D75" i="43"/>
  <c r="G75" i="43" s="1"/>
  <c r="H97" i="54" l="1"/>
  <c r="E97" i="54"/>
  <c r="D97" i="54" s="1"/>
  <c r="G97" i="54" s="1"/>
  <c r="F98" i="54" s="1"/>
  <c r="I96" i="54"/>
  <c r="H6" i="40"/>
  <c r="H7" i="40"/>
  <c r="H8" i="40"/>
  <c r="H9" i="40"/>
  <c r="H10" i="40"/>
  <c r="H11" i="40"/>
  <c r="H12" i="40"/>
  <c r="H13" i="40"/>
  <c r="H14" i="40"/>
  <c r="H15" i="40"/>
  <c r="H16" i="40"/>
  <c r="H17" i="40"/>
  <c r="H18" i="40"/>
  <c r="H19" i="40"/>
  <c r="H20" i="40"/>
  <c r="H21" i="40"/>
  <c r="H22" i="40"/>
  <c r="H23" i="40"/>
  <c r="H24" i="40"/>
  <c r="H25" i="40"/>
  <c r="H26" i="40"/>
  <c r="H27" i="40"/>
  <c r="H28" i="40"/>
  <c r="H29" i="40"/>
  <c r="H30" i="40"/>
  <c r="H31" i="40"/>
  <c r="H32" i="40"/>
  <c r="H33" i="40"/>
  <c r="H34" i="40"/>
  <c r="H35" i="40"/>
  <c r="H36" i="40"/>
  <c r="H37" i="40"/>
  <c r="H38" i="40"/>
  <c r="H39" i="40"/>
  <c r="H40" i="40"/>
  <c r="H41" i="40"/>
  <c r="H42" i="40"/>
  <c r="H43" i="40"/>
  <c r="H44" i="40"/>
  <c r="H45" i="40"/>
  <c r="H46" i="40"/>
  <c r="H47" i="40"/>
  <c r="H48" i="40"/>
  <c r="H49" i="40"/>
  <c r="H50" i="40"/>
  <c r="H51" i="40"/>
  <c r="H52" i="40"/>
  <c r="H53" i="40"/>
  <c r="H54" i="40"/>
  <c r="H55" i="40"/>
  <c r="H56" i="40"/>
  <c r="H57" i="40"/>
  <c r="H58" i="40"/>
  <c r="H59" i="40"/>
  <c r="H60" i="40"/>
  <c r="H61" i="40"/>
  <c r="H62" i="40"/>
  <c r="H63" i="40"/>
  <c r="H64" i="40"/>
  <c r="H65" i="40"/>
  <c r="H66" i="40"/>
  <c r="H67" i="40"/>
  <c r="H68" i="40"/>
  <c r="H69" i="40"/>
  <c r="H70" i="40"/>
  <c r="H71" i="40"/>
  <c r="H72" i="40"/>
  <c r="H73" i="40"/>
  <c r="H74" i="40"/>
  <c r="H75" i="40"/>
  <c r="H76" i="40"/>
  <c r="H77" i="40"/>
  <c r="H78" i="40"/>
  <c r="H79" i="40"/>
  <c r="H80" i="40"/>
  <c r="H81" i="40"/>
  <c r="H82" i="40"/>
  <c r="H83" i="40"/>
  <c r="H84" i="40"/>
  <c r="H85" i="40"/>
  <c r="H86" i="40"/>
  <c r="H87" i="40"/>
  <c r="H88" i="40"/>
  <c r="H89" i="40"/>
  <c r="H90" i="40"/>
  <c r="H91" i="40"/>
  <c r="H92" i="40"/>
  <c r="H93" i="40"/>
  <c r="H94" i="40"/>
  <c r="H95" i="40"/>
  <c r="H96" i="40"/>
  <c r="H97" i="40"/>
  <c r="H98" i="40"/>
  <c r="H99" i="40"/>
  <c r="H100" i="40"/>
  <c r="H101" i="40"/>
  <c r="H102" i="40"/>
  <c r="H103" i="40"/>
  <c r="H104" i="40"/>
  <c r="H105" i="40"/>
  <c r="H106" i="40"/>
  <c r="H107" i="40"/>
  <c r="H108" i="40"/>
  <c r="H109" i="40"/>
  <c r="H110" i="40"/>
  <c r="H111" i="40"/>
  <c r="H112" i="40"/>
  <c r="H113" i="40"/>
  <c r="H114" i="40"/>
  <c r="H115" i="40"/>
  <c r="H116" i="40"/>
  <c r="H117" i="40"/>
  <c r="H118" i="40"/>
  <c r="H119" i="40"/>
  <c r="H120" i="40"/>
  <c r="H121" i="40"/>
  <c r="H122" i="40"/>
  <c r="H123" i="40"/>
  <c r="H124" i="40"/>
  <c r="H125" i="40"/>
  <c r="H126" i="40"/>
  <c r="H127" i="40"/>
  <c r="H128" i="40"/>
  <c r="H129" i="40"/>
  <c r="H130" i="40"/>
  <c r="H131" i="40"/>
  <c r="H132" i="40"/>
  <c r="H133" i="40"/>
  <c r="H134" i="40"/>
  <c r="H135" i="40"/>
  <c r="H136" i="40"/>
  <c r="H137" i="40"/>
  <c r="H138" i="40"/>
  <c r="H139" i="40"/>
  <c r="H140" i="40"/>
  <c r="H141" i="40"/>
  <c r="H142" i="40"/>
  <c r="H143" i="40"/>
  <c r="H144" i="40"/>
  <c r="H145" i="40"/>
  <c r="H146" i="40"/>
  <c r="H147" i="40"/>
  <c r="H148" i="40"/>
  <c r="H149" i="40"/>
  <c r="H150" i="40"/>
  <c r="H151" i="40"/>
  <c r="H152" i="40"/>
  <c r="H153" i="40"/>
  <c r="H154" i="40"/>
  <c r="H155" i="40"/>
  <c r="H156" i="40"/>
  <c r="H157" i="40"/>
  <c r="H158" i="40"/>
  <c r="H159" i="40"/>
  <c r="H160" i="40"/>
  <c r="H161" i="40"/>
  <c r="H162" i="40"/>
  <c r="H163" i="40"/>
  <c r="H164" i="40"/>
  <c r="H165" i="40"/>
  <c r="H166" i="40"/>
  <c r="H167" i="40"/>
  <c r="H168" i="40"/>
  <c r="H169" i="40"/>
  <c r="H170" i="40"/>
  <c r="H171" i="40"/>
  <c r="H172" i="40"/>
  <c r="H173" i="40"/>
  <c r="H174" i="40"/>
  <c r="H175" i="40"/>
  <c r="H176" i="40"/>
  <c r="H177" i="40"/>
  <c r="H178" i="40"/>
  <c r="H179" i="40"/>
  <c r="H180" i="40"/>
  <c r="H181" i="40"/>
  <c r="H182" i="40"/>
  <c r="H183" i="40"/>
  <c r="H184" i="40"/>
  <c r="H185" i="40"/>
  <c r="H186" i="40"/>
  <c r="H187" i="40"/>
  <c r="H188" i="40"/>
  <c r="H189" i="40"/>
  <c r="H190" i="40"/>
  <c r="H191" i="40"/>
  <c r="H192" i="40"/>
  <c r="H193" i="40"/>
  <c r="H194" i="40"/>
  <c r="H195" i="40"/>
  <c r="H196" i="40"/>
  <c r="H197" i="40"/>
  <c r="H198" i="40"/>
  <c r="H199" i="40"/>
  <c r="H200" i="40"/>
  <c r="H201" i="40"/>
  <c r="H202" i="40"/>
  <c r="H203" i="40"/>
  <c r="H204" i="40"/>
  <c r="H205" i="40"/>
  <c r="H206" i="40"/>
  <c r="H207" i="40"/>
  <c r="H208" i="40"/>
  <c r="H209" i="40"/>
  <c r="H210" i="40"/>
  <c r="H211" i="40"/>
  <c r="H212" i="40"/>
  <c r="H213" i="40"/>
  <c r="H214" i="40"/>
  <c r="H215" i="40"/>
  <c r="H216" i="40"/>
  <c r="H217" i="40"/>
  <c r="H218" i="40"/>
  <c r="H219" i="40"/>
  <c r="H220" i="40"/>
  <c r="H221" i="40"/>
  <c r="H222" i="40"/>
  <c r="H223" i="40"/>
  <c r="H224" i="40"/>
  <c r="H225" i="40"/>
  <c r="H226" i="40"/>
  <c r="H227" i="40"/>
  <c r="H228" i="40"/>
  <c r="H229" i="40"/>
  <c r="H230" i="40"/>
  <c r="H231" i="40"/>
  <c r="H232" i="40"/>
  <c r="H233" i="40"/>
  <c r="H234" i="40"/>
  <c r="H235" i="40"/>
  <c r="H236" i="40"/>
  <c r="H237" i="40"/>
  <c r="H238" i="40"/>
  <c r="H239" i="40"/>
  <c r="H240" i="40"/>
  <c r="H241" i="40"/>
  <c r="H5" i="40"/>
  <c r="D1" i="40"/>
  <c r="C203" i="40"/>
  <c r="F1" i="31"/>
  <c r="F1" i="40"/>
  <c r="C469" i="40" s="1"/>
  <c r="B245" i="40"/>
  <c r="B6" i="40"/>
  <c r="B7" i="40"/>
  <c r="B8" i="40"/>
  <c r="B9" i="40"/>
  <c r="B10" i="40"/>
  <c r="B11" i="40"/>
  <c r="B12" i="40"/>
  <c r="B13" i="40"/>
  <c r="B14" i="40"/>
  <c r="B15" i="40"/>
  <c r="B16" i="40"/>
  <c r="B17" i="40"/>
  <c r="B18" i="40"/>
  <c r="B19" i="40"/>
  <c r="B20" i="40"/>
  <c r="B21" i="40"/>
  <c r="B22" i="40"/>
  <c r="B23" i="40"/>
  <c r="B24" i="40"/>
  <c r="B25" i="40"/>
  <c r="B26" i="40"/>
  <c r="B27" i="40"/>
  <c r="B28" i="40"/>
  <c r="B29" i="40"/>
  <c r="B30" i="40"/>
  <c r="B31" i="40"/>
  <c r="B32" i="40"/>
  <c r="B33" i="40"/>
  <c r="B34" i="40"/>
  <c r="B35" i="40"/>
  <c r="B36" i="40"/>
  <c r="B37" i="40"/>
  <c r="B38" i="40"/>
  <c r="B39" i="40"/>
  <c r="B40" i="40"/>
  <c r="B41" i="40"/>
  <c r="B42" i="40"/>
  <c r="B43" i="40"/>
  <c r="B44" i="40"/>
  <c r="B45" i="40"/>
  <c r="B46" i="40"/>
  <c r="B47" i="40"/>
  <c r="B48" i="40"/>
  <c r="B49" i="40"/>
  <c r="B50" i="40"/>
  <c r="B51" i="40"/>
  <c r="B52" i="40"/>
  <c r="B53" i="40"/>
  <c r="B54" i="40"/>
  <c r="B55" i="40"/>
  <c r="B56" i="40"/>
  <c r="B57" i="40"/>
  <c r="B58" i="40"/>
  <c r="B59" i="40"/>
  <c r="B60" i="40"/>
  <c r="B61" i="40"/>
  <c r="B62" i="40"/>
  <c r="B63" i="40"/>
  <c r="B64" i="40"/>
  <c r="B65" i="40"/>
  <c r="B66" i="40"/>
  <c r="B67" i="40"/>
  <c r="B68" i="40"/>
  <c r="B69" i="40"/>
  <c r="B70" i="40"/>
  <c r="B71" i="40"/>
  <c r="B72" i="40"/>
  <c r="B73" i="40"/>
  <c r="B74" i="40"/>
  <c r="B75" i="40"/>
  <c r="B76" i="40"/>
  <c r="B77" i="40"/>
  <c r="B78" i="40"/>
  <c r="B79" i="40"/>
  <c r="B80" i="40"/>
  <c r="B81" i="40"/>
  <c r="B82" i="40"/>
  <c r="B83" i="40"/>
  <c r="B84" i="40"/>
  <c r="B85" i="40"/>
  <c r="B86" i="40"/>
  <c r="B87" i="40"/>
  <c r="B88" i="40"/>
  <c r="B89" i="40"/>
  <c r="B90" i="40"/>
  <c r="B91" i="40"/>
  <c r="B92" i="40"/>
  <c r="B93" i="40"/>
  <c r="B94" i="40"/>
  <c r="B95" i="40"/>
  <c r="B96" i="40"/>
  <c r="B97" i="40"/>
  <c r="B98" i="40"/>
  <c r="B99" i="40"/>
  <c r="B100" i="40"/>
  <c r="B101" i="40"/>
  <c r="B102" i="40"/>
  <c r="B103" i="40"/>
  <c r="B104" i="40"/>
  <c r="B105" i="40"/>
  <c r="B106" i="40"/>
  <c r="B107" i="40"/>
  <c r="B108" i="40"/>
  <c r="B109" i="40"/>
  <c r="B110" i="40"/>
  <c r="B111" i="40"/>
  <c r="B112" i="40"/>
  <c r="B113" i="40"/>
  <c r="B114" i="40"/>
  <c r="B115" i="40"/>
  <c r="B116" i="40"/>
  <c r="B117" i="40"/>
  <c r="B118" i="40"/>
  <c r="B119" i="40"/>
  <c r="B120" i="40"/>
  <c r="B121" i="40"/>
  <c r="B122" i="40"/>
  <c r="B123" i="40"/>
  <c r="B124" i="40"/>
  <c r="B125" i="40"/>
  <c r="B126" i="40"/>
  <c r="B127" i="40"/>
  <c r="B128" i="40"/>
  <c r="B129" i="40"/>
  <c r="B130" i="40"/>
  <c r="B131" i="40"/>
  <c r="B132" i="40"/>
  <c r="B133" i="40"/>
  <c r="B134" i="40"/>
  <c r="B135" i="40"/>
  <c r="B136" i="40"/>
  <c r="B137" i="40"/>
  <c r="B138" i="40"/>
  <c r="B139" i="40"/>
  <c r="B140" i="40"/>
  <c r="B141" i="40"/>
  <c r="B142" i="40"/>
  <c r="B143" i="40"/>
  <c r="B144" i="40"/>
  <c r="B145" i="40"/>
  <c r="B146" i="40"/>
  <c r="B147" i="40"/>
  <c r="B148" i="40"/>
  <c r="B149" i="40"/>
  <c r="B150" i="40"/>
  <c r="B151" i="40"/>
  <c r="B152" i="40"/>
  <c r="B153" i="40"/>
  <c r="B154" i="40"/>
  <c r="B155" i="40"/>
  <c r="B156" i="40"/>
  <c r="B157" i="40"/>
  <c r="B158" i="40"/>
  <c r="B159" i="40"/>
  <c r="B160" i="40"/>
  <c r="B161" i="40"/>
  <c r="B162" i="40"/>
  <c r="B163" i="40"/>
  <c r="B164" i="40"/>
  <c r="B165" i="40"/>
  <c r="B166" i="40"/>
  <c r="B167" i="40"/>
  <c r="B168" i="40"/>
  <c r="B169" i="40"/>
  <c r="B170" i="40"/>
  <c r="B171" i="40"/>
  <c r="B172" i="40"/>
  <c r="B173" i="40"/>
  <c r="B174" i="40"/>
  <c r="B175" i="40"/>
  <c r="B176" i="40"/>
  <c r="B177" i="40"/>
  <c r="B178" i="40"/>
  <c r="B179" i="40"/>
  <c r="B180" i="40"/>
  <c r="B181" i="40"/>
  <c r="B182" i="40"/>
  <c r="B183" i="40"/>
  <c r="B184" i="40"/>
  <c r="B185" i="40"/>
  <c r="B186" i="40"/>
  <c r="B187" i="40"/>
  <c r="B188" i="40"/>
  <c r="B189" i="40"/>
  <c r="B190" i="40"/>
  <c r="B191" i="40"/>
  <c r="B192" i="40"/>
  <c r="B193" i="40"/>
  <c r="B194" i="40"/>
  <c r="B195" i="40"/>
  <c r="B196" i="40"/>
  <c r="B197" i="40"/>
  <c r="B198" i="40"/>
  <c r="B199" i="40"/>
  <c r="B200" i="40"/>
  <c r="B201" i="40"/>
  <c r="B202" i="40"/>
  <c r="B203" i="40"/>
  <c r="B204" i="40"/>
  <c r="B205" i="40"/>
  <c r="B206" i="40"/>
  <c r="B207" i="40"/>
  <c r="B208" i="40"/>
  <c r="B209" i="40"/>
  <c r="B210" i="40"/>
  <c r="B211" i="40"/>
  <c r="B212" i="40"/>
  <c r="B213" i="40"/>
  <c r="B214" i="40"/>
  <c r="B215" i="40"/>
  <c r="B216" i="40"/>
  <c r="B217" i="40"/>
  <c r="B218" i="40"/>
  <c r="B219" i="40"/>
  <c r="B220" i="40"/>
  <c r="B221" i="40"/>
  <c r="B222" i="40"/>
  <c r="B223" i="40"/>
  <c r="B224" i="40"/>
  <c r="B225" i="40"/>
  <c r="B226" i="40"/>
  <c r="B227" i="40"/>
  <c r="B228" i="40"/>
  <c r="B229" i="40"/>
  <c r="B230" i="40"/>
  <c r="B231" i="40"/>
  <c r="B232" i="40"/>
  <c r="B233" i="40"/>
  <c r="B234" i="40"/>
  <c r="B235" i="40"/>
  <c r="B236" i="40"/>
  <c r="B237" i="40"/>
  <c r="B238" i="40"/>
  <c r="B239" i="40"/>
  <c r="B240" i="40"/>
  <c r="B241" i="40"/>
  <c r="B242" i="40"/>
  <c r="B243" i="40"/>
  <c r="B244" i="40"/>
  <c r="B246" i="40"/>
  <c r="B247" i="40"/>
  <c r="B248" i="40"/>
  <c r="B249" i="40"/>
  <c r="B250" i="40"/>
  <c r="B251" i="40"/>
  <c r="B252" i="40"/>
  <c r="B253" i="40"/>
  <c r="B254" i="40"/>
  <c r="B255" i="40"/>
  <c r="B256" i="40"/>
  <c r="B257" i="40"/>
  <c r="B258" i="40"/>
  <c r="B259" i="40"/>
  <c r="B260" i="40"/>
  <c r="B261" i="40"/>
  <c r="B262" i="40"/>
  <c r="B263" i="40"/>
  <c r="B264" i="40"/>
  <c r="B265" i="40"/>
  <c r="B266" i="40"/>
  <c r="B267" i="40"/>
  <c r="B268" i="40"/>
  <c r="B269" i="40"/>
  <c r="B270" i="40"/>
  <c r="B271" i="40"/>
  <c r="B272" i="40"/>
  <c r="B273" i="40"/>
  <c r="B274" i="40"/>
  <c r="B275" i="40"/>
  <c r="B276" i="40"/>
  <c r="B277" i="40"/>
  <c r="B278" i="40"/>
  <c r="B279" i="40"/>
  <c r="B280" i="40"/>
  <c r="B281" i="40"/>
  <c r="B282" i="40"/>
  <c r="B283" i="40"/>
  <c r="B284" i="40"/>
  <c r="B285" i="40"/>
  <c r="B286" i="40"/>
  <c r="B287" i="40"/>
  <c r="B288" i="40"/>
  <c r="B289" i="40"/>
  <c r="B290" i="40"/>
  <c r="B291" i="40"/>
  <c r="B292" i="40"/>
  <c r="B293" i="40"/>
  <c r="B294" i="40"/>
  <c r="B295" i="40"/>
  <c r="B296" i="40"/>
  <c r="B297" i="40"/>
  <c r="B298" i="40"/>
  <c r="B299" i="40"/>
  <c r="B300" i="40"/>
  <c r="B301" i="40"/>
  <c r="B302" i="40"/>
  <c r="B303" i="40"/>
  <c r="B304" i="40"/>
  <c r="B305" i="40"/>
  <c r="B306" i="40"/>
  <c r="B307" i="40"/>
  <c r="B308" i="40"/>
  <c r="B309" i="40"/>
  <c r="B310" i="40"/>
  <c r="B311" i="40"/>
  <c r="B312" i="40"/>
  <c r="B313" i="40"/>
  <c r="B314" i="40"/>
  <c r="B315" i="40"/>
  <c r="B316" i="40"/>
  <c r="B317" i="40"/>
  <c r="B318" i="40"/>
  <c r="B319" i="40"/>
  <c r="B320" i="40"/>
  <c r="B321" i="40"/>
  <c r="B322" i="40"/>
  <c r="B323" i="40"/>
  <c r="B324" i="40"/>
  <c r="B325" i="40"/>
  <c r="B326" i="40"/>
  <c r="B327" i="40"/>
  <c r="B328" i="40"/>
  <c r="B329" i="40"/>
  <c r="B330" i="40"/>
  <c r="B331" i="40"/>
  <c r="B332" i="40"/>
  <c r="B333" i="40"/>
  <c r="B334" i="40"/>
  <c r="B335" i="40"/>
  <c r="B336" i="40"/>
  <c r="B337" i="40"/>
  <c r="B338" i="40"/>
  <c r="B339" i="40"/>
  <c r="B340" i="40"/>
  <c r="B341" i="40"/>
  <c r="B342" i="40"/>
  <c r="B343" i="40"/>
  <c r="B344" i="40"/>
  <c r="B345" i="40"/>
  <c r="B346" i="40"/>
  <c r="B347" i="40"/>
  <c r="B348" i="40"/>
  <c r="B349" i="40"/>
  <c r="B350" i="40"/>
  <c r="B351" i="40"/>
  <c r="B352" i="40"/>
  <c r="B353" i="40"/>
  <c r="B354" i="40"/>
  <c r="B355" i="40"/>
  <c r="B356" i="40"/>
  <c r="B357" i="40"/>
  <c r="B358" i="40"/>
  <c r="B359" i="40"/>
  <c r="B360" i="40"/>
  <c r="B361" i="40"/>
  <c r="B362" i="40"/>
  <c r="B363" i="40"/>
  <c r="B364" i="40"/>
  <c r="B365" i="40"/>
  <c r="B366" i="40"/>
  <c r="B367" i="40"/>
  <c r="B368" i="40"/>
  <c r="B369" i="40"/>
  <c r="B370" i="40"/>
  <c r="B371" i="40"/>
  <c r="B372" i="40"/>
  <c r="B373" i="40"/>
  <c r="B374" i="40"/>
  <c r="B375" i="40"/>
  <c r="B376" i="40"/>
  <c r="B377" i="40"/>
  <c r="B378" i="40"/>
  <c r="B379" i="40"/>
  <c r="B380" i="40"/>
  <c r="B381" i="40"/>
  <c r="B382" i="40"/>
  <c r="B383" i="40"/>
  <c r="B384" i="40"/>
  <c r="B385" i="40"/>
  <c r="B386" i="40"/>
  <c r="B387" i="40"/>
  <c r="B388" i="40"/>
  <c r="B389" i="40"/>
  <c r="B390" i="40"/>
  <c r="B391" i="40"/>
  <c r="B392" i="40"/>
  <c r="B393" i="40"/>
  <c r="B394" i="40"/>
  <c r="B395" i="40"/>
  <c r="B396" i="40"/>
  <c r="B397" i="40"/>
  <c r="B398" i="40"/>
  <c r="B399" i="40"/>
  <c r="B400" i="40"/>
  <c r="B401" i="40"/>
  <c r="B402" i="40"/>
  <c r="B403" i="40"/>
  <c r="B404" i="40"/>
  <c r="B405" i="40"/>
  <c r="B406" i="40"/>
  <c r="B407" i="40"/>
  <c r="B408" i="40"/>
  <c r="B409" i="40"/>
  <c r="B410" i="40"/>
  <c r="B411" i="40"/>
  <c r="B412" i="40"/>
  <c r="B413" i="40"/>
  <c r="B414" i="40"/>
  <c r="B415" i="40"/>
  <c r="B416" i="40"/>
  <c r="B417" i="40"/>
  <c r="B418" i="40"/>
  <c r="B419" i="40"/>
  <c r="B420" i="40"/>
  <c r="B421" i="40"/>
  <c r="B422" i="40"/>
  <c r="B423" i="40"/>
  <c r="B424" i="40"/>
  <c r="B425" i="40"/>
  <c r="B426" i="40"/>
  <c r="B427" i="40"/>
  <c r="B428" i="40"/>
  <c r="B429" i="40"/>
  <c r="B430" i="40"/>
  <c r="B431" i="40"/>
  <c r="B432" i="40"/>
  <c r="B433" i="40"/>
  <c r="B434" i="40"/>
  <c r="B435" i="40"/>
  <c r="B436" i="40"/>
  <c r="B437" i="40"/>
  <c r="B438" i="40"/>
  <c r="B439" i="40"/>
  <c r="B440" i="40"/>
  <c r="B441" i="40"/>
  <c r="B442" i="40"/>
  <c r="B443" i="40"/>
  <c r="B444" i="40"/>
  <c r="B445" i="40"/>
  <c r="B446" i="40"/>
  <c r="B447" i="40"/>
  <c r="B448" i="40"/>
  <c r="B449" i="40"/>
  <c r="B450" i="40"/>
  <c r="B451" i="40"/>
  <c r="B452" i="40"/>
  <c r="B453" i="40"/>
  <c r="B454" i="40"/>
  <c r="B455" i="40"/>
  <c r="B456" i="40"/>
  <c r="B457" i="40"/>
  <c r="B458" i="40"/>
  <c r="B459" i="40"/>
  <c r="B460" i="40"/>
  <c r="B461" i="40"/>
  <c r="B462" i="40"/>
  <c r="B463" i="40"/>
  <c r="B464" i="40"/>
  <c r="B465" i="40"/>
  <c r="B466" i="40"/>
  <c r="B467" i="40"/>
  <c r="B468" i="40"/>
  <c r="B469" i="40"/>
  <c r="B470" i="40"/>
  <c r="B471" i="40"/>
  <c r="B472" i="40"/>
  <c r="B473" i="40"/>
  <c r="B474" i="40"/>
  <c r="B475" i="40"/>
  <c r="B5" i="40"/>
  <c r="E5" i="40" s="1"/>
  <c r="B4" i="40"/>
  <c r="E4" i="40" s="1"/>
  <c r="C475" i="40"/>
  <c r="C472" i="40"/>
  <c r="C471" i="40"/>
  <c r="C468" i="40"/>
  <c r="C467" i="40"/>
  <c r="C464" i="40"/>
  <c r="C463" i="40"/>
  <c r="C460" i="40"/>
  <c r="C459" i="40"/>
  <c r="C456" i="40"/>
  <c r="C455" i="40"/>
  <c r="C452" i="40"/>
  <c r="C451" i="40"/>
  <c r="C448" i="40"/>
  <c r="C447" i="40"/>
  <c r="C444" i="40"/>
  <c r="C443" i="40"/>
  <c r="C440" i="40"/>
  <c r="C439" i="40"/>
  <c r="C437" i="40"/>
  <c r="C436" i="40"/>
  <c r="C435" i="40"/>
  <c r="C432" i="40"/>
  <c r="C431" i="40"/>
  <c r="C429" i="40"/>
  <c r="C428" i="40"/>
  <c r="C427" i="40"/>
  <c r="C424" i="40"/>
  <c r="C423" i="40"/>
  <c r="C421" i="40"/>
  <c r="C420" i="40"/>
  <c r="C419" i="40"/>
  <c r="C416" i="40"/>
  <c r="C415" i="40"/>
  <c r="C413" i="40"/>
  <c r="C412" i="40"/>
  <c r="C411" i="40"/>
  <c r="C408" i="40"/>
  <c r="C407" i="40"/>
  <c r="C405" i="40"/>
  <c r="C404" i="40"/>
  <c r="C403" i="40"/>
  <c r="C400" i="40"/>
  <c r="C399" i="40"/>
  <c r="C397" i="40"/>
  <c r="C396" i="40"/>
  <c r="C395" i="40"/>
  <c r="C392" i="40"/>
  <c r="C391" i="40"/>
  <c r="C389" i="40"/>
  <c r="C388" i="40"/>
  <c r="C387" i="40"/>
  <c r="C384" i="40"/>
  <c r="C383" i="40"/>
  <c r="C381" i="40"/>
  <c r="C380" i="40"/>
  <c r="C379" i="40"/>
  <c r="C376" i="40"/>
  <c r="C375" i="40"/>
  <c r="C373" i="40"/>
  <c r="C372" i="40"/>
  <c r="C371" i="40"/>
  <c r="C368" i="40"/>
  <c r="C367" i="40"/>
  <c r="C365" i="40"/>
  <c r="C364" i="40"/>
  <c r="C363" i="40"/>
  <c r="C361" i="40"/>
  <c r="C360" i="40"/>
  <c r="C359" i="40"/>
  <c r="C357" i="40"/>
  <c r="C356" i="40"/>
  <c r="C355" i="40"/>
  <c r="C352" i="40"/>
  <c r="C351" i="40"/>
  <c r="C349" i="40"/>
  <c r="C348" i="40"/>
  <c r="C347" i="40"/>
  <c r="C344" i="40"/>
  <c r="C343" i="40"/>
  <c r="C341" i="40"/>
  <c r="C340" i="40"/>
  <c r="C339" i="40"/>
  <c r="C336" i="40"/>
  <c r="C335" i="40"/>
  <c r="C333" i="40"/>
  <c r="C332" i="40"/>
  <c r="C331" i="40"/>
  <c r="C328" i="40"/>
  <c r="C327" i="40"/>
  <c r="C325" i="40"/>
  <c r="C324" i="40"/>
  <c r="C323" i="40"/>
  <c r="C320" i="40"/>
  <c r="C319" i="40"/>
  <c r="C317" i="40"/>
  <c r="C316" i="40"/>
  <c r="C315" i="40"/>
  <c r="C313" i="40"/>
  <c r="C312" i="40"/>
  <c r="C311" i="40"/>
  <c r="C309" i="40"/>
  <c r="C308" i="40"/>
  <c r="C307" i="40"/>
  <c r="C305" i="40"/>
  <c r="C304" i="40"/>
  <c r="C303" i="40"/>
  <c r="C301" i="40"/>
  <c r="C300" i="40"/>
  <c r="C299" i="40"/>
  <c r="C297" i="40"/>
  <c r="C296" i="40"/>
  <c r="C295" i="40"/>
  <c r="C293" i="40"/>
  <c r="C292" i="40"/>
  <c r="C291" i="40"/>
  <c r="C289" i="40"/>
  <c r="C288" i="40"/>
  <c r="C287" i="40"/>
  <c r="C285" i="40"/>
  <c r="C284" i="40"/>
  <c r="C283" i="40"/>
  <c r="C281" i="40"/>
  <c r="C280" i="40"/>
  <c r="C279" i="40"/>
  <c r="C277" i="40"/>
  <c r="C276" i="40"/>
  <c r="C275" i="40"/>
  <c r="C273" i="40"/>
  <c r="C272" i="40"/>
  <c r="C271" i="40"/>
  <c r="C269" i="40"/>
  <c r="C268" i="40"/>
  <c r="C267" i="40"/>
  <c r="C265" i="40"/>
  <c r="C264" i="40"/>
  <c r="C263" i="40"/>
  <c r="C261" i="40"/>
  <c r="C260" i="40"/>
  <c r="C259" i="40"/>
  <c r="C257" i="40"/>
  <c r="C256" i="40"/>
  <c r="C255" i="40"/>
  <c r="C253" i="40"/>
  <c r="C252" i="40"/>
  <c r="C251" i="40"/>
  <c r="C249" i="40"/>
  <c r="C248" i="40"/>
  <c r="C247" i="40"/>
  <c r="F2" i="40"/>
  <c r="D2" i="40"/>
  <c r="F1" i="39"/>
  <c r="C9" i="39"/>
  <c r="D1" i="39"/>
  <c r="C8" i="39" s="1"/>
  <c r="B8" i="39"/>
  <c r="B6" i="39"/>
  <c r="B7" i="39"/>
  <c r="B9" i="39"/>
  <c r="B5" i="39"/>
  <c r="G4" i="39"/>
  <c r="F5" i="39" s="1"/>
  <c r="B4" i="39"/>
  <c r="E4" i="39" s="1"/>
  <c r="F1" i="38"/>
  <c r="B59" i="38"/>
  <c r="B58" i="38"/>
  <c r="B57" i="38"/>
  <c r="B56" i="38"/>
  <c r="B55" i="38"/>
  <c r="B54" i="38"/>
  <c r="B53" i="38"/>
  <c r="B52" i="38"/>
  <c r="B51" i="38"/>
  <c r="B50" i="38"/>
  <c r="B49" i="38"/>
  <c r="B48" i="38"/>
  <c r="B47" i="38"/>
  <c r="B46" i="38"/>
  <c r="B45" i="38"/>
  <c r="B44" i="38"/>
  <c r="B43" i="38"/>
  <c r="B42" i="38"/>
  <c r="B41" i="38"/>
  <c r="B40" i="38"/>
  <c r="B39" i="38"/>
  <c r="B38" i="38"/>
  <c r="B37" i="38"/>
  <c r="B36" i="38"/>
  <c r="B35" i="38"/>
  <c r="B34" i="38"/>
  <c r="B33" i="38"/>
  <c r="B32" i="38"/>
  <c r="B31" i="38"/>
  <c r="B30" i="38"/>
  <c r="B29" i="38"/>
  <c r="B28" i="38"/>
  <c r="B27" i="38"/>
  <c r="B26" i="38"/>
  <c r="B25" i="38"/>
  <c r="B24" i="38"/>
  <c r="B23" i="38"/>
  <c r="B22" i="38"/>
  <c r="B21" i="38"/>
  <c r="B20" i="38"/>
  <c r="B19" i="38"/>
  <c r="B18" i="38"/>
  <c r="B17" i="38"/>
  <c r="B16" i="38"/>
  <c r="B15" i="38"/>
  <c r="B14" i="38"/>
  <c r="B13" i="38"/>
  <c r="B12" i="38"/>
  <c r="B11" i="38"/>
  <c r="B10" i="38"/>
  <c r="B9" i="38"/>
  <c r="B8" i="38"/>
  <c r="B7" i="38"/>
  <c r="B6" i="38"/>
  <c r="B5" i="38"/>
  <c r="E4" i="38"/>
  <c r="B4" i="38"/>
  <c r="C54" i="38"/>
  <c r="D1" i="38"/>
  <c r="C38" i="38" s="1"/>
  <c r="F1" i="37"/>
  <c r="C58" i="37" s="1"/>
  <c r="B59" i="37"/>
  <c r="B58" i="37"/>
  <c r="B57" i="37"/>
  <c r="B56" i="37"/>
  <c r="B55" i="37"/>
  <c r="B54" i="37"/>
  <c r="B53" i="37"/>
  <c r="B52" i="37"/>
  <c r="B51" i="37"/>
  <c r="B50" i="37"/>
  <c r="B49" i="37"/>
  <c r="B48" i="37"/>
  <c r="B47" i="37"/>
  <c r="B46" i="37"/>
  <c r="B45" i="37"/>
  <c r="B44" i="37"/>
  <c r="B43" i="37"/>
  <c r="B42" i="37"/>
  <c r="B41" i="37"/>
  <c r="B40" i="37"/>
  <c r="B39" i="37"/>
  <c r="B38" i="37"/>
  <c r="B37" i="37"/>
  <c r="B36" i="37"/>
  <c r="B35" i="37"/>
  <c r="B34" i="37"/>
  <c r="B33" i="37"/>
  <c r="B32" i="37"/>
  <c r="B31" i="37"/>
  <c r="B30" i="37"/>
  <c r="B29" i="37"/>
  <c r="B28" i="37"/>
  <c r="B27" i="37"/>
  <c r="B26" i="37"/>
  <c r="B25" i="37"/>
  <c r="B24" i="37"/>
  <c r="B23" i="37"/>
  <c r="B22" i="37"/>
  <c r="B21" i="37"/>
  <c r="B20" i="37"/>
  <c r="B19" i="37"/>
  <c r="C18" i="37"/>
  <c r="B18" i="37"/>
  <c r="B17" i="37"/>
  <c r="B16" i="37"/>
  <c r="B15" i="37"/>
  <c r="C14" i="37"/>
  <c r="B14" i="37"/>
  <c r="B13" i="37"/>
  <c r="B12" i="37"/>
  <c r="B11" i="37"/>
  <c r="B10" i="37"/>
  <c r="B9" i="37"/>
  <c r="B8" i="37"/>
  <c r="B7" i="37"/>
  <c r="C6" i="37"/>
  <c r="B6" i="37"/>
  <c r="B5" i="37"/>
  <c r="B4" i="37"/>
  <c r="E4" i="37" s="1"/>
  <c r="D1" i="37"/>
  <c r="C38" i="37" s="1"/>
  <c r="F1" i="35"/>
  <c r="C49" i="35" s="1"/>
  <c r="C53" i="35"/>
  <c r="B40" i="35"/>
  <c r="B59" i="35"/>
  <c r="B58" i="35"/>
  <c r="B57" i="35"/>
  <c r="B56" i="35"/>
  <c r="B55" i="35"/>
  <c r="B54" i="35"/>
  <c r="B53" i="35"/>
  <c r="B52" i="35"/>
  <c r="B51" i="35"/>
  <c r="B50" i="35"/>
  <c r="B49" i="35"/>
  <c r="B48" i="35"/>
  <c r="B47" i="35"/>
  <c r="B46" i="35"/>
  <c r="B45" i="35"/>
  <c r="B44" i="35"/>
  <c r="B43" i="35"/>
  <c r="B42" i="35"/>
  <c r="B41" i="35"/>
  <c r="D1" i="35"/>
  <c r="C38" i="35" s="1"/>
  <c r="B6" i="35"/>
  <c r="B7" i="35"/>
  <c r="B8" i="35"/>
  <c r="B9" i="35"/>
  <c r="B10" i="35"/>
  <c r="B11" i="35"/>
  <c r="B12" i="35"/>
  <c r="B13" i="35"/>
  <c r="B14" i="35"/>
  <c r="B15" i="35"/>
  <c r="B16" i="35"/>
  <c r="B17" i="35"/>
  <c r="B18" i="35"/>
  <c r="B19" i="35"/>
  <c r="B20" i="35"/>
  <c r="B21" i="35"/>
  <c r="B22" i="35"/>
  <c r="B23" i="35"/>
  <c r="B24" i="35"/>
  <c r="B25" i="35"/>
  <c r="B26" i="35"/>
  <c r="B27" i="35"/>
  <c r="B28" i="35"/>
  <c r="B29" i="35"/>
  <c r="B30" i="35"/>
  <c r="B31" i="35"/>
  <c r="B32" i="35"/>
  <c r="B33" i="35"/>
  <c r="B34" i="35"/>
  <c r="B35" i="35"/>
  <c r="B36" i="35"/>
  <c r="B37" i="35"/>
  <c r="B38" i="35"/>
  <c r="B39" i="35"/>
  <c r="B5" i="35"/>
  <c r="B4" i="35"/>
  <c r="E4" i="35" s="1"/>
  <c r="C48" i="34"/>
  <c r="C56" i="34"/>
  <c r="F1" i="34"/>
  <c r="C49" i="34" s="1"/>
  <c r="B40" i="34"/>
  <c r="B59" i="34"/>
  <c r="B58" i="34"/>
  <c r="B57" i="34"/>
  <c r="B56" i="34"/>
  <c r="B55" i="34"/>
  <c r="B54" i="34"/>
  <c r="B53" i="34"/>
  <c r="B52" i="34"/>
  <c r="B51" i="34"/>
  <c r="B50" i="34"/>
  <c r="B49" i="34"/>
  <c r="B48" i="34"/>
  <c r="B47" i="34"/>
  <c r="B46" i="34"/>
  <c r="B45" i="34"/>
  <c r="B44" i="34"/>
  <c r="B43" i="34"/>
  <c r="B42" i="34"/>
  <c r="B41" i="34"/>
  <c r="C40" i="34"/>
  <c r="C13" i="34"/>
  <c r="C15" i="34"/>
  <c r="C16" i="34"/>
  <c r="C24" i="34"/>
  <c r="C29" i="34"/>
  <c r="C31" i="34"/>
  <c r="C32" i="34"/>
  <c r="C6" i="34"/>
  <c r="C9" i="34"/>
  <c r="D1" i="34"/>
  <c r="C5" i="34" s="1"/>
  <c r="B10" i="34"/>
  <c r="B11" i="34"/>
  <c r="B12" i="34"/>
  <c r="B13" i="34"/>
  <c r="B14" i="34"/>
  <c r="B15" i="34"/>
  <c r="B16" i="34"/>
  <c r="B17" i="34"/>
  <c r="B18" i="34"/>
  <c r="B19" i="34"/>
  <c r="B20" i="34"/>
  <c r="B21" i="34"/>
  <c r="B22" i="34"/>
  <c r="B23" i="34"/>
  <c r="B24" i="34"/>
  <c r="B25" i="34"/>
  <c r="B26" i="34"/>
  <c r="B27" i="34"/>
  <c r="B28" i="34"/>
  <c r="B29" i="34"/>
  <c r="B30" i="34"/>
  <c r="B31" i="34"/>
  <c r="B32" i="34"/>
  <c r="B33" i="34"/>
  <c r="B34" i="34"/>
  <c r="B35" i="34"/>
  <c r="B36" i="34"/>
  <c r="B37" i="34"/>
  <c r="B38" i="34"/>
  <c r="B39" i="34"/>
  <c r="B6" i="34"/>
  <c r="B7" i="34"/>
  <c r="B8" i="34"/>
  <c r="B9" i="34"/>
  <c r="B5" i="34"/>
  <c r="B4" i="34"/>
  <c r="E4" i="34" s="1"/>
  <c r="H98" i="54" l="1"/>
  <c r="E98" i="54"/>
  <c r="D98" i="54" s="1"/>
  <c r="G98" i="54" s="1"/>
  <c r="F99" i="54" s="1"/>
  <c r="I97" i="54"/>
  <c r="C246" i="40"/>
  <c r="C254" i="40"/>
  <c r="C262" i="40"/>
  <c r="C270" i="40"/>
  <c r="C278" i="40"/>
  <c r="C286" i="40"/>
  <c r="C294" i="40"/>
  <c r="C302" i="40"/>
  <c r="C310" i="40"/>
  <c r="C318" i="40"/>
  <c r="C326" i="40"/>
  <c r="C334" i="40"/>
  <c r="C342" i="40"/>
  <c r="C350" i="40"/>
  <c r="C358" i="40"/>
  <c r="C366" i="40"/>
  <c r="C374" i="40"/>
  <c r="C382" i="40"/>
  <c r="C390" i="40"/>
  <c r="C398" i="40"/>
  <c r="C406" i="40"/>
  <c r="C414" i="40"/>
  <c r="C422" i="40"/>
  <c r="C430" i="40"/>
  <c r="C438" i="40"/>
  <c r="C446" i="40"/>
  <c r="C454" i="40"/>
  <c r="C462" i="40"/>
  <c r="C470" i="40"/>
  <c r="C473" i="40"/>
  <c r="C321" i="40"/>
  <c r="C329" i="40"/>
  <c r="C337" i="40"/>
  <c r="C345" i="40"/>
  <c r="C353" i="40"/>
  <c r="C369" i="40"/>
  <c r="C377" i="40"/>
  <c r="C385" i="40"/>
  <c r="C393" i="40"/>
  <c r="C401" i="40"/>
  <c r="C409" i="40"/>
  <c r="C417" i="40"/>
  <c r="C425" i="40"/>
  <c r="C433" i="40"/>
  <c r="C441" i="40"/>
  <c r="C449" i="40"/>
  <c r="C457" i="40"/>
  <c r="C465" i="40"/>
  <c r="C250" i="40"/>
  <c r="C258" i="40"/>
  <c r="C266" i="40"/>
  <c r="C274" i="40"/>
  <c r="C282" i="40"/>
  <c r="C290" i="40"/>
  <c r="C298" i="40"/>
  <c r="C306" i="40"/>
  <c r="C314" i="40"/>
  <c r="C322" i="40"/>
  <c r="C330" i="40"/>
  <c r="C338" i="40"/>
  <c r="C346" i="40"/>
  <c r="C354" i="40"/>
  <c r="C362" i="40"/>
  <c r="C370" i="40"/>
  <c r="C378" i="40"/>
  <c r="C386" i="40"/>
  <c r="C394" i="40"/>
  <c r="C402" i="40"/>
  <c r="C410" i="40"/>
  <c r="C418" i="40"/>
  <c r="C426" i="40"/>
  <c r="C434" i="40"/>
  <c r="C442" i="40"/>
  <c r="C450" i="40"/>
  <c r="C458" i="40"/>
  <c r="C466" i="40"/>
  <c r="C474" i="40"/>
  <c r="C445" i="40"/>
  <c r="C453" i="40"/>
  <c r="C461" i="40"/>
  <c r="C245" i="40"/>
  <c r="I5" i="40"/>
  <c r="C244" i="40"/>
  <c r="C243" i="40"/>
  <c r="C242" i="40"/>
  <c r="C241" i="40"/>
  <c r="C240" i="40"/>
  <c r="C239" i="40"/>
  <c r="C238" i="40"/>
  <c r="C237" i="40"/>
  <c r="C236" i="40"/>
  <c r="C235" i="40"/>
  <c r="C234" i="40"/>
  <c r="C233" i="40"/>
  <c r="C232" i="40"/>
  <c r="C231" i="40"/>
  <c r="C230" i="40"/>
  <c r="C229" i="40"/>
  <c r="C228" i="40"/>
  <c r="C220" i="40"/>
  <c r="C212" i="40"/>
  <c r="C204" i="40"/>
  <c r="C196" i="40"/>
  <c r="C221" i="40"/>
  <c r="C213" i="40"/>
  <c r="C205" i="40"/>
  <c r="C197" i="40"/>
  <c r="C222" i="40"/>
  <c r="C214" i="40"/>
  <c r="C206" i="40"/>
  <c r="C198" i="40"/>
  <c r="C223" i="40"/>
  <c r="C215" i="40"/>
  <c r="C207" i="40"/>
  <c r="C199" i="40"/>
  <c r="C224" i="40"/>
  <c r="C216" i="40"/>
  <c r="C208" i="40"/>
  <c r="C200" i="40"/>
  <c r="C192" i="40"/>
  <c r="C191" i="40"/>
  <c r="C190" i="40"/>
  <c r="C189" i="40"/>
  <c r="C188" i="40"/>
  <c r="C187" i="40"/>
  <c r="C186" i="40"/>
  <c r="C185" i="40"/>
  <c r="C184" i="40"/>
  <c r="C183" i="40"/>
  <c r="C182" i="40"/>
  <c r="C181" i="40"/>
  <c r="C180" i="40"/>
  <c r="C179" i="40"/>
  <c r="C178" i="40"/>
  <c r="C177" i="40"/>
  <c r="C176" i="40"/>
  <c r="C175" i="40"/>
  <c r="C174" i="40"/>
  <c r="C173" i="40"/>
  <c r="C217" i="40"/>
  <c r="C210" i="40"/>
  <c r="C169" i="40"/>
  <c r="C165" i="40"/>
  <c r="C161" i="40"/>
  <c r="C153" i="40"/>
  <c r="C227" i="40"/>
  <c r="C195" i="40"/>
  <c r="C154" i="40"/>
  <c r="C209" i="40"/>
  <c r="C202" i="40"/>
  <c r="C170" i="40"/>
  <c r="C166" i="40"/>
  <c r="C162" i="40"/>
  <c r="C155" i="40"/>
  <c r="C219" i="40"/>
  <c r="C156" i="40"/>
  <c r="C148" i="40"/>
  <c r="C147" i="40"/>
  <c r="C146" i="40"/>
  <c r="C145" i="40"/>
  <c r="C144" i="40"/>
  <c r="C143" i="40"/>
  <c r="C142" i="40"/>
  <c r="C141" i="40"/>
  <c r="C140" i="40"/>
  <c r="C139" i="40"/>
  <c r="C138" i="40"/>
  <c r="C137" i="40"/>
  <c r="C136" i="40"/>
  <c r="C135" i="40"/>
  <c r="C134" i="40"/>
  <c r="C133" i="40"/>
  <c r="C132" i="40"/>
  <c r="C131" i="40"/>
  <c r="C130" i="40"/>
  <c r="C129" i="40"/>
  <c r="C128" i="40"/>
  <c r="C127" i="40"/>
  <c r="C126" i="40"/>
  <c r="C125" i="40"/>
  <c r="C124" i="40"/>
  <c r="C123" i="40"/>
  <c r="C122" i="40"/>
  <c r="C121" i="40"/>
  <c r="C120" i="40"/>
  <c r="C119" i="40"/>
  <c r="C118" i="40"/>
  <c r="C117" i="40"/>
  <c r="C116" i="40"/>
  <c r="C115" i="40"/>
  <c r="C114" i="40"/>
  <c r="C113" i="40"/>
  <c r="C112" i="40"/>
  <c r="C111" i="40"/>
  <c r="C110" i="40"/>
  <c r="C109" i="40"/>
  <c r="C108" i="40"/>
  <c r="C107" i="40"/>
  <c r="C106" i="40"/>
  <c r="C105" i="40"/>
  <c r="C104" i="40"/>
  <c r="C103" i="40"/>
  <c r="C102" i="40"/>
  <c r="C101" i="40"/>
  <c r="C100" i="40"/>
  <c r="C99" i="40"/>
  <c r="C98" i="40"/>
  <c r="C97" i="40"/>
  <c r="C96" i="40"/>
  <c r="C226" i="40"/>
  <c r="C201" i="40"/>
  <c r="C194" i="40"/>
  <c r="C171" i="40"/>
  <c r="C167" i="40"/>
  <c r="C163" i="40"/>
  <c r="C157" i="40"/>
  <c r="C149" i="40"/>
  <c r="C211" i="40"/>
  <c r="C158" i="40"/>
  <c r="C150" i="40"/>
  <c r="C225" i="40"/>
  <c r="C218" i="40"/>
  <c r="C193" i="40"/>
  <c r="C172" i="40"/>
  <c r="C168" i="40"/>
  <c r="C164" i="40"/>
  <c r="C159" i="40"/>
  <c r="C151" i="40"/>
  <c r="C152" i="40"/>
  <c r="C5" i="40"/>
  <c r="D5" i="40" s="1"/>
  <c r="G5" i="40" s="1"/>
  <c r="F6" i="40" s="1"/>
  <c r="E6" i="40" s="1"/>
  <c r="C160" i="40"/>
  <c r="C95" i="40"/>
  <c r="C94" i="40"/>
  <c r="C93" i="40"/>
  <c r="C92" i="40"/>
  <c r="C91" i="40"/>
  <c r="C90" i="40"/>
  <c r="C89" i="40"/>
  <c r="C88" i="40"/>
  <c r="C87" i="40"/>
  <c r="C86" i="40"/>
  <c r="C85" i="40"/>
  <c r="C84" i="40"/>
  <c r="C83" i="40"/>
  <c r="C82" i="40"/>
  <c r="C81" i="40"/>
  <c r="C80" i="40"/>
  <c r="C79" i="40"/>
  <c r="C78" i="40"/>
  <c r="C77" i="40"/>
  <c r="C76" i="40"/>
  <c r="C75" i="40"/>
  <c r="C74" i="40"/>
  <c r="C73" i="40"/>
  <c r="C72" i="40"/>
  <c r="C71" i="40"/>
  <c r="C70" i="40"/>
  <c r="C69" i="40"/>
  <c r="C68" i="40"/>
  <c r="C67" i="40"/>
  <c r="C66" i="40"/>
  <c r="C65" i="40"/>
  <c r="C64" i="40"/>
  <c r="C63" i="40"/>
  <c r="C62" i="40"/>
  <c r="C61" i="40"/>
  <c r="C60" i="40"/>
  <c r="C59" i="40"/>
  <c r="C58" i="40"/>
  <c r="C57" i="40"/>
  <c r="C56" i="40"/>
  <c r="C55" i="40"/>
  <c r="C54" i="40"/>
  <c r="C53" i="40"/>
  <c r="C52" i="40"/>
  <c r="C51" i="40"/>
  <c r="C50" i="40"/>
  <c r="C49" i="40"/>
  <c r="C48" i="40"/>
  <c r="C47" i="40"/>
  <c r="C46" i="40"/>
  <c r="C45" i="40"/>
  <c r="C44" i="40"/>
  <c r="C43" i="40"/>
  <c r="C42" i="40"/>
  <c r="C41" i="40"/>
  <c r="C40" i="40"/>
  <c r="C39" i="40"/>
  <c r="C38" i="40"/>
  <c r="C37" i="40"/>
  <c r="C36" i="40"/>
  <c r="C35" i="40"/>
  <c r="C34" i="40"/>
  <c r="C33" i="40"/>
  <c r="C32" i="40"/>
  <c r="C31" i="40"/>
  <c r="C30" i="40"/>
  <c r="C29" i="40"/>
  <c r="C28" i="40"/>
  <c r="C27" i="40"/>
  <c r="C26" i="40"/>
  <c r="C25" i="40"/>
  <c r="C24" i="40"/>
  <c r="C23" i="40"/>
  <c r="C22" i="40"/>
  <c r="C21" i="40"/>
  <c r="C20" i="40"/>
  <c r="C19" i="40"/>
  <c r="C18" i="40"/>
  <c r="C17" i="40"/>
  <c r="C16" i="40"/>
  <c r="C15" i="40"/>
  <c r="C14" i="40"/>
  <c r="C13" i="40"/>
  <c r="C12" i="40"/>
  <c r="C11" i="40"/>
  <c r="C10" i="40"/>
  <c r="C9" i="40"/>
  <c r="C8" i="40"/>
  <c r="C7" i="40"/>
  <c r="C6" i="40"/>
  <c r="E5" i="39"/>
  <c r="C7" i="39"/>
  <c r="C6" i="39"/>
  <c r="C5" i="39"/>
  <c r="C23" i="38"/>
  <c r="C11" i="38"/>
  <c r="C15" i="38"/>
  <c r="C19" i="38"/>
  <c r="C40" i="38"/>
  <c r="C7" i="38"/>
  <c r="C27" i="38"/>
  <c r="C58" i="38"/>
  <c r="C41" i="38"/>
  <c r="C45" i="38"/>
  <c r="C49" i="38"/>
  <c r="C53" i="38"/>
  <c r="C57" i="38"/>
  <c r="C5" i="38"/>
  <c r="C9" i="38"/>
  <c r="C13" i="38"/>
  <c r="C17" i="38"/>
  <c r="C21" i="38"/>
  <c r="C25" i="38"/>
  <c r="C29" i="38"/>
  <c r="C33" i="38"/>
  <c r="C37" i="38"/>
  <c r="C44" i="38"/>
  <c r="C48" i="38"/>
  <c r="C52" i="38"/>
  <c r="C56" i="38"/>
  <c r="C8" i="38"/>
  <c r="C12" i="38"/>
  <c r="C16" i="38"/>
  <c r="C20" i="38"/>
  <c r="C24" i="38"/>
  <c r="C28" i="38"/>
  <c r="C32" i="38"/>
  <c r="C36" i="38"/>
  <c r="C4" i="38"/>
  <c r="D4" i="38" s="1"/>
  <c r="G4" i="38" s="1"/>
  <c r="F5" i="38" s="1"/>
  <c r="C43" i="38"/>
  <c r="C47" i="38"/>
  <c r="C51" i="38"/>
  <c r="C55" i="38"/>
  <c r="C59" i="38"/>
  <c r="C31" i="38"/>
  <c r="C35" i="38"/>
  <c r="C39" i="38"/>
  <c r="D39" i="38" s="1"/>
  <c r="C42" i="38"/>
  <c r="C46" i="38"/>
  <c r="C50" i="38"/>
  <c r="C6" i="38"/>
  <c r="C10" i="38"/>
  <c r="C14" i="38"/>
  <c r="C18" i="38"/>
  <c r="C22" i="38"/>
  <c r="C26" i="38"/>
  <c r="C30" i="38"/>
  <c r="C34" i="38"/>
  <c r="C10" i="37"/>
  <c r="C40" i="37"/>
  <c r="C41" i="37"/>
  <c r="C45" i="37"/>
  <c r="C49" i="37"/>
  <c r="C53" i="37"/>
  <c r="C57" i="37"/>
  <c r="C5" i="37"/>
  <c r="C9" i="37"/>
  <c r="C13" i="37"/>
  <c r="C17" i="37"/>
  <c r="C21" i="37"/>
  <c r="C25" i="37"/>
  <c r="C29" i="37"/>
  <c r="C33" i="37"/>
  <c r="C37" i="37"/>
  <c r="C8" i="37"/>
  <c r="C12" i="37"/>
  <c r="C16" i="37"/>
  <c r="C20" i="37"/>
  <c r="C24" i="37"/>
  <c r="C28" i="37"/>
  <c r="C32" i="37"/>
  <c r="C36" i="37"/>
  <c r="C48" i="37"/>
  <c r="C52" i="37"/>
  <c r="C56" i="37"/>
  <c r="C4" i="37"/>
  <c r="D4" i="37" s="1"/>
  <c r="G4" i="37" s="1"/>
  <c r="F5" i="37" s="1"/>
  <c r="C43" i="37"/>
  <c r="C47" i="37"/>
  <c r="C51" i="37"/>
  <c r="C55" i="37"/>
  <c r="C59" i="37"/>
  <c r="D59" i="37" s="1"/>
  <c r="C7" i="37"/>
  <c r="C11" i="37"/>
  <c r="C15" i="37"/>
  <c r="C19" i="37"/>
  <c r="C23" i="37"/>
  <c r="C27" i="37"/>
  <c r="C31" i="37"/>
  <c r="C35" i="37"/>
  <c r="C39" i="37"/>
  <c r="D39" i="37" s="1"/>
  <c r="C44" i="37"/>
  <c r="C42" i="37"/>
  <c r="C46" i="37"/>
  <c r="C50" i="37"/>
  <c r="C54" i="37"/>
  <c r="C22" i="37"/>
  <c r="C26" i="37"/>
  <c r="C30" i="37"/>
  <c r="C34" i="37"/>
  <c r="C51" i="35"/>
  <c r="C50" i="35"/>
  <c r="C59" i="35"/>
  <c r="C48" i="35"/>
  <c r="C40" i="35"/>
  <c r="C58" i="35"/>
  <c r="C47" i="35"/>
  <c r="C56" i="35"/>
  <c r="C45" i="35"/>
  <c r="C55" i="35"/>
  <c r="C42" i="35"/>
  <c r="C54" i="35"/>
  <c r="C46" i="35"/>
  <c r="C41" i="35"/>
  <c r="C52" i="35"/>
  <c r="C44" i="35"/>
  <c r="C43" i="35"/>
  <c r="C57" i="35"/>
  <c r="C31" i="35"/>
  <c r="C7" i="35"/>
  <c r="C11" i="35"/>
  <c r="C39" i="35"/>
  <c r="C15" i="35"/>
  <c r="C35" i="35"/>
  <c r="C19" i="35"/>
  <c r="C27" i="35"/>
  <c r="C4" i="35"/>
  <c r="D4" i="35" s="1"/>
  <c r="G4" i="35" s="1"/>
  <c r="F5" i="35" s="1"/>
  <c r="E5" i="35" s="1"/>
  <c r="C23" i="35"/>
  <c r="C5" i="35"/>
  <c r="C9" i="35"/>
  <c r="C13" i="35"/>
  <c r="C17" i="35"/>
  <c r="C21" i="35"/>
  <c r="C25" i="35"/>
  <c r="C29" i="35"/>
  <c r="C33" i="35"/>
  <c r="C37" i="35"/>
  <c r="C8" i="35"/>
  <c r="C12" i="35"/>
  <c r="C16" i="35"/>
  <c r="C20" i="35"/>
  <c r="C24" i="35"/>
  <c r="C28" i="35"/>
  <c r="C32" i="35"/>
  <c r="C36" i="35"/>
  <c r="C6" i="35"/>
  <c r="C10" i="35"/>
  <c r="C14" i="35"/>
  <c r="C18" i="35"/>
  <c r="C22" i="35"/>
  <c r="C26" i="35"/>
  <c r="C30" i="35"/>
  <c r="C34" i="35"/>
  <c r="C55" i="34"/>
  <c r="C47" i="34"/>
  <c r="C30" i="34"/>
  <c r="C14" i="34"/>
  <c r="C54" i="34"/>
  <c r="C46" i="34"/>
  <c r="C45" i="34"/>
  <c r="C52" i="34"/>
  <c r="C44" i="34"/>
  <c r="C39" i="34"/>
  <c r="C23" i="34"/>
  <c r="C59" i="34"/>
  <c r="C51" i="34"/>
  <c r="C43" i="34"/>
  <c r="C38" i="34"/>
  <c r="C22" i="34"/>
  <c r="C58" i="34"/>
  <c r="C50" i="34"/>
  <c r="C42" i="34"/>
  <c r="C53" i="34"/>
  <c r="C41" i="34"/>
  <c r="C37" i="34"/>
  <c r="C21" i="34"/>
  <c r="C57" i="34"/>
  <c r="C36" i="34"/>
  <c r="C28" i="34"/>
  <c r="C20" i="34"/>
  <c r="C12" i="34"/>
  <c r="C27" i="34"/>
  <c r="C19" i="34"/>
  <c r="C8" i="34"/>
  <c r="C34" i="34"/>
  <c r="C26" i="34"/>
  <c r="C18" i="34"/>
  <c r="C10" i="34"/>
  <c r="C35" i="34"/>
  <c r="C11" i="34"/>
  <c r="C7" i="34"/>
  <c r="C33" i="34"/>
  <c r="C25" i="34"/>
  <c r="C17" i="34"/>
  <c r="C4" i="34"/>
  <c r="D4" i="34"/>
  <c r="G4" i="34" s="1"/>
  <c r="F5" i="34" s="1"/>
  <c r="E5" i="34" s="1"/>
  <c r="D5" i="34" s="1"/>
  <c r="G5" i="34" s="1"/>
  <c r="F6" i="34" s="1"/>
  <c r="E6" i="34" s="1"/>
  <c r="B8" i="32"/>
  <c r="C9" i="32"/>
  <c r="B9" i="32"/>
  <c r="D1" i="32"/>
  <c r="C6" i="32" s="1"/>
  <c r="G4" i="32"/>
  <c r="F5" i="32" s="1"/>
  <c r="B4" i="32"/>
  <c r="E4" i="32" s="1"/>
  <c r="B7" i="32"/>
  <c r="B6" i="32"/>
  <c r="B5" i="32"/>
  <c r="C247" i="31"/>
  <c r="C248" i="31"/>
  <c r="C249" i="31"/>
  <c r="C250" i="31"/>
  <c r="C251" i="31"/>
  <c r="C252" i="31"/>
  <c r="C253" i="31"/>
  <c r="C254" i="31"/>
  <c r="C255" i="31"/>
  <c r="C256" i="31"/>
  <c r="C257" i="31"/>
  <c r="C258" i="31"/>
  <c r="C259" i="31"/>
  <c r="C260" i="31"/>
  <c r="C261" i="31"/>
  <c r="C262" i="31"/>
  <c r="C263" i="31"/>
  <c r="C264" i="31"/>
  <c r="C265" i="31"/>
  <c r="C266" i="31"/>
  <c r="C267" i="31"/>
  <c r="C268" i="31"/>
  <c r="C269" i="31"/>
  <c r="C270" i="31"/>
  <c r="C271" i="31"/>
  <c r="C272" i="31"/>
  <c r="C273" i="31"/>
  <c r="C274" i="31"/>
  <c r="C275" i="31"/>
  <c r="C276" i="31"/>
  <c r="C277" i="31"/>
  <c r="C278" i="31"/>
  <c r="C279" i="31"/>
  <c r="C280" i="31"/>
  <c r="C281" i="31"/>
  <c r="C282" i="31"/>
  <c r="C283" i="31"/>
  <c r="C284" i="31"/>
  <c r="C285" i="31"/>
  <c r="C286" i="31"/>
  <c r="C287" i="31"/>
  <c r="C288" i="31"/>
  <c r="C289" i="31"/>
  <c r="C290" i="31"/>
  <c r="C291" i="31"/>
  <c r="C292" i="31"/>
  <c r="C293" i="31"/>
  <c r="C294" i="31"/>
  <c r="C295" i="31"/>
  <c r="C296" i="31"/>
  <c r="C297" i="31"/>
  <c r="C298" i="31"/>
  <c r="C299" i="31"/>
  <c r="C300" i="31"/>
  <c r="C301" i="31"/>
  <c r="C302" i="31"/>
  <c r="C303" i="31"/>
  <c r="C304" i="31"/>
  <c r="C305" i="31"/>
  <c r="C306" i="31"/>
  <c r="C307" i="31"/>
  <c r="C308" i="31"/>
  <c r="C309" i="31"/>
  <c r="C310" i="31"/>
  <c r="C311" i="31"/>
  <c r="C312" i="31"/>
  <c r="C313" i="31"/>
  <c r="C314" i="31"/>
  <c r="C315" i="31"/>
  <c r="C316" i="31"/>
  <c r="C317" i="31"/>
  <c r="C318" i="31"/>
  <c r="C319" i="31"/>
  <c r="C320" i="31"/>
  <c r="C321" i="31"/>
  <c r="C322" i="31"/>
  <c r="C323" i="31"/>
  <c r="C324" i="31"/>
  <c r="C325" i="31"/>
  <c r="C326" i="31"/>
  <c r="C327" i="31"/>
  <c r="C328" i="31"/>
  <c r="C329" i="31"/>
  <c r="C330" i="31"/>
  <c r="C331" i="31"/>
  <c r="C332" i="31"/>
  <c r="C333" i="31"/>
  <c r="C334" i="31"/>
  <c r="C335" i="31"/>
  <c r="C336" i="31"/>
  <c r="C337" i="31"/>
  <c r="C338" i="31"/>
  <c r="C339" i="31"/>
  <c r="C340" i="31"/>
  <c r="C341" i="31"/>
  <c r="C342" i="31"/>
  <c r="C343" i="31"/>
  <c r="C344" i="31"/>
  <c r="C345" i="31"/>
  <c r="C346" i="31"/>
  <c r="C347" i="31"/>
  <c r="C348" i="31"/>
  <c r="C349" i="31"/>
  <c r="C350" i="31"/>
  <c r="C351" i="31"/>
  <c r="C352" i="31"/>
  <c r="C353" i="31"/>
  <c r="C354" i="31"/>
  <c r="C355" i="31"/>
  <c r="C356" i="31"/>
  <c r="C357" i="31"/>
  <c r="C358" i="31"/>
  <c r="C359" i="31"/>
  <c r="C360" i="31"/>
  <c r="C361" i="31"/>
  <c r="C362" i="31"/>
  <c r="C363" i="31"/>
  <c r="C364" i="31"/>
  <c r="C365" i="31"/>
  <c r="C366" i="31"/>
  <c r="C367" i="31"/>
  <c r="C368" i="31"/>
  <c r="C369" i="31"/>
  <c r="C370" i="31"/>
  <c r="C371" i="31"/>
  <c r="C372" i="31"/>
  <c r="C373" i="31"/>
  <c r="C374" i="31"/>
  <c r="C375" i="31"/>
  <c r="C376" i="31"/>
  <c r="C377" i="31"/>
  <c r="C378" i="31"/>
  <c r="C379" i="31"/>
  <c r="C380" i="31"/>
  <c r="C381" i="31"/>
  <c r="C382" i="31"/>
  <c r="C383" i="31"/>
  <c r="C384" i="31"/>
  <c r="C385" i="31"/>
  <c r="C386" i="31"/>
  <c r="C387" i="31"/>
  <c r="C388" i="31"/>
  <c r="C389" i="31"/>
  <c r="C390" i="31"/>
  <c r="C391" i="31"/>
  <c r="C392" i="31"/>
  <c r="C393" i="31"/>
  <c r="C394" i="31"/>
  <c r="C395" i="31"/>
  <c r="C396" i="31"/>
  <c r="C397" i="31"/>
  <c r="C398" i="31"/>
  <c r="C399" i="31"/>
  <c r="C400" i="31"/>
  <c r="C401" i="31"/>
  <c r="C402" i="31"/>
  <c r="C403" i="31"/>
  <c r="C404" i="31"/>
  <c r="C405" i="31"/>
  <c r="C406" i="31"/>
  <c r="C407" i="31"/>
  <c r="C408" i="31"/>
  <c r="C409" i="31"/>
  <c r="C410" i="31"/>
  <c r="C411" i="31"/>
  <c r="C412" i="31"/>
  <c r="C413" i="31"/>
  <c r="C414" i="31"/>
  <c r="C415" i="31"/>
  <c r="C416" i="31"/>
  <c r="C417" i="31"/>
  <c r="C418" i="31"/>
  <c r="C419" i="31"/>
  <c r="C420" i="31"/>
  <c r="C421" i="31"/>
  <c r="C422" i="31"/>
  <c r="C423" i="31"/>
  <c r="C424" i="31"/>
  <c r="C425" i="31"/>
  <c r="C426" i="31"/>
  <c r="C427" i="31"/>
  <c r="C428" i="31"/>
  <c r="C429" i="31"/>
  <c r="C430" i="31"/>
  <c r="C431" i="31"/>
  <c r="C432" i="31"/>
  <c r="C433" i="31"/>
  <c r="C434" i="31"/>
  <c r="C435" i="31"/>
  <c r="C436" i="31"/>
  <c r="C437" i="31"/>
  <c r="C438" i="31"/>
  <c r="C439" i="31"/>
  <c r="C440" i="31"/>
  <c r="C441" i="31"/>
  <c r="C442" i="31"/>
  <c r="C443" i="31"/>
  <c r="C444" i="31"/>
  <c r="C445" i="31"/>
  <c r="C446" i="31"/>
  <c r="C447" i="31"/>
  <c r="C448" i="31"/>
  <c r="C449" i="31"/>
  <c r="C450" i="31"/>
  <c r="C451" i="31"/>
  <c r="C452" i="31"/>
  <c r="C453" i="31"/>
  <c r="C454" i="31"/>
  <c r="C455" i="31"/>
  <c r="C456" i="31"/>
  <c r="C457" i="31"/>
  <c r="C458" i="31"/>
  <c r="C459" i="31"/>
  <c r="C460" i="31"/>
  <c r="C461" i="31"/>
  <c r="C462" i="31"/>
  <c r="C463" i="31"/>
  <c r="C464" i="31"/>
  <c r="C465" i="31"/>
  <c r="C466" i="31"/>
  <c r="C467" i="31"/>
  <c r="C468" i="31"/>
  <c r="C469" i="31"/>
  <c r="C470" i="31"/>
  <c r="C471" i="31"/>
  <c r="C472" i="31"/>
  <c r="C473" i="31"/>
  <c r="C474" i="31"/>
  <c r="C475" i="31"/>
  <c r="C246" i="31"/>
  <c r="B245" i="31"/>
  <c r="B475" i="31"/>
  <c r="B474" i="31"/>
  <c r="B473" i="31"/>
  <c r="B472" i="31"/>
  <c r="B471" i="31"/>
  <c r="B470" i="31"/>
  <c r="B469" i="31"/>
  <c r="B468" i="31"/>
  <c r="B467" i="31"/>
  <c r="B466" i="31"/>
  <c r="B465" i="31"/>
  <c r="B464" i="31"/>
  <c r="B463" i="31"/>
  <c r="B462" i="31"/>
  <c r="B461" i="31"/>
  <c r="B460" i="31"/>
  <c r="B459" i="31"/>
  <c r="B458" i="31"/>
  <c r="B457" i="31"/>
  <c r="B456" i="31"/>
  <c r="B455" i="31"/>
  <c r="B454" i="31"/>
  <c r="B453" i="31"/>
  <c r="B452" i="31"/>
  <c r="B451" i="31"/>
  <c r="B450" i="31"/>
  <c r="B449" i="31"/>
  <c r="B448" i="31"/>
  <c r="B447" i="31"/>
  <c r="B446" i="31"/>
  <c r="B445" i="31"/>
  <c r="B444" i="31"/>
  <c r="B443" i="31"/>
  <c r="B442" i="31"/>
  <c r="B441" i="31"/>
  <c r="B440" i="31"/>
  <c r="B439" i="31"/>
  <c r="B438" i="31"/>
  <c r="B437" i="31"/>
  <c r="B436" i="31"/>
  <c r="B435" i="31"/>
  <c r="B434" i="31"/>
  <c r="B433" i="31"/>
  <c r="B432" i="31"/>
  <c r="B431" i="31"/>
  <c r="B430" i="31"/>
  <c r="B429" i="31"/>
  <c r="B428" i="31"/>
  <c r="B427" i="31"/>
  <c r="B426" i="31"/>
  <c r="B425" i="31"/>
  <c r="B424" i="31"/>
  <c r="B423" i="31"/>
  <c r="B422" i="31"/>
  <c r="B421" i="31"/>
  <c r="B420" i="31"/>
  <c r="B419" i="31"/>
  <c r="B418" i="31"/>
  <c r="B417" i="31"/>
  <c r="B416" i="31"/>
  <c r="B415" i="31"/>
  <c r="B414" i="31"/>
  <c r="B413" i="31"/>
  <c r="B412" i="31"/>
  <c r="B411" i="31"/>
  <c r="B410" i="31"/>
  <c r="B409" i="31"/>
  <c r="B408" i="31"/>
  <c r="B407" i="31"/>
  <c r="B406" i="31"/>
  <c r="B405" i="31"/>
  <c r="B404" i="31"/>
  <c r="B403" i="31"/>
  <c r="B402" i="31"/>
  <c r="B401" i="31"/>
  <c r="B400" i="31"/>
  <c r="B399" i="31"/>
  <c r="B398" i="31"/>
  <c r="B397" i="31"/>
  <c r="B396" i="31"/>
  <c r="B395" i="31"/>
  <c r="B394" i="31"/>
  <c r="B393" i="31"/>
  <c r="B392" i="31"/>
  <c r="B391" i="31"/>
  <c r="B390" i="31"/>
  <c r="B389" i="31"/>
  <c r="B388" i="31"/>
  <c r="B387" i="31"/>
  <c r="B386" i="31"/>
  <c r="B385" i="31"/>
  <c r="B384" i="31"/>
  <c r="B383" i="31"/>
  <c r="B382" i="31"/>
  <c r="B381" i="31"/>
  <c r="B380" i="31"/>
  <c r="B379" i="31"/>
  <c r="B378" i="31"/>
  <c r="B377" i="31"/>
  <c r="B376" i="31"/>
  <c r="B375" i="31"/>
  <c r="B374" i="31"/>
  <c r="B373" i="31"/>
  <c r="B372" i="31"/>
  <c r="B371" i="31"/>
  <c r="B370" i="31"/>
  <c r="B369" i="31"/>
  <c r="B368" i="31"/>
  <c r="B367" i="31"/>
  <c r="B366" i="31"/>
  <c r="B365" i="31"/>
  <c r="B364" i="31"/>
  <c r="B363" i="31"/>
  <c r="B362" i="31"/>
  <c r="B361" i="31"/>
  <c r="B360" i="31"/>
  <c r="B359" i="31"/>
  <c r="B358" i="31"/>
  <c r="B357" i="31"/>
  <c r="B356" i="31"/>
  <c r="B355" i="31"/>
  <c r="B354" i="31"/>
  <c r="B353" i="31"/>
  <c r="B352" i="31"/>
  <c r="B351" i="31"/>
  <c r="B350" i="31"/>
  <c r="B349" i="31"/>
  <c r="B348" i="31"/>
  <c r="B347" i="31"/>
  <c r="B346" i="31"/>
  <c r="B345" i="31"/>
  <c r="B344" i="31"/>
  <c r="B343" i="31"/>
  <c r="B342" i="31"/>
  <c r="B341" i="31"/>
  <c r="B340" i="31"/>
  <c r="B339" i="31"/>
  <c r="B338" i="31"/>
  <c r="B337" i="31"/>
  <c r="B336" i="31"/>
  <c r="B335" i="31"/>
  <c r="B334" i="31"/>
  <c r="B333" i="31"/>
  <c r="B332" i="31"/>
  <c r="B331" i="31"/>
  <c r="B330" i="31"/>
  <c r="B329" i="31"/>
  <c r="B328" i="31"/>
  <c r="B327" i="31"/>
  <c r="B326" i="31"/>
  <c r="B325" i="31"/>
  <c r="B324" i="31"/>
  <c r="B323" i="31"/>
  <c r="B322" i="31"/>
  <c r="B321" i="31"/>
  <c r="B320" i="31"/>
  <c r="B319" i="31"/>
  <c r="B318" i="31"/>
  <c r="B317" i="31"/>
  <c r="B316" i="31"/>
  <c r="B315" i="31"/>
  <c r="B314" i="31"/>
  <c r="B313" i="31"/>
  <c r="B312" i="31"/>
  <c r="B311" i="31"/>
  <c r="B310" i="31"/>
  <c r="B309" i="31"/>
  <c r="B308" i="31"/>
  <c r="B307" i="31"/>
  <c r="B306" i="31"/>
  <c r="B305" i="31"/>
  <c r="B304" i="31"/>
  <c r="B303" i="31"/>
  <c r="B302" i="31"/>
  <c r="B301" i="31"/>
  <c r="B300" i="31"/>
  <c r="B299" i="31"/>
  <c r="B298" i="31"/>
  <c r="B297" i="31"/>
  <c r="B296" i="31"/>
  <c r="B295" i="31"/>
  <c r="B294" i="31"/>
  <c r="B293" i="31"/>
  <c r="B292" i="31"/>
  <c r="B291" i="31"/>
  <c r="B290" i="31"/>
  <c r="B289" i="31"/>
  <c r="B288" i="31"/>
  <c r="B287" i="31"/>
  <c r="B286" i="31"/>
  <c r="B285" i="31"/>
  <c r="B284" i="31"/>
  <c r="B283" i="31"/>
  <c r="B282" i="31"/>
  <c r="B281" i="31"/>
  <c r="B280" i="31"/>
  <c r="B279" i="31"/>
  <c r="B278" i="31"/>
  <c r="B277" i="31"/>
  <c r="B276" i="31"/>
  <c r="B275" i="31"/>
  <c r="B274" i="31"/>
  <c r="B273" i="31"/>
  <c r="B272" i="31"/>
  <c r="B271" i="31"/>
  <c r="B270" i="31"/>
  <c r="B269" i="31"/>
  <c r="B268" i="31"/>
  <c r="B267" i="31"/>
  <c r="B266" i="31"/>
  <c r="B265" i="31"/>
  <c r="B264" i="31"/>
  <c r="B263" i="31"/>
  <c r="B262" i="31"/>
  <c r="B261" i="31"/>
  <c r="B260" i="31"/>
  <c r="B259" i="31"/>
  <c r="B258" i="31"/>
  <c r="B257" i="31"/>
  <c r="B256" i="31"/>
  <c r="B255" i="31"/>
  <c r="B254" i="31"/>
  <c r="B253" i="31"/>
  <c r="B252" i="31"/>
  <c r="B251" i="31"/>
  <c r="B250" i="31"/>
  <c r="B249" i="31"/>
  <c r="B248" i="31"/>
  <c r="B247" i="31"/>
  <c r="B246" i="31"/>
  <c r="C135" i="31"/>
  <c r="B61" i="31"/>
  <c r="B62" i="31"/>
  <c r="B63" i="31"/>
  <c r="B64" i="31"/>
  <c r="B65" i="31"/>
  <c r="B66" i="31"/>
  <c r="B67" i="31"/>
  <c r="B68" i="31"/>
  <c r="B69" i="31"/>
  <c r="B70" i="31"/>
  <c r="B71" i="31"/>
  <c r="B72" i="31"/>
  <c r="B73" i="31"/>
  <c r="B74" i="31"/>
  <c r="B75" i="31"/>
  <c r="B76" i="31"/>
  <c r="B77" i="31"/>
  <c r="B78" i="31"/>
  <c r="B79" i="31"/>
  <c r="B80" i="31"/>
  <c r="B81" i="31"/>
  <c r="B82" i="31"/>
  <c r="B83" i="31"/>
  <c r="B84" i="31"/>
  <c r="B85" i="31"/>
  <c r="B86" i="31"/>
  <c r="B87" i="31"/>
  <c r="B88" i="31"/>
  <c r="B89" i="31"/>
  <c r="B90" i="31"/>
  <c r="B91" i="31"/>
  <c r="B92" i="31"/>
  <c r="B93" i="31"/>
  <c r="B94" i="31"/>
  <c r="B95" i="31"/>
  <c r="B96" i="31"/>
  <c r="B97" i="31"/>
  <c r="B98" i="31"/>
  <c r="B99" i="31"/>
  <c r="B100" i="31"/>
  <c r="B101" i="31"/>
  <c r="B102" i="31"/>
  <c r="B103" i="31"/>
  <c r="B104" i="31"/>
  <c r="B105" i="31"/>
  <c r="B106" i="31"/>
  <c r="B107" i="31"/>
  <c r="B108" i="31"/>
  <c r="B109" i="31"/>
  <c r="B110" i="31"/>
  <c r="B111" i="31"/>
  <c r="B112" i="31"/>
  <c r="B113" i="31"/>
  <c r="B114" i="31"/>
  <c r="B115" i="31"/>
  <c r="B116" i="31"/>
  <c r="B117" i="31"/>
  <c r="B118" i="31"/>
  <c r="B119" i="31"/>
  <c r="B120" i="31"/>
  <c r="B121" i="31"/>
  <c r="B122" i="31"/>
  <c r="B123" i="31"/>
  <c r="B124" i="31"/>
  <c r="B125" i="31"/>
  <c r="B126" i="31"/>
  <c r="B127" i="31"/>
  <c r="B128" i="31"/>
  <c r="B129" i="31"/>
  <c r="B130" i="31"/>
  <c r="B131" i="31"/>
  <c r="B132" i="31"/>
  <c r="B133" i="31"/>
  <c r="B134" i="31"/>
  <c r="B135" i="31"/>
  <c r="B136" i="31"/>
  <c r="B137" i="31"/>
  <c r="B138" i="31"/>
  <c r="B139" i="31"/>
  <c r="B140" i="31"/>
  <c r="B141" i="31"/>
  <c r="B142" i="31"/>
  <c r="B143" i="31"/>
  <c r="B144" i="31"/>
  <c r="B145" i="31"/>
  <c r="B146" i="31"/>
  <c r="B147" i="31"/>
  <c r="B148" i="31"/>
  <c r="B149" i="31"/>
  <c r="B150" i="31"/>
  <c r="B151" i="31"/>
  <c r="B152" i="31"/>
  <c r="B153" i="31"/>
  <c r="B154" i="31"/>
  <c r="B155" i="31"/>
  <c r="B156" i="31"/>
  <c r="B157" i="31"/>
  <c r="B158" i="31"/>
  <c r="B159" i="31"/>
  <c r="B160" i="31"/>
  <c r="B161" i="31"/>
  <c r="B162" i="31"/>
  <c r="B163" i="31"/>
  <c r="B164" i="31"/>
  <c r="B165" i="31"/>
  <c r="B166" i="31"/>
  <c r="B167" i="31"/>
  <c r="B168" i="31"/>
  <c r="B169" i="31"/>
  <c r="B170" i="31"/>
  <c r="B171" i="31"/>
  <c r="B172" i="31"/>
  <c r="B173" i="31"/>
  <c r="B174" i="31"/>
  <c r="B175" i="31"/>
  <c r="B176" i="31"/>
  <c r="B177" i="31"/>
  <c r="B178" i="31"/>
  <c r="B179" i="31"/>
  <c r="B180" i="31"/>
  <c r="B181" i="31"/>
  <c r="B182" i="31"/>
  <c r="B183" i="31"/>
  <c r="B184" i="31"/>
  <c r="B185" i="31"/>
  <c r="B186" i="31"/>
  <c r="B187" i="31"/>
  <c r="B188" i="31"/>
  <c r="B189" i="31"/>
  <c r="B190" i="31"/>
  <c r="B191" i="31"/>
  <c r="B192" i="31"/>
  <c r="B193" i="31"/>
  <c r="B194" i="31"/>
  <c r="B195" i="31"/>
  <c r="B196" i="31"/>
  <c r="B197" i="31"/>
  <c r="B198" i="31"/>
  <c r="B199" i="31"/>
  <c r="B200" i="31"/>
  <c r="B201" i="31"/>
  <c r="B202" i="31"/>
  <c r="B203" i="31"/>
  <c r="B204" i="31"/>
  <c r="B205" i="31"/>
  <c r="B206" i="31"/>
  <c r="B207" i="31"/>
  <c r="B208" i="31"/>
  <c r="B209" i="31"/>
  <c r="B210" i="31"/>
  <c r="B211" i="31"/>
  <c r="B212" i="31"/>
  <c r="B213" i="31"/>
  <c r="B214" i="31"/>
  <c r="B215" i="31"/>
  <c r="B216" i="31"/>
  <c r="B217" i="31"/>
  <c r="B218" i="31"/>
  <c r="B219" i="31"/>
  <c r="B220" i="31"/>
  <c r="B221" i="31"/>
  <c r="B222" i="31"/>
  <c r="B223" i="31"/>
  <c r="B224" i="31"/>
  <c r="B225" i="31"/>
  <c r="B226" i="31"/>
  <c r="B227" i="31"/>
  <c r="B228" i="31"/>
  <c r="B229" i="31"/>
  <c r="B230" i="31"/>
  <c r="B231" i="31"/>
  <c r="B232" i="31"/>
  <c r="B233" i="31"/>
  <c r="B234" i="31"/>
  <c r="B235" i="31"/>
  <c r="B236" i="31"/>
  <c r="B237" i="31"/>
  <c r="B238" i="31"/>
  <c r="B239" i="31"/>
  <c r="B240" i="31"/>
  <c r="B241" i="31"/>
  <c r="B242" i="31"/>
  <c r="B243" i="31"/>
  <c r="B244" i="31"/>
  <c r="B38" i="31"/>
  <c r="B39" i="31"/>
  <c r="B40" i="31"/>
  <c r="B41" i="31"/>
  <c r="B42" i="31"/>
  <c r="B43" i="31"/>
  <c r="B44" i="31"/>
  <c r="B45" i="31"/>
  <c r="B46" i="31"/>
  <c r="B47" i="31"/>
  <c r="B48" i="31"/>
  <c r="B49" i="31"/>
  <c r="B50" i="31"/>
  <c r="B51" i="31"/>
  <c r="B52" i="31"/>
  <c r="B53" i="31"/>
  <c r="B54" i="31"/>
  <c r="B55" i="31"/>
  <c r="B56" i="31"/>
  <c r="B57" i="31"/>
  <c r="B58" i="31"/>
  <c r="B59" i="31"/>
  <c r="B60" i="31"/>
  <c r="B5" i="31"/>
  <c r="D1" i="31"/>
  <c r="C64" i="31" s="1"/>
  <c r="B4" i="31"/>
  <c r="E4" i="31" s="1"/>
  <c r="H99" i="54" l="1"/>
  <c r="E99" i="54"/>
  <c r="D99" i="54" s="1"/>
  <c r="G99" i="54" s="1"/>
  <c r="F100" i="54" s="1"/>
  <c r="I98" i="54"/>
  <c r="C115" i="31"/>
  <c r="C44" i="31"/>
  <c r="C94" i="31"/>
  <c r="C243" i="31"/>
  <c r="C71" i="31"/>
  <c r="C222" i="31"/>
  <c r="C199" i="31"/>
  <c r="C179" i="31"/>
  <c r="C158" i="31"/>
  <c r="D6" i="40"/>
  <c r="G6" i="40" s="1"/>
  <c r="F7" i="40" s="1"/>
  <c r="E7" i="40" s="1"/>
  <c r="D5" i="39"/>
  <c r="G5" i="39" s="1"/>
  <c r="F8" i="39" s="1"/>
  <c r="E8" i="39" s="1"/>
  <c r="E5" i="38"/>
  <c r="D5" i="38"/>
  <c r="G5" i="38" s="1"/>
  <c r="F6" i="38" s="1"/>
  <c r="E5" i="37"/>
  <c r="D5" i="37" s="1"/>
  <c r="G5" i="37" s="1"/>
  <c r="F6" i="37" s="1"/>
  <c r="D5" i="35"/>
  <c r="G5" i="35" s="1"/>
  <c r="F6" i="35" s="1"/>
  <c r="E6" i="35" s="1"/>
  <c r="C8" i="32"/>
  <c r="E5" i="32"/>
  <c r="C5" i="32"/>
  <c r="C7" i="32"/>
  <c r="C43" i="31"/>
  <c r="C239" i="31"/>
  <c r="C219" i="31"/>
  <c r="C198" i="31"/>
  <c r="C175" i="31"/>
  <c r="C155" i="31"/>
  <c r="C134" i="31"/>
  <c r="C111" i="31"/>
  <c r="C91" i="31"/>
  <c r="C70" i="31"/>
  <c r="C60" i="31"/>
  <c r="C40" i="31"/>
  <c r="C238" i="31"/>
  <c r="C215" i="31"/>
  <c r="C195" i="31"/>
  <c r="C174" i="31"/>
  <c r="C151" i="31"/>
  <c r="C131" i="31"/>
  <c r="C110" i="31"/>
  <c r="C87" i="31"/>
  <c r="C67" i="31"/>
  <c r="C59" i="31"/>
  <c r="C36" i="31"/>
  <c r="C235" i="31"/>
  <c r="C214" i="31"/>
  <c r="C191" i="31"/>
  <c r="C171" i="31"/>
  <c r="C150" i="31"/>
  <c r="C127" i="31"/>
  <c r="C107" i="31"/>
  <c r="C86" i="31"/>
  <c r="C63" i="31"/>
  <c r="C56" i="31"/>
  <c r="C35" i="31"/>
  <c r="C231" i="31"/>
  <c r="C211" i="31"/>
  <c r="C190" i="31"/>
  <c r="C167" i="31"/>
  <c r="C147" i="31"/>
  <c r="C126" i="31"/>
  <c r="C103" i="31"/>
  <c r="C83" i="31"/>
  <c r="C62" i="31"/>
  <c r="C52" i="31"/>
  <c r="C32" i="31"/>
  <c r="C230" i="31"/>
  <c r="C207" i="31"/>
  <c r="C187" i="31"/>
  <c r="C166" i="31"/>
  <c r="C143" i="31"/>
  <c r="C123" i="31"/>
  <c r="C102" i="31"/>
  <c r="C79" i="31"/>
  <c r="C51" i="31"/>
  <c r="C28" i="31"/>
  <c r="C227" i="31"/>
  <c r="C206" i="31"/>
  <c r="C183" i="31"/>
  <c r="C163" i="31"/>
  <c r="C142" i="31"/>
  <c r="C119" i="31"/>
  <c r="C99" i="31"/>
  <c r="C78" i="31"/>
  <c r="C245" i="31"/>
  <c r="C48" i="31"/>
  <c r="C27" i="31"/>
  <c r="C223" i="31"/>
  <c r="C203" i="31"/>
  <c r="C182" i="31"/>
  <c r="C159" i="31"/>
  <c r="C139" i="31"/>
  <c r="C118" i="31"/>
  <c r="C95" i="31"/>
  <c r="C75" i="31"/>
  <c r="C58" i="31"/>
  <c r="C50" i="31"/>
  <c r="C42" i="31"/>
  <c r="C34" i="31"/>
  <c r="C26" i="31"/>
  <c r="C237" i="31"/>
  <c r="C229" i="31"/>
  <c r="C221" i="31"/>
  <c r="C213" i="31"/>
  <c r="C205" i="31"/>
  <c r="C197" i="31"/>
  <c r="C189" i="31"/>
  <c r="C181" i="31"/>
  <c r="C173" i="31"/>
  <c r="C165" i="31"/>
  <c r="C157" i="31"/>
  <c r="C149" i="31"/>
  <c r="C141" i="31"/>
  <c r="C133" i="31"/>
  <c r="C125" i="31"/>
  <c r="C117" i="31"/>
  <c r="C109" i="31"/>
  <c r="C101" i="31"/>
  <c r="C93" i="31"/>
  <c r="C85" i="31"/>
  <c r="C77" i="31"/>
  <c r="C69" i="31"/>
  <c r="C61" i="31"/>
  <c r="C57" i="31"/>
  <c r="C49" i="31"/>
  <c r="C41" i="31"/>
  <c r="C33" i="31"/>
  <c r="C244" i="31"/>
  <c r="C236" i="31"/>
  <c r="C228" i="31"/>
  <c r="C220" i="31"/>
  <c r="C212" i="31"/>
  <c r="C204" i="31"/>
  <c r="C196" i="31"/>
  <c r="C188" i="31"/>
  <c r="C180" i="31"/>
  <c r="C172" i="31"/>
  <c r="C164" i="31"/>
  <c r="C156" i="31"/>
  <c r="C148" i="31"/>
  <c r="C140" i="31"/>
  <c r="C132" i="31"/>
  <c r="C124" i="31"/>
  <c r="C116" i="31"/>
  <c r="C108" i="31"/>
  <c r="C100" i="31"/>
  <c r="C92" i="31"/>
  <c r="C84" i="31"/>
  <c r="C76" i="31"/>
  <c r="C68" i="31"/>
  <c r="C55" i="31"/>
  <c r="C47" i="31"/>
  <c r="C39" i="31"/>
  <c r="C31" i="31"/>
  <c r="C242" i="31"/>
  <c r="C234" i="31"/>
  <c r="C226" i="31"/>
  <c r="C218" i="31"/>
  <c r="C210" i="31"/>
  <c r="C202" i="31"/>
  <c r="C194" i="31"/>
  <c r="C186" i="31"/>
  <c r="C178" i="31"/>
  <c r="C170" i="31"/>
  <c r="C162" i="31"/>
  <c r="C154" i="31"/>
  <c r="C146" i="31"/>
  <c r="C138" i="31"/>
  <c r="C130" i="31"/>
  <c r="C122" i="31"/>
  <c r="C114" i="31"/>
  <c r="C106" i="31"/>
  <c r="C98" i="31"/>
  <c r="C90" i="31"/>
  <c r="C82" i="31"/>
  <c r="C74" i="31"/>
  <c r="C66" i="31"/>
  <c r="C54" i="31"/>
  <c r="C46" i="31"/>
  <c r="C38" i="31"/>
  <c r="C30" i="31"/>
  <c r="C241" i="31"/>
  <c r="C233" i="31"/>
  <c r="C225" i="31"/>
  <c r="C217" i="31"/>
  <c r="C209" i="31"/>
  <c r="C201" i="31"/>
  <c r="C193" i="31"/>
  <c r="C185" i="31"/>
  <c r="C177" i="31"/>
  <c r="C169" i="31"/>
  <c r="C161" i="31"/>
  <c r="C153" i="31"/>
  <c r="C145" i="31"/>
  <c r="C137" i="31"/>
  <c r="C129" i="31"/>
  <c r="C121" i="31"/>
  <c r="C113" i="31"/>
  <c r="C105" i="31"/>
  <c r="C97" i="31"/>
  <c r="C89" i="31"/>
  <c r="C81" i="31"/>
  <c r="C73" i="31"/>
  <c r="C65" i="31"/>
  <c r="C53" i="31"/>
  <c r="C45" i="31"/>
  <c r="C37" i="31"/>
  <c r="C29" i="31"/>
  <c r="C240" i="31"/>
  <c r="C232" i="31"/>
  <c r="C224" i="31"/>
  <c r="C216" i="31"/>
  <c r="C208" i="31"/>
  <c r="C200" i="31"/>
  <c r="C192" i="31"/>
  <c r="C184" i="31"/>
  <c r="C176" i="31"/>
  <c r="C168" i="31"/>
  <c r="C160" i="31"/>
  <c r="C152" i="31"/>
  <c r="C144" i="31"/>
  <c r="C136" i="31"/>
  <c r="C128" i="31"/>
  <c r="C120" i="31"/>
  <c r="C112" i="31"/>
  <c r="C104" i="31"/>
  <c r="C96" i="31"/>
  <c r="C88" i="31"/>
  <c r="C80" i="31"/>
  <c r="C72" i="31"/>
  <c r="H100" i="54" l="1"/>
  <c r="E100" i="54"/>
  <c r="D100" i="54" s="1"/>
  <c r="G100" i="54" s="1"/>
  <c r="F101" i="54" s="1"/>
  <c r="I99" i="54"/>
  <c r="I6" i="40"/>
  <c r="D7" i="40"/>
  <c r="G7" i="40" s="1"/>
  <c r="F8" i="40" s="1"/>
  <c r="E8" i="40" s="1"/>
  <c r="F6" i="39"/>
  <c r="E6" i="39" s="1"/>
  <c r="D6" i="39" s="1"/>
  <c r="G6" i="39" s="1"/>
  <c r="F7" i="39" s="1"/>
  <c r="D8" i="39"/>
  <c r="G8" i="39" s="1"/>
  <c r="F9" i="39" s="1"/>
  <c r="E6" i="38"/>
  <c r="D6" i="38" s="1"/>
  <c r="G6" i="38" s="1"/>
  <c r="F7" i="38" s="1"/>
  <c r="E6" i="37"/>
  <c r="D6" i="37" s="1"/>
  <c r="G6" i="37" s="1"/>
  <c r="F7" i="37" s="1"/>
  <c r="D6" i="35"/>
  <c r="G6" i="35" s="1"/>
  <c r="F7" i="35" s="1"/>
  <c r="E7" i="35" s="1"/>
  <c r="D5" i="32"/>
  <c r="G5" i="32" s="1"/>
  <c r="D7" i="32"/>
  <c r="H101" i="54" l="1"/>
  <c r="E101" i="54"/>
  <c r="D101" i="54" s="1"/>
  <c r="G101" i="54" s="1"/>
  <c r="F102" i="54" s="1"/>
  <c r="I100" i="54"/>
  <c r="D8" i="40"/>
  <c r="G8" i="40" s="1"/>
  <c r="F9" i="40" s="1"/>
  <c r="E9" i="40" s="1"/>
  <c r="I7" i="40"/>
  <c r="D7" i="39"/>
  <c r="G7" i="39" s="1"/>
  <c r="D9" i="39"/>
  <c r="G9" i="39" s="1"/>
  <c r="E7" i="38"/>
  <c r="D7" i="38" s="1"/>
  <c r="G7" i="38" s="1"/>
  <c r="F8" i="38" s="1"/>
  <c r="E7" i="37"/>
  <c r="D7" i="37" s="1"/>
  <c r="G7" i="37" s="1"/>
  <c r="F8" i="37" s="1"/>
  <c r="D7" i="35"/>
  <c r="G7" i="35" s="1"/>
  <c r="F8" i="35" s="1"/>
  <c r="E8" i="35" s="1"/>
  <c r="D6" i="34"/>
  <c r="F6" i="32"/>
  <c r="E6" i="32" s="1"/>
  <c r="D6" i="32" s="1"/>
  <c r="G6" i="32" s="1"/>
  <c r="F7" i="32" s="1"/>
  <c r="G7" i="32" s="1"/>
  <c r="F8" i="32"/>
  <c r="E8" i="32" s="1"/>
  <c r="D8" i="32" s="1"/>
  <c r="G8" i="32" s="1"/>
  <c r="F9" i="32" s="1"/>
  <c r="D9" i="32"/>
  <c r="H102" i="54" l="1"/>
  <c r="E102" i="54"/>
  <c r="D102" i="54" s="1"/>
  <c r="G102" i="54" s="1"/>
  <c r="F103" i="54" s="1"/>
  <c r="I101" i="54"/>
  <c r="I8" i="40"/>
  <c r="D9" i="40"/>
  <c r="G9" i="40" s="1"/>
  <c r="F10" i="40" s="1"/>
  <c r="E10" i="40" s="1"/>
  <c r="E8" i="38"/>
  <c r="D8" i="38" s="1"/>
  <c r="G8" i="38" s="1"/>
  <c r="F9" i="38" s="1"/>
  <c r="E8" i="37"/>
  <c r="D8" i="37" s="1"/>
  <c r="G8" i="37" s="1"/>
  <c r="F9" i="37" s="1"/>
  <c r="D8" i="35"/>
  <c r="G8" i="35" s="1"/>
  <c r="F9" i="35" s="1"/>
  <c r="E9" i="35" s="1"/>
  <c r="G6" i="34"/>
  <c r="F7" i="34" s="1"/>
  <c r="G9" i="32"/>
  <c r="H103" i="54" l="1"/>
  <c r="E103" i="54"/>
  <c r="D103" i="54" s="1"/>
  <c r="G103" i="54" s="1"/>
  <c r="F104" i="54" s="1"/>
  <c r="I102" i="54"/>
  <c r="I9" i="40"/>
  <c r="D10" i="40"/>
  <c r="G10" i="40" s="1"/>
  <c r="F11" i="40" s="1"/>
  <c r="E11" i="40" s="1"/>
  <c r="E9" i="38"/>
  <c r="D9" i="38" s="1"/>
  <c r="G9" i="38" s="1"/>
  <c r="F10" i="38" s="1"/>
  <c r="E9" i="37"/>
  <c r="D9" i="37" s="1"/>
  <c r="G9" i="37" s="1"/>
  <c r="F10" i="37" s="1"/>
  <c r="D9" i="35"/>
  <c r="G9" i="35" s="1"/>
  <c r="F10" i="35" s="1"/>
  <c r="E10" i="35" s="1"/>
  <c r="E7" i="34"/>
  <c r="D7" i="34" s="1"/>
  <c r="G7" i="34" s="1"/>
  <c r="F8" i="34" s="1"/>
  <c r="E8" i="34" s="1"/>
  <c r="D244" i="31"/>
  <c r="E104" i="54" l="1"/>
  <c r="D104" i="54" s="1"/>
  <c r="G104" i="54" s="1"/>
  <c r="F105" i="54" s="1"/>
  <c r="H104" i="54"/>
  <c r="I103" i="54"/>
  <c r="D11" i="40"/>
  <c r="G11" i="40" s="1"/>
  <c r="F12" i="40" s="1"/>
  <c r="E12" i="40" s="1"/>
  <c r="I10" i="40"/>
  <c r="E10" i="38"/>
  <c r="D10" i="38" s="1"/>
  <c r="G10" i="38" s="1"/>
  <c r="F11" i="38" s="1"/>
  <c r="E10" i="37"/>
  <c r="D10" i="37" s="1"/>
  <c r="G10" i="37" s="1"/>
  <c r="F11" i="37" s="1"/>
  <c r="D10" i="35"/>
  <c r="G10" i="35" s="1"/>
  <c r="F11" i="35" s="1"/>
  <c r="E11" i="35" s="1"/>
  <c r="D8" i="34"/>
  <c r="G8" i="34" s="1"/>
  <c r="B37" i="31"/>
  <c r="B36" i="31"/>
  <c r="B35" i="31"/>
  <c r="B34" i="31"/>
  <c r="B33" i="31"/>
  <c r="B32" i="31"/>
  <c r="B31" i="31"/>
  <c r="B30" i="31"/>
  <c r="B29" i="31"/>
  <c r="B28" i="31"/>
  <c r="B27" i="31"/>
  <c r="B26" i="31"/>
  <c r="C25" i="31"/>
  <c r="B25" i="31"/>
  <c r="C24" i="31"/>
  <c r="B24" i="31"/>
  <c r="C23" i="31"/>
  <c r="B23" i="31"/>
  <c r="C22" i="31"/>
  <c r="B22" i="31"/>
  <c r="C21" i="31"/>
  <c r="B21" i="31"/>
  <c r="C20" i="31"/>
  <c r="B20" i="31"/>
  <c r="C19" i="31"/>
  <c r="B19" i="31"/>
  <c r="C18" i="31"/>
  <c r="B18" i="31"/>
  <c r="C17" i="31"/>
  <c r="B17" i="31"/>
  <c r="C16" i="31"/>
  <c r="B16" i="31"/>
  <c r="C15" i="31"/>
  <c r="B15" i="31"/>
  <c r="C14" i="31"/>
  <c r="B14" i="31"/>
  <c r="C13" i="31"/>
  <c r="B13" i="31"/>
  <c r="C12" i="31"/>
  <c r="B12" i="31"/>
  <c r="C11" i="31"/>
  <c r="B11" i="31"/>
  <c r="C10" i="31"/>
  <c r="B10" i="31"/>
  <c r="C9" i="31"/>
  <c r="B9" i="31"/>
  <c r="C8" i="31"/>
  <c r="B8" i="31"/>
  <c r="C7" i="31"/>
  <c r="B7" i="31"/>
  <c r="C6" i="31"/>
  <c r="B6" i="31"/>
  <c r="H5" i="31"/>
  <c r="F2" i="31"/>
  <c r="D2" i="31"/>
  <c r="F1" i="29"/>
  <c r="C58" i="29" s="1"/>
  <c r="F1" i="28"/>
  <c r="C59" i="28" s="1"/>
  <c r="D59" i="28" s="1"/>
  <c r="B59" i="29"/>
  <c r="B58" i="29"/>
  <c r="B57" i="29"/>
  <c r="B56" i="29"/>
  <c r="B55" i="29"/>
  <c r="B54" i="29"/>
  <c r="B53" i="29"/>
  <c r="B52" i="29"/>
  <c r="B51" i="29"/>
  <c r="B50" i="29"/>
  <c r="B49" i="29"/>
  <c r="B48" i="29"/>
  <c r="B47" i="29"/>
  <c r="B46" i="29"/>
  <c r="B45" i="29"/>
  <c r="B44" i="29"/>
  <c r="B43" i="29"/>
  <c r="B42" i="29"/>
  <c r="B41" i="29"/>
  <c r="B40" i="29"/>
  <c r="B39" i="29"/>
  <c r="B38" i="29"/>
  <c r="B37" i="29"/>
  <c r="B36" i="29"/>
  <c r="B35" i="29"/>
  <c r="B34" i="29"/>
  <c r="B33" i="29"/>
  <c r="B32" i="29"/>
  <c r="B31" i="29"/>
  <c r="B30" i="29"/>
  <c r="B29" i="29"/>
  <c r="B28" i="29"/>
  <c r="B27" i="29"/>
  <c r="B26" i="29"/>
  <c r="B25" i="29"/>
  <c r="B24" i="29"/>
  <c r="B23" i="29"/>
  <c r="B22" i="29"/>
  <c r="B21" i="29"/>
  <c r="B20" i="29"/>
  <c r="B19" i="29"/>
  <c r="B18" i="29"/>
  <c r="B17" i="29"/>
  <c r="B16" i="29"/>
  <c r="B15" i="29"/>
  <c r="B14" i="29"/>
  <c r="B13" i="29"/>
  <c r="B12" i="29"/>
  <c r="B11" i="29"/>
  <c r="B10" i="29"/>
  <c r="B9" i="29"/>
  <c r="B8" i="29"/>
  <c r="B7" i="29"/>
  <c r="B6" i="29"/>
  <c r="B5" i="29"/>
  <c r="H4" i="29"/>
  <c r="B4" i="29"/>
  <c r="E4" i="29" s="1"/>
  <c r="F2" i="29"/>
  <c r="D2" i="29"/>
  <c r="D1" i="29"/>
  <c r="C38" i="29" s="1"/>
  <c r="B59" i="28"/>
  <c r="B58" i="28"/>
  <c r="B57" i="28"/>
  <c r="B56" i="28"/>
  <c r="B55" i="28"/>
  <c r="B54" i="28"/>
  <c r="B53" i="28"/>
  <c r="B52" i="28"/>
  <c r="B51" i="28"/>
  <c r="B50" i="28"/>
  <c r="B49" i="28"/>
  <c r="B48" i="28"/>
  <c r="B47" i="28"/>
  <c r="B46" i="28"/>
  <c r="B45" i="28"/>
  <c r="B44" i="28"/>
  <c r="B43" i="28"/>
  <c r="B42" i="28"/>
  <c r="B41" i="28"/>
  <c r="B40" i="28"/>
  <c r="B39" i="28"/>
  <c r="B38" i="28"/>
  <c r="B37" i="28"/>
  <c r="B36" i="28"/>
  <c r="C35" i="28"/>
  <c r="B35" i="28"/>
  <c r="B34" i="28"/>
  <c r="B33" i="28"/>
  <c r="B32" i="28"/>
  <c r="B31" i="28"/>
  <c r="B30" i="28"/>
  <c r="B29" i="28"/>
  <c r="B28" i="28"/>
  <c r="B27" i="28"/>
  <c r="B26" i="28"/>
  <c r="B25" i="28"/>
  <c r="B24" i="28"/>
  <c r="B23" i="28"/>
  <c r="B22" i="28"/>
  <c r="B21" i="28"/>
  <c r="B20" i="28"/>
  <c r="B19" i="28"/>
  <c r="B18" i="28"/>
  <c r="B17" i="28"/>
  <c r="B16" i="28"/>
  <c r="B15" i="28"/>
  <c r="B14" i="28"/>
  <c r="B13" i="28"/>
  <c r="B12" i="28"/>
  <c r="B11" i="28"/>
  <c r="B10" i="28"/>
  <c r="B9" i="28"/>
  <c r="B8" i="28"/>
  <c r="B7" i="28"/>
  <c r="B6" i="28"/>
  <c r="B5" i="28"/>
  <c r="B4" i="28"/>
  <c r="E4" i="28" s="1"/>
  <c r="F2" i="28"/>
  <c r="D2" i="28"/>
  <c r="D1" i="28"/>
  <c r="C36" i="28" s="1"/>
  <c r="C40" i="26"/>
  <c r="F1" i="26"/>
  <c r="C58" i="26" s="1"/>
  <c r="D1" i="26"/>
  <c r="C38" i="26" s="1"/>
  <c r="D40" i="25"/>
  <c r="F1" i="25"/>
  <c r="D1" i="25"/>
  <c r="C24" i="25" s="1"/>
  <c r="B59" i="26"/>
  <c r="B58" i="26"/>
  <c r="B57" i="26"/>
  <c r="B56" i="26"/>
  <c r="B55" i="26"/>
  <c r="B54" i="26"/>
  <c r="B53" i="26"/>
  <c r="B52" i="26"/>
  <c r="B51" i="26"/>
  <c r="B50" i="26"/>
  <c r="B49" i="26"/>
  <c r="B48" i="26"/>
  <c r="B47" i="26"/>
  <c r="B46" i="26"/>
  <c r="B45" i="26"/>
  <c r="B44" i="26"/>
  <c r="B43" i="26"/>
  <c r="B42" i="26"/>
  <c r="B41" i="26"/>
  <c r="B40" i="26"/>
  <c r="B39" i="26"/>
  <c r="B38" i="26"/>
  <c r="B37" i="26"/>
  <c r="B36" i="26"/>
  <c r="B35" i="26"/>
  <c r="B34" i="26"/>
  <c r="B33" i="26"/>
  <c r="B32" i="26"/>
  <c r="B31" i="26"/>
  <c r="B30" i="26"/>
  <c r="B29" i="26"/>
  <c r="B28" i="26"/>
  <c r="B27" i="26"/>
  <c r="B26" i="26"/>
  <c r="B25" i="26"/>
  <c r="B24" i="26"/>
  <c r="B23" i="26"/>
  <c r="B22" i="26"/>
  <c r="B21" i="26"/>
  <c r="B20" i="26"/>
  <c r="B19" i="26"/>
  <c r="B18" i="26"/>
  <c r="B17" i="26"/>
  <c r="B16" i="26"/>
  <c r="B15" i="26"/>
  <c r="B14" i="26"/>
  <c r="B13" i="26"/>
  <c r="B12" i="26"/>
  <c r="B11" i="26"/>
  <c r="B10" i="26"/>
  <c r="B9" i="26"/>
  <c r="B8" i="26"/>
  <c r="B7" i="26"/>
  <c r="B6" i="26"/>
  <c r="B5" i="26"/>
  <c r="B4" i="26"/>
  <c r="H4" i="26" s="1"/>
  <c r="F2" i="26"/>
  <c r="D2" i="26"/>
  <c r="B59" i="25"/>
  <c r="B58" i="25"/>
  <c r="B57" i="25"/>
  <c r="B56" i="25"/>
  <c r="B55" i="25"/>
  <c r="B54" i="25"/>
  <c r="B53" i="25"/>
  <c r="B52" i="25"/>
  <c r="B51" i="25"/>
  <c r="B50" i="25"/>
  <c r="B49" i="25"/>
  <c r="B48" i="25"/>
  <c r="B47" i="25"/>
  <c r="B46" i="25"/>
  <c r="B45" i="25"/>
  <c r="B44" i="25"/>
  <c r="B43" i="25"/>
  <c r="B42" i="25"/>
  <c r="B41" i="25"/>
  <c r="B40" i="25"/>
  <c r="B39" i="25"/>
  <c r="B38" i="25"/>
  <c r="B37" i="25"/>
  <c r="B36" i="25"/>
  <c r="B35" i="25"/>
  <c r="B34" i="25"/>
  <c r="B33" i="25"/>
  <c r="B32" i="25"/>
  <c r="B31" i="25"/>
  <c r="B30" i="25"/>
  <c r="B29" i="25"/>
  <c r="B28" i="25"/>
  <c r="B27" i="25"/>
  <c r="B26" i="25"/>
  <c r="B25" i="25"/>
  <c r="B24" i="25"/>
  <c r="B23" i="25"/>
  <c r="B22" i="25"/>
  <c r="B21" i="25"/>
  <c r="B20" i="25"/>
  <c r="B19" i="25"/>
  <c r="B18" i="25"/>
  <c r="B17" i="25"/>
  <c r="B16" i="25"/>
  <c r="B15" i="25"/>
  <c r="B14" i="25"/>
  <c r="B13" i="25"/>
  <c r="B12" i="25"/>
  <c r="B11" i="25"/>
  <c r="B10" i="25"/>
  <c r="B9" i="25"/>
  <c r="B8" i="25"/>
  <c r="B7" i="25"/>
  <c r="B6" i="25"/>
  <c r="B5" i="25"/>
  <c r="H4" i="25"/>
  <c r="E4" i="25"/>
  <c r="B4" i="25"/>
  <c r="F2" i="25"/>
  <c r="D2" i="25"/>
  <c r="I104" i="54" l="1"/>
  <c r="H105" i="54"/>
  <c r="E105" i="54"/>
  <c r="D105" i="54" s="1"/>
  <c r="G105" i="54" s="1"/>
  <c r="F106" i="54" s="1"/>
  <c r="D12" i="40"/>
  <c r="G12" i="40" s="1"/>
  <c r="F13" i="40" s="1"/>
  <c r="E13" i="40" s="1"/>
  <c r="I11" i="40"/>
  <c r="E11" i="38"/>
  <c r="D11" i="38" s="1"/>
  <c r="G11" i="38" s="1"/>
  <c r="F12" i="38" s="1"/>
  <c r="E11" i="37"/>
  <c r="D11" i="37" s="1"/>
  <c r="G11" i="37" s="1"/>
  <c r="F12" i="37" s="1"/>
  <c r="D11" i="35"/>
  <c r="G11" i="35" s="1"/>
  <c r="F12" i="35" s="1"/>
  <c r="E12" i="35" s="1"/>
  <c r="F9" i="34"/>
  <c r="E9" i="34" s="1"/>
  <c r="C5" i="31"/>
  <c r="E5" i="31"/>
  <c r="I5" i="31" s="1"/>
  <c r="C4" i="29"/>
  <c r="H4" i="28"/>
  <c r="I4" i="28" s="1"/>
  <c r="C39" i="28"/>
  <c r="D39" i="28" s="1"/>
  <c r="D4" i="29"/>
  <c r="G4" i="29" s="1"/>
  <c r="F5" i="29" s="1"/>
  <c r="I4" i="29"/>
  <c r="C41" i="29"/>
  <c r="C37" i="29"/>
  <c r="C45" i="29"/>
  <c r="C49" i="29"/>
  <c r="C53" i="29"/>
  <c r="C57" i="29"/>
  <c r="C40" i="29"/>
  <c r="C44" i="29"/>
  <c r="C48" i="29"/>
  <c r="C52" i="29"/>
  <c r="C56" i="29"/>
  <c r="C36" i="29"/>
  <c r="C43" i="29"/>
  <c r="C47" i="29"/>
  <c r="C51" i="29"/>
  <c r="C55" i="29"/>
  <c r="C59" i="29"/>
  <c r="D59" i="29" s="1"/>
  <c r="C35" i="29"/>
  <c r="C39" i="29"/>
  <c r="D39" i="29" s="1"/>
  <c r="C42" i="29"/>
  <c r="C46" i="29"/>
  <c r="C50" i="29"/>
  <c r="C54" i="29"/>
  <c r="C5" i="29"/>
  <c r="C6" i="29"/>
  <c r="C7" i="29"/>
  <c r="C8" i="29"/>
  <c r="C9" i="29"/>
  <c r="C10" i="29"/>
  <c r="C11" i="29"/>
  <c r="C12" i="29"/>
  <c r="C13" i="29"/>
  <c r="C14" i="29"/>
  <c r="C15" i="29"/>
  <c r="C16" i="29"/>
  <c r="C17" i="29"/>
  <c r="C18" i="29"/>
  <c r="C19" i="29"/>
  <c r="C20" i="29"/>
  <c r="C21" i="29"/>
  <c r="C22" i="29"/>
  <c r="C23" i="29"/>
  <c r="C24" i="29"/>
  <c r="C25" i="29"/>
  <c r="C26" i="29"/>
  <c r="C27" i="29"/>
  <c r="C28" i="29"/>
  <c r="C29" i="29"/>
  <c r="C30" i="29"/>
  <c r="C31" i="29"/>
  <c r="C32" i="29"/>
  <c r="C33" i="29"/>
  <c r="C34" i="29"/>
  <c r="C5" i="28"/>
  <c r="C8" i="28"/>
  <c r="C11" i="28"/>
  <c r="C16" i="28"/>
  <c r="C19" i="28"/>
  <c r="C22" i="28"/>
  <c r="C25" i="28"/>
  <c r="C27" i="28"/>
  <c r="C29" i="28"/>
  <c r="C30" i="28"/>
  <c r="C32" i="28"/>
  <c r="C33" i="28"/>
  <c r="C34" i="28"/>
  <c r="C38" i="28"/>
  <c r="C4" i="28"/>
  <c r="D4" i="28" s="1"/>
  <c r="G4" i="28" s="1"/>
  <c r="F5" i="28" s="1"/>
  <c r="C41" i="28"/>
  <c r="C45" i="28"/>
  <c r="C49" i="28"/>
  <c r="C53" i="28"/>
  <c r="C57" i="28"/>
  <c r="C42" i="28"/>
  <c r="C46" i="28"/>
  <c r="C50" i="28"/>
  <c r="C54" i="28"/>
  <c r="C7" i="28"/>
  <c r="C10" i="28"/>
  <c r="C13" i="28"/>
  <c r="C15" i="28"/>
  <c r="C18" i="28"/>
  <c r="C20" i="28"/>
  <c r="C23" i="28"/>
  <c r="C26" i="28"/>
  <c r="C31" i="28"/>
  <c r="C37" i="28"/>
  <c r="C58" i="28"/>
  <c r="C6" i="28"/>
  <c r="C9" i="28"/>
  <c r="C12" i="28"/>
  <c r="C14" i="28"/>
  <c r="C17" i="28"/>
  <c r="C21" i="28"/>
  <c r="C24" i="28"/>
  <c r="C28" i="28"/>
  <c r="C40" i="28"/>
  <c r="C44" i="28"/>
  <c r="C48" i="28"/>
  <c r="C52" i="28"/>
  <c r="C56" i="28"/>
  <c r="C43" i="28"/>
  <c r="C47" i="28"/>
  <c r="C51" i="28"/>
  <c r="C55" i="28"/>
  <c r="C40" i="25"/>
  <c r="I4" i="25"/>
  <c r="C15" i="25"/>
  <c r="C4" i="25"/>
  <c r="D4" i="25" s="1"/>
  <c r="G4" i="25" s="1"/>
  <c r="F5" i="25" s="1"/>
  <c r="E5" i="25" s="1"/>
  <c r="C16" i="25"/>
  <c r="C25" i="25"/>
  <c r="C23" i="25"/>
  <c r="C36" i="25"/>
  <c r="C17" i="25"/>
  <c r="C38" i="25"/>
  <c r="C34" i="25"/>
  <c r="C33" i="25"/>
  <c r="C32" i="25"/>
  <c r="C31" i="25"/>
  <c r="C30" i="25"/>
  <c r="C29" i="25"/>
  <c r="C28" i="25"/>
  <c r="C27" i="25"/>
  <c r="C26" i="25"/>
  <c r="C14" i="25"/>
  <c r="C22" i="25"/>
  <c r="C59" i="25"/>
  <c r="D59" i="25" s="1"/>
  <c r="C55" i="25"/>
  <c r="C51" i="25"/>
  <c r="C47" i="25"/>
  <c r="C43" i="25"/>
  <c r="C56" i="25"/>
  <c r="C52" i="25"/>
  <c r="C48" i="25"/>
  <c r="C44" i="25"/>
  <c r="C57" i="25"/>
  <c r="C53" i="25"/>
  <c r="C49" i="25"/>
  <c r="C45" i="25"/>
  <c r="C41" i="25"/>
  <c r="C58" i="25"/>
  <c r="C54" i="25"/>
  <c r="C50" i="25"/>
  <c r="C46" i="25"/>
  <c r="C42" i="25"/>
  <c r="C13" i="25"/>
  <c r="C21" i="25"/>
  <c r="C35" i="25"/>
  <c r="C39" i="25"/>
  <c r="D39" i="25" s="1"/>
  <c r="C12" i="25"/>
  <c r="C20" i="25"/>
  <c r="C37" i="25"/>
  <c r="C11" i="25"/>
  <c r="C19" i="25"/>
  <c r="C5" i="25"/>
  <c r="C6" i="25"/>
  <c r="C7" i="25"/>
  <c r="C8" i="25"/>
  <c r="C9" i="25"/>
  <c r="C10" i="25"/>
  <c r="C18" i="25"/>
  <c r="C4" i="26"/>
  <c r="C41" i="26"/>
  <c r="C45" i="26"/>
  <c r="C49" i="26"/>
  <c r="C53" i="26"/>
  <c r="C57" i="26"/>
  <c r="C37" i="26"/>
  <c r="E4" i="26"/>
  <c r="I4" i="26" s="1"/>
  <c r="C44" i="26"/>
  <c r="C48" i="26"/>
  <c r="C52" i="26"/>
  <c r="C56" i="26"/>
  <c r="C36" i="26"/>
  <c r="C43" i="26"/>
  <c r="C47" i="26"/>
  <c r="C51" i="26"/>
  <c r="C55" i="26"/>
  <c r="C59" i="26"/>
  <c r="D59" i="26" s="1"/>
  <c r="C35" i="26"/>
  <c r="C39" i="26"/>
  <c r="D39" i="26" s="1"/>
  <c r="C42" i="26"/>
  <c r="C46" i="26"/>
  <c r="C50" i="26"/>
  <c r="C54" i="26"/>
  <c r="C5" i="26"/>
  <c r="C6" i="26"/>
  <c r="C7" i="26"/>
  <c r="C8" i="26"/>
  <c r="C9" i="26"/>
  <c r="C10" i="26"/>
  <c r="C11" i="26"/>
  <c r="C12" i="26"/>
  <c r="C13" i="26"/>
  <c r="C14" i="26"/>
  <c r="C15" i="26"/>
  <c r="C16" i="26"/>
  <c r="C17" i="26"/>
  <c r="C18" i="26"/>
  <c r="C19" i="26"/>
  <c r="C20" i="26"/>
  <c r="C21" i="26"/>
  <c r="C22" i="26"/>
  <c r="C23" i="26"/>
  <c r="C24" i="26"/>
  <c r="C25" i="26"/>
  <c r="C26" i="26"/>
  <c r="C27" i="26"/>
  <c r="C28" i="26"/>
  <c r="C29" i="26"/>
  <c r="C30" i="26"/>
  <c r="C31" i="26"/>
  <c r="C32" i="26"/>
  <c r="C33" i="26"/>
  <c r="C34" i="26"/>
  <c r="D2" i="23"/>
  <c r="E4" i="23"/>
  <c r="F1" i="23"/>
  <c r="C46" i="23" s="1"/>
  <c r="D1" i="23"/>
  <c r="C38" i="23" s="1"/>
  <c r="B40" i="23"/>
  <c r="B6" i="23"/>
  <c r="B7" i="23"/>
  <c r="B8" i="23"/>
  <c r="B9" i="23"/>
  <c r="B10" i="23"/>
  <c r="B11" i="23"/>
  <c r="B12" i="23"/>
  <c r="B13" i="23"/>
  <c r="B14" i="23"/>
  <c r="B15" i="23"/>
  <c r="B16" i="23"/>
  <c r="B17" i="23"/>
  <c r="B18" i="23"/>
  <c r="B19" i="23"/>
  <c r="B20" i="23"/>
  <c r="B21" i="23"/>
  <c r="B22" i="23"/>
  <c r="B23" i="23"/>
  <c r="B24" i="23"/>
  <c r="B25" i="23"/>
  <c r="B26" i="23"/>
  <c r="B27" i="23"/>
  <c r="B28" i="23"/>
  <c r="B29" i="23"/>
  <c r="B30" i="23"/>
  <c r="B31" i="23"/>
  <c r="B32" i="23"/>
  <c r="B33" i="23"/>
  <c r="B34" i="23"/>
  <c r="B35" i="23"/>
  <c r="B36" i="23"/>
  <c r="B37" i="23"/>
  <c r="B38" i="23"/>
  <c r="B39" i="23"/>
  <c r="B41" i="23"/>
  <c r="B42" i="23"/>
  <c r="B43" i="23"/>
  <c r="B44" i="23"/>
  <c r="B45" i="23"/>
  <c r="B46" i="23"/>
  <c r="B47" i="23"/>
  <c r="B48" i="23"/>
  <c r="B49" i="23"/>
  <c r="B50" i="23"/>
  <c r="B51" i="23"/>
  <c r="B52" i="23"/>
  <c r="B53" i="23"/>
  <c r="B54" i="23"/>
  <c r="B55" i="23"/>
  <c r="B56" i="23"/>
  <c r="B57" i="23"/>
  <c r="B58" i="23"/>
  <c r="B59" i="23"/>
  <c r="B5" i="23"/>
  <c r="B4" i="23"/>
  <c r="H4" i="23" s="1"/>
  <c r="F2" i="23"/>
  <c r="D2" i="21"/>
  <c r="F2" i="21"/>
  <c r="F1" i="21"/>
  <c r="C50" i="21" s="1"/>
  <c r="B40" i="21"/>
  <c r="B6" i="21"/>
  <c r="B7" i="21"/>
  <c r="B8" i="21"/>
  <c r="B9" i="21"/>
  <c r="B10" i="21"/>
  <c r="B11" i="21"/>
  <c r="B12" i="21"/>
  <c r="B13" i="21"/>
  <c r="B14" i="21"/>
  <c r="B15" i="21"/>
  <c r="B16" i="21"/>
  <c r="B17" i="21"/>
  <c r="B18" i="21"/>
  <c r="B19" i="21"/>
  <c r="B20" i="21"/>
  <c r="B21" i="21"/>
  <c r="B22" i="21"/>
  <c r="B23" i="21"/>
  <c r="B24" i="21"/>
  <c r="B25" i="21"/>
  <c r="B26" i="21"/>
  <c r="B27" i="21"/>
  <c r="B28" i="21"/>
  <c r="B29" i="21"/>
  <c r="B30" i="21"/>
  <c r="B31" i="21"/>
  <c r="B32" i="21"/>
  <c r="B33" i="21"/>
  <c r="B34" i="21"/>
  <c r="B35" i="21"/>
  <c r="B36" i="21"/>
  <c r="B37" i="21"/>
  <c r="B38" i="21"/>
  <c r="B39" i="21"/>
  <c r="B41" i="21"/>
  <c r="B42" i="21"/>
  <c r="B43" i="21"/>
  <c r="B44" i="21"/>
  <c r="B45" i="21"/>
  <c r="B46" i="21"/>
  <c r="B47" i="21"/>
  <c r="B48" i="21"/>
  <c r="B49" i="21"/>
  <c r="B50" i="21"/>
  <c r="B51" i="21"/>
  <c r="B52" i="21"/>
  <c r="B53" i="21"/>
  <c r="B54" i="21"/>
  <c r="B55" i="21"/>
  <c r="B56" i="21"/>
  <c r="B57" i="21"/>
  <c r="B58" i="21"/>
  <c r="B59" i="21"/>
  <c r="D1" i="21"/>
  <c r="C4" i="21" s="1"/>
  <c r="B5" i="21"/>
  <c r="B4" i="21"/>
  <c r="E4" i="21" s="1"/>
  <c r="E40" i="19"/>
  <c r="F1" i="19"/>
  <c r="D1" i="19"/>
  <c r="C39" i="19" s="1"/>
  <c r="B40" i="19"/>
  <c r="B6" i="19"/>
  <c r="B7" i="19"/>
  <c r="B8" i="19"/>
  <c r="B9" i="19"/>
  <c r="B10" i="19"/>
  <c r="B11" i="19"/>
  <c r="B12" i="19"/>
  <c r="B13" i="19"/>
  <c r="B14" i="19"/>
  <c r="B15" i="19"/>
  <c r="B16" i="19"/>
  <c r="B17" i="19"/>
  <c r="B18" i="19"/>
  <c r="B19" i="19"/>
  <c r="B20" i="19"/>
  <c r="B21" i="19"/>
  <c r="B22" i="19"/>
  <c r="B23" i="19"/>
  <c r="B24" i="19"/>
  <c r="B25" i="19"/>
  <c r="B26" i="19"/>
  <c r="B27" i="19"/>
  <c r="B28" i="19"/>
  <c r="B29" i="19"/>
  <c r="B30" i="19"/>
  <c r="B31" i="19"/>
  <c r="B32" i="19"/>
  <c r="B33" i="19"/>
  <c r="B34" i="19"/>
  <c r="B35" i="19"/>
  <c r="B36" i="19"/>
  <c r="B37" i="19"/>
  <c r="B38" i="19"/>
  <c r="B39" i="19"/>
  <c r="B41" i="19"/>
  <c r="B42" i="19"/>
  <c r="B43" i="19"/>
  <c r="B44" i="19"/>
  <c r="B45" i="19"/>
  <c r="B46" i="19"/>
  <c r="B47" i="19"/>
  <c r="B48" i="19"/>
  <c r="B49" i="19"/>
  <c r="B50" i="19"/>
  <c r="B51" i="19"/>
  <c r="B52" i="19"/>
  <c r="B53" i="19"/>
  <c r="B54" i="19"/>
  <c r="B55" i="19"/>
  <c r="B56" i="19"/>
  <c r="B57" i="19"/>
  <c r="B58" i="19"/>
  <c r="B59" i="19"/>
  <c r="B5" i="19"/>
  <c r="B4" i="19"/>
  <c r="H4" i="19" s="1"/>
  <c r="H106" i="54" l="1"/>
  <c r="E106" i="54"/>
  <c r="D106" i="54" s="1"/>
  <c r="G106" i="54" s="1"/>
  <c r="F107" i="54" s="1"/>
  <c r="I105" i="54"/>
  <c r="D13" i="40"/>
  <c r="G13" i="40" s="1"/>
  <c r="I12" i="40"/>
  <c r="E12" i="38"/>
  <c r="D12" i="38" s="1"/>
  <c r="G12" i="38" s="1"/>
  <c r="F13" i="38" s="1"/>
  <c r="E12" i="37"/>
  <c r="D12" i="37" s="1"/>
  <c r="G12" i="37" s="1"/>
  <c r="F13" i="37" s="1"/>
  <c r="D12" i="35"/>
  <c r="G12" i="35" s="1"/>
  <c r="F13" i="35" s="1"/>
  <c r="E13" i="35" s="1"/>
  <c r="D9" i="34"/>
  <c r="G9" i="34" s="1"/>
  <c r="F10" i="34" s="1"/>
  <c r="D5" i="31"/>
  <c r="G5" i="31" s="1"/>
  <c r="F6" i="31" s="1"/>
  <c r="H5" i="29"/>
  <c r="E5" i="29"/>
  <c r="D5" i="29" s="1"/>
  <c r="G5" i="29" s="1"/>
  <c r="F6" i="29" s="1"/>
  <c r="H5" i="28"/>
  <c r="E5" i="28"/>
  <c r="D5" i="28" s="1"/>
  <c r="G5" i="28" s="1"/>
  <c r="F6" i="28" s="1"/>
  <c r="H5" i="25"/>
  <c r="I5" i="25" s="1"/>
  <c r="D5" i="25"/>
  <c r="G5" i="25" s="1"/>
  <c r="F6" i="25" s="1"/>
  <c r="E6" i="25" s="1"/>
  <c r="D6" i="25" s="1"/>
  <c r="G6" i="25" s="1"/>
  <c r="F7" i="25" s="1"/>
  <c r="D4" i="26"/>
  <c r="G4" i="26" s="1"/>
  <c r="F5" i="26" s="1"/>
  <c r="C58" i="23"/>
  <c r="C53" i="23"/>
  <c r="C41" i="23"/>
  <c r="C4" i="23"/>
  <c r="C42" i="23"/>
  <c r="C49" i="23"/>
  <c r="C45" i="23"/>
  <c r="C57" i="23"/>
  <c r="C37" i="23"/>
  <c r="I4" i="23"/>
  <c r="C40" i="23"/>
  <c r="C44" i="23"/>
  <c r="C48" i="23"/>
  <c r="C52" i="23"/>
  <c r="C56" i="23"/>
  <c r="C36" i="23"/>
  <c r="C43" i="23"/>
  <c r="C47" i="23"/>
  <c r="C51" i="23"/>
  <c r="C55" i="23"/>
  <c r="C59" i="23"/>
  <c r="C35" i="23"/>
  <c r="C39" i="23"/>
  <c r="C50" i="23"/>
  <c r="C54" i="23"/>
  <c r="C5" i="23"/>
  <c r="C6" i="23"/>
  <c r="C7" i="23"/>
  <c r="C8" i="23"/>
  <c r="C9" i="23"/>
  <c r="C10" i="23"/>
  <c r="C11" i="23"/>
  <c r="C12" i="23"/>
  <c r="C13" i="23"/>
  <c r="C14" i="23"/>
  <c r="C15" i="23"/>
  <c r="C16" i="23"/>
  <c r="C17" i="23"/>
  <c r="C18" i="23"/>
  <c r="C19" i="23"/>
  <c r="C20" i="23"/>
  <c r="C21" i="23"/>
  <c r="C22" i="23"/>
  <c r="C23" i="23"/>
  <c r="C24" i="23"/>
  <c r="C25" i="23"/>
  <c r="C26" i="23"/>
  <c r="C27" i="23"/>
  <c r="C28" i="23"/>
  <c r="C29" i="23"/>
  <c r="C30" i="23"/>
  <c r="C31" i="23"/>
  <c r="C32" i="23"/>
  <c r="C33" i="23"/>
  <c r="C34" i="23"/>
  <c r="C40" i="21"/>
  <c r="C56" i="21"/>
  <c r="C55" i="21"/>
  <c r="C48" i="21"/>
  <c r="C58" i="21"/>
  <c r="C44" i="21"/>
  <c r="C54" i="21"/>
  <c r="C52" i="21"/>
  <c r="C53" i="21"/>
  <c r="C59" i="21"/>
  <c r="C51" i="21"/>
  <c r="C57" i="21"/>
  <c r="C49" i="21"/>
  <c r="C41" i="21"/>
  <c r="C37" i="21"/>
  <c r="C38" i="21"/>
  <c r="C34" i="21"/>
  <c r="C33" i="21"/>
  <c r="C32" i="21"/>
  <c r="C31" i="21"/>
  <c r="C30" i="21"/>
  <c r="C29" i="21"/>
  <c r="C28" i="21"/>
  <c r="C27" i="21"/>
  <c r="C26" i="21"/>
  <c r="C25" i="21"/>
  <c r="C24" i="21"/>
  <c r="C23" i="21"/>
  <c r="C22" i="21"/>
  <c r="C21" i="21"/>
  <c r="C20" i="21"/>
  <c r="C19" i="21"/>
  <c r="C18" i="21"/>
  <c r="C17" i="21"/>
  <c r="C16" i="21"/>
  <c r="C15" i="21"/>
  <c r="C14" i="21"/>
  <c r="C13" i="21"/>
  <c r="C12" i="21"/>
  <c r="C11" i="21"/>
  <c r="C10" i="21"/>
  <c r="C9" i="21"/>
  <c r="C8" i="21"/>
  <c r="C7" i="21"/>
  <c r="C6" i="21"/>
  <c r="C5" i="21"/>
  <c r="C39" i="21"/>
  <c r="C35" i="21"/>
  <c r="C36" i="21"/>
  <c r="D4" i="21"/>
  <c r="G4" i="21" s="1"/>
  <c r="F5" i="21" s="1"/>
  <c r="E5" i="21" s="1"/>
  <c r="H4" i="21"/>
  <c r="C43" i="21"/>
  <c r="C47" i="21"/>
  <c r="C42" i="21"/>
  <c r="C46" i="21"/>
  <c r="C45" i="21"/>
  <c r="E4" i="19"/>
  <c r="C4" i="19"/>
  <c r="C58" i="19"/>
  <c r="C54" i="19"/>
  <c r="C50" i="19"/>
  <c r="C46" i="19"/>
  <c r="C42" i="19"/>
  <c r="C59" i="19"/>
  <c r="C55" i="19"/>
  <c r="C51" i="19"/>
  <c r="C47" i="19"/>
  <c r="C43" i="19"/>
  <c r="C56" i="19"/>
  <c r="C52" i="19"/>
  <c r="C48" i="19"/>
  <c r="C44" i="19"/>
  <c r="C57" i="19"/>
  <c r="C53" i="19"/>
  <c r="C49" i="19"/>
  <c r="C45" i="19"/>
  <c r="C41" i="19"/>
  <c r="C5" i="19"/>
  <c r="C6" i="19"/>
  <c r="C7" i="19"/>
  <c r="C8" i="19"/>
  <c r="C9" i="19"/>
  <c r="C10" i="19"/>
  <c r="C11" i="19"/>
  <c r="C12" i="19"/>
  <c r="C13" i="19"/>
  <c r="C14" i="19"/>
  <c r="C15" i="19"/>
  <c r="C16" i="19"/>
  <c r="C17" i="19"/>
  <c r="C18" i="19"/>
  <c r="C19" i="19"/>
  <c r="C20" i="19"/>
  <c r="C21" i="19"/>
  <c r="C22" i="19"/>
  <c r="C23" i="19"/>
  <c r="C24" i="19"/>
  <c r="C25" i="19"/>
  <c r="C26" i="19"/>
  <c r="C27" i="19"/>
  <c r="C28" i="19"/>
  <c r="C29" i="19"/>
  <c r="C30" i="19"/>
  <c r="C31" i="19"/>
  <c r="C32" i="19"/>
  <c r="C33" i="19"/>
  <c r="C34" i="19"/>
  <c r="C38" i="19"/>
  <c r="C37" i="19"/>
  <c r="C40" i="19"/>
  <c r="C36" i="19"/>
  <c r="C35" i="19"/>
  <c r="H107" i="54" l="1"/>
  <c r="E107" i="54"/>
  <c r="D107" i="54" s="1"/>
  <c r="G107" i="54" s="1"/>
  <c r="F108" i="54" s="1"/>
  <c r="I106" i="54"/>
  <c r="F245" i="40"/>
  <c r="F14" i="40"/>
  <c r="I13" i="40"/>
  <c r="E13" i="38"/>
  <c r="D13" i="38" s="1"/>
  <c r="G13" i="38" s="1"/>
  <c r="F14" i="38" s="1"/>
  <c r="E13" i="37"/>
  <c r="D13" i="37" s="1"/>
  <c r="G13" i="37" s="1"/>
  <c r="F14" i="37" s="1"/>
  <c r="D13" i="35"/>
  <c r="G13" i="35" s="1"/>
  <c r="F14" i="35" s="1"/>
  <c r="E14" i="35" s="1"/>
  <c r="E10" i="34"/>
  <c r="D10" i="34" s="1"/>
  <c r="G10" i="34" s="1"/>
  <c r="F11" i="34" s="1"/>
  <c r="H6" i="31"/>
  <c r="E6" i="31"/>
  <c r="D6" i="31" s="1"/>
  <c r="G6" i="31" s="1"/>
  <c r="F7" i="31" s="1"/>
  <c r="I5" i="28"/>
  <c r="H6" i="29"/>
  <c r="E6" i="29"/>
  <c r="D6" i="29" s="1"/>
  <c r="G6" i="29" s="1"/>
  <c r="F7" i="29" s="1"/>
  <c r="I5" i="29"/>
  <c r="H6" i="28"/>
  <c r="E6" i="28"/>
  <c r="D6" i="28" s="1"/>
  <c r="G6" i="28" s="1"/>
  <c r="F7" i="28" s="1"/>
  <c r="H6" i="25"/>
  <c r="I6" i="25" s="1"/>
  <c r="E7" i="25"/>
  <c r="D7" i="25" s="1"/>
  <c r="G7" i="25" s="1"/>
  <c r="F8" i="25" s="1"/>
  <c r="H7" i="25"/>
  <c r="H5" i="26"/>
  <c r="E5" i="26"/>
  <c r="D5" i="26" s="1"/>
  <c r="G5" i="26" s="1"/>
  <c r="F6" i="26" s="1"/>
  <c r="D4" i="23"/>
  <c r="G4" i="23" s="1"/>
  <c r="F5" i="23" s="1"/>
  <c r="H5" i="21"/>
  <c r="I5" i="21" s="1"/>
  <c r="D5" i="21"/>
  <c r="G5" i="21" s="1"/>
  <c r="F6" i="21" s="1"/>
  <c r="I4" i="21"/>
  <c r="D4" i="19"/>
  <c r="G4" i="19" s="1"/>
  <c r="F5" i="19" s="1"/>
  <c r="E5" i="19" s="1"/>
  <c r="D5" i="19" s="1"/>
  <c r="G5" i="19" s="1"/>
  <c r="F6" i="19" s="1"/>
  <c r="E6" i="19" s="1"/>
  <c r="I4" i="19"/>
  <c r="H108" i="54" l="1"/>
  <c r="E108" i="54"/>
  <c r="D108" i="54" s="1"/>
  <c r="G108" i="54" s="1"/>
  <c r="F109" i="54" s="1"/>
  <c r="I107" i="54"/>
  <c r="E14" i="40"/>
  <c r="D14" i="40" s="1"/>
  <c r="G14" i="40" s="1"/>
  <c r="F15" i="40" s="1"/>
  <c r="E15" i="40" s="1"/>
  <c r="E245" i="40"/>
  <c r="D245" i="40" s="1"/>
  <c r="G245" i="40" s="1"/>
  <c r="F246" i="40" s="1"/>
  <c r="E246" i="40" s="1"/>
  <c r="E14" i="38"/>
  <c r="D14" i="38" s="1"/>
  <c r="G14" i="38" s="1"/>
  <c r="F15" i="38" s="1"/>
  <c r="E14" i="37"/>
  <c r="D14" i="37" s="1"/>
  <c r="G14" i="37" s="1"/>
  <c r="F15" i="37" s="1"/>
  <c r="D14" i="35"/>
  <c r="G14" i="35" s="1"/>
  <c r="F15" i="35" s="1"/>
  <c r="E15" i="35" s="1"/>
  <c r="E11" i="34"/>
  <c r="D11" i="34" s="1"/>
  <c r="G11" i="34" s="1"/>
  <c r="F12" i="34" s="1"/>
  <c r="H7" i="31"/>
  <c r="E7" i="31"/>
  <c r="D7" i="31" s="1"/>
  <c r="G7" i="31" s="1"/>
  <c r="F8" i="31" s="1"/>
  <c r="I6" i="31"/>
  <c r="I6" i="29"/>
  <c r="H7" i="29"/>
  <c r="E7" i="29"/>
  <c r="D7" i="29" s="1"/>
  <c r="G7" i="29" s="1"/>
  <c r="F8" i="29" s="1"/>
  <c r="H7" i="28"/>
  <c r="E7" i="28"/>
  <c r="D7" i="28" s="1"/>
  <c r="G7" i="28" s="1"/>
  <c r="F8" i="28" s="1"/>
  <c r="I6" i="28"/>
  <c r="I7" i="25"/>
  <c r="H6" i="26"/>
  <c r="I6" i="26" s="1"/>
  <c r="E6" i="26"/>
  <c r="D6" i="26" s="1"/>
  <c r="G6" i="26" s="1"/>
  <c r="F7" i="26" s="1"/>
  <c r="E8" i="25"/>
  <c r="D8" i="25" s="1"/>
  <c r="G8" i="25" s="1"/>
  <c r="F9" i="25" s="1"/>
  <c r="H8" i="25"/>
  <c r="I5" i="26"/>
  <c r="E5" i="23"/>
  <c r="D5" i="23" s="1"/>
  <c r="G5" i="23" s="1"/>
  <c r="F6" i="23" s="1"/>
  <c r="H5" i="23"/>
  <c r="H6" i="21"/>
  <c r="E6" i="21"/>
  <c r="D6" i="21" s="1"/>
  <c r="G6" i="21" s="1"/>
  <c r="F7" i="21" s="1"/>
  <c r="H5" i="19"/>
  <c r="D6" i="19"/>
  <c r="G6" i="19" s="1"/>
  <c r="F7" i="19" s="1"/>
  <c r="E7" i="19" s="1"/>
  <c r="H6" i="19"/>
  <c r="I5" i="19"/>
  <c r="H109" i="54" l="1"/>
  <c r="E109" i="54"/>
  <c r="D109" i="54" s="1"/>
  <c r="G109" i="54" s="1"/>
  <c r="F110" i="54" s="1"/>
  <c r="I108" i="54"/>
  <c r="D246" i="40"/>
  <c r="G246" i="40" s="1"/>
  <c r="F247" i="40" s="1"/>
  <c r="E247" i="40" s="1"/>
  <c r="D15" i="40"/>
  <c r="G15" i="40" s="1"/>
  <c r="F16" i="40" s="1"/>
  <c r="E16" i="40" s="1"/>
  <c r="I14" i="40"/>
  <c r="E15" i="38"/>
  <c r="D15" i="38" s="1"/>
  <c r="G15" i="38" s="1"/>
  <c r="F16" i="38" s="1"/>
  <c r="E15" i="37"/>
  <c r="D15" i="37" s="1"/>
  <c r="G15" i="37" s="1"/>
  <c r="F16" i="37" s="1"/>
  <c r="D15" i="35"/>
  <c r="G15" i="35" s="1"/>
  <c r="F16" i="35" s="1"/>
  <c r="E16" i="35" s="1"/>
  <c r="E12" i="34"/>
  <c r="D12" i="34" s="1"/>
  <c r="G12" i="34" s="1"/>
  <c r="F13" i="34" s="1"/>
  <c r="I7" i="31"/>
  <c r="H8" i="31"/>
  <c r="E8" i="31"/>
  <c r="D8" i="31" s="1"/>
  <c r="G8" i="31" s="1"/>
  <c r="F9" i="31" s="1"/>
  <c r="H8" i="29"/>
  <c r="E8" i="29"/>
  <c r="D8" i="29" s="1"/>
  <c r="G8" i="29" s="1"/>
  <c r="F9" i="29" s="1"/>
  <c r="I7" i="29"/>
  <c r="H8" i="28"/>
  <c r="E8" i="28"/>
  <c r="D8" i="28" s="1"/>
  <c r="G8" i="28" s="1"/>
  <c r="F9" i="28" s="1"/>
  <c r="I7" i="28"/>
  <c r="I8" i="25"/>
  <c r="E9" i="25"/>
  <c r="D9" i="25" s="1"/>
  <c r="G9" i="25" s="1"/>
  <c r="F10" i="25" s="1"/>
  <c r="H9" i="25"/>
  <c r="H7" i="26"/>
  <c r="E7" i="26"/>
  <c r="D7" i="26" s="1"/>
  <c r="G7" i="26" s="1"/>
  <c r="F8" i="26" s="1"/>
  <c r="E6" i="23"/>
  <c r="D6" i="23" s="1"/>
  <c r="G6" i="23" s="1"/>
  <c r="F7" i="23" s="1"/>
  <c r="E7" i="23" s="1"/>
  <c r="D7" i="23" s="1"/>
  <c r="G7" i="23" s="1"/>
  <c r="F8" i="23" s="1"/>
  <c r="E8" i="23" s="1"/>
  <c r="H6" i="23"/>
  <c r="I5" i="23"/>
  <c r="H7" i="21"/>
  <c r="E7" i="21"/>
  <c r="D7" i="21" s="1"/>
  <c r="G7" i="21" s="1"/>
  <c r="F8" i="21" s="1"/>
  <c r="I6" i="21"/>
  <c r="D7" i="19"/>
  <c r="G7" i="19" s="1"/>
  <c r="F8" i="19" s="1"/>
  <c r="E8" i="19" s="1"/>
  <c r="H7" i="19"/>
  <c r="I6" i="19"/>
  <c r="H110" i="54" l="1"/>
  <c r="E110" i="54"/>
  <c r="D110" i="54" s="1"/>
  <c r="G110" i="54" s="1"/>
  <c r="F111" i="54" s="1"/>
  <c r="I109" i="54"/>
  <c r="D16" i="40"/>
  <c r="G16" i="40" s="1"/>
  <c r="F17" i="40" s="1"/>
  <c r="E17" i="40" s="1"/>
  <c r="D247" i="40"/>
  <c r="G247" i="40" s="1"/>
  <c r="F248" i="40" s="1"/>
  <c r="E248" i="40" s="1"/>
  <c r="I15" i="40"/>
  <c r="E16" i="38"/>
  <c r="D16" i="38" s="1"/>
  <c r="G16" i="38" s="1"/>
  <c r="F17" i="38" s="1"/>
  <c r="E16" i="37"/>
  <c r="D16" i="37" s="1"/>
  <c r="G16" i="37" s="1"/>
  <c r="F17" i="37" s="1"/>
  <c r="D16" i="35"/>
  <c r="G16" i="35" s="1"/>
  <c r="F17" i="35" s="1"/>
  <c r="E17" i="35" s="1"/>
  <c r="E13" i="34"/>
  <c r="D13" i="34" s="1"/>
  <c r="G13" i="34" s="1"/>
  <c r="F14" i="34" s="1"/>
  <c r="H9" i="31"/>
  <c r="E9" i="31"/>
  <c r="D9" i="31" s="1"/>
  <c r="G9" i="31" s="1"/>
  <c r="F10" i="31" s="1"/>
  <c r="I8" i="31"/>
  <c r="H9" i="29"/>
  <c r="E9" i="29"/>
  <c r="D9" i="29" s="1"/>
  <c r="G9" i="29" s="1"/>
  <c r="F10" i="29" s="1"/>
  <c r="I8" i="29"/>
  <c r="H9" i="28"/>
  <c r="E9" i="28"/>
  <c r="D9" i="28" s="1"/>
  <c r="G9" i="28" s="1"/>
  <c r="F10" i="28" s="1"/>
  <c r="I8" i="28"/>
  <c r="I9" i="25"/>
  <c r="H10" i="25"/>
  <c r="E10" i="25"/>
  <c r="D10" i="25" s="1"/>
  <c r="G10" i="25" s="1"/>
  <c r="F11" i="25" s="1"/>
  <c r="H8" i="26"/>
  <c r="E8" i="26"/>
  <c r="D8" i="26" s="1"/>
  <c r="G8" i="26" s="1"/>
  <c r="F9" i="26" s="1"/>
  <c r="I7" i="26"/>
  <c r="I6" i="23"/>
  <c r="H7" i="23"/>
  <c r="H8" i="23"/>
  <c r="D8" i="23"/>
  <c r="G8" i="23" s="1"/>
  <c r="F9" i="23" s="1"/>
  <c r="E9" i="23" s="1"/>
  <c r="I7" i="23"/>
  <c r="H8" i="21"/>
  <c r="E8" i="21"/>
  <c r="D8" i="21" s="1"/>
  <c r="G8" i="21" s="1"/>
  <c r="F9" i="21" s="1"/>
  <c r="I7" i="21"/>
  <c r="D8" i="19"/>
  <c r="G8" i="19" s="1"/>
  <c r="F9" i="19" s="1"/>
  <c r="E9" i="19" s="1"/>
  <c r="H8" i="19"/>
  <c r="I7" i="19"/>
  <c r="H111" i="54" l="1"/>
  <c r="E111" i="54"/>
  <c r="D111" i="54" s="1"/>
  <c r="G111" i="54" s="1"/>
  <c r="F112" i="54" s="1"/>
  <c r="I110" i="54"/>
  <c r="D17" i="40"/>
  <c r="G17" i="40" s="1"/>
  <c r="F18" i="40" s="1"/>
  <c r="E18" i="40" s="1"/>
  <c r="D248" i="40"/>
  <c r="G248" i="40" s="1"/>
  <c r="F249" i="40" s="1"/>
  <c r="E249" i="40" s="1"/>
  <c r="I16" i="40"/>
  <c r="E17" i="38"/>
  <c r="D17" i="38" s="1"/>
  <c r="G17" i="38" s="1"/>
  <c r="F18" i="38" s="1"/>
  <c r="E17" i="37"/>
  <c r="D17" i="37" s="1"/>
  <c r="G17" i="37" s="1"/>
  <c r="F18" i="37" s="1"/>
  <c r="D17" i="35"/>
  <c r="G17" i="35" s="1"/>
  <c r="F18" i="35" s="1"/>
  <c r="E18" i="35" s="1"/>
  <c r="E14" i="34"/>
  <c r="D14" i="34" s="1"/>
  <c r="G14" i="34" s="1"/>
  <c r="F15" i="34" s="1"/>
  <c r="H10" i="31"/>
  <c r="E10" i="31"/>
  <c r="D10" i="31" s="1"/>
  <c r="G10" i="31" s="1"/>
  <c r="F11" i="31" s="1"/>
  <c r="I9" i="31"/>
  <c r="I9" i="29"/>
  <c r="H10" i="29"/>
  <c r="E10" i="29"/>
  <c r="D10" i="29" s="1"/>
  <c r="G10" i="29" s="1"/>
  <c r="F11" i="29" s="1"/>
  <c r="H10" i="28"/>
  <c r="E10" i="28"/>
  <c r="D10" i="28" s="1"/>
  <c r="G10" i="28" s="1"/>
  <c r="F11" i="28" s="1"/>
  <c r="I9" i="28"/>
  <c r="H9" i="26"/>
  <c r="E9" i="26"/>
  <c r="D9" i="26" s="1"/>
  <c r="G9" i="26" s="1"/>
  <c r="F10" i="26" s="1"/>
  <c r="H11" i="25"/>
  <c r="E11" i="25"/>
  <c r="D11" i="25" s="1"/>
  <c r="G11" i="25" s="1"/>
  <c r="F12" i="25" s="1"/>
  <c r="I10" i="25"/>
  <c r="I8" i="26"/>
  <c r="H9" i="23"/>
  <c r="D9" i="23"/>
  <c r="G9" i="23" s="1"/>
  <c r="F10" i="23" s="1"/>
  <c r="E10" i="23" s="1"/>
  <c r="I8" i="23"/>
  <c r="I8" i="21"/>
  <c r="H9" i="21"/>
  <c r="E9" i="21"/>
  <c r="D9" i="21" s="1"/>
  <c r="G9" i="21" s="1"/>
  <c r="F10" i="21" s="1"/>
  <c r="I8" i="19"/>
  <c r="H9" i="19"/>
  <c r="D9" i="19"/>
  <c r="G9" i="19" s="1"/>
  <c r="F10" i="19" s="1"/>
  <c r="E10" i="19" s="1"/>
  <c r="H112" i="54" l="1"/>
  <c r="E112" i="54"/>
  <c r="D112" i="54" s="1"/>
  <c r="G112" i="54" s="1"/>
  <c r="F113" i="54" s="1"/>
  <c r="I111" i="54"/>
  <c r="I17" i="40"/>
  <c r="D249" i="40"/>
  <c r="G249" i="40" s="1"/>
  <c r="F250" i="40" s="1"/>
  <c r="E250" i="40" s="1"/>
  <c r="D18" i="40"/>
  <c r="G18" i="40" s="1"/>
  <c r="F19" i="40" s="1"/>
  <c r="E19" i="40" s="1"/>
  <c r="E18" i="38"/>
  <c r="D18" i="38" s="1"/>
  <c r="G18" i="38" s="1"/>
  <c r="F19" i="38" s="1"/>
  <c r="E18" i="37"/>
  <c r="D18" i="37" s="1"/>
  <c r="G18" i="37" s="1"/>
  <c r="F19" i="37" s="1"/>
  <c r="D18" i="35"/>
  <c r="G18" i="35" s="1"/>
  <c r="F19" i="35" s="1"/>
  <c r="E19" i="35" s="1"/>
  <c r="E15" i="34"/>
  <c r="D15" i="34" s="1"/>
  <c r="G15" i="34" s="1"/>
  <c r="F16" i="34" s="1"/>
  <c r="I10" i="31"/>
  <c r="H11" i="31"/>
  <c r="E11" i="31"/>
  <c r="D11" i="31" s="1"/>
  <c r="G11" i="31" s="1"/>
  <c r="F12" i="31" s="1"/>
  <c r="H11" i="29"/>
  <c r="E11" i="29"/>
  <c r="D11" i="29" s="1"/>
  <c r="G11" i="29" s="1"/>
  <c r="F12" i="29" s="1"/>
  <c r="I10" i="29"/>
  <c r="H11" i="28"/>
  <c r="E11" i="28"/>
  <c r="D11" i="28" s="1"/>
  <c r="G11" i="28" s="1"/>
  <c r="F12" i="28" s="1"/>
  <c r="I10" i="28"/>
  <c r="I9" i="26"/>
  <c r="H12" i="25"/>
  <c r="E12" i="25"/>
  <c r="D12" i="25" s="1"/>
  <c r="G12" i="25" s="1"/>
  <c r="F13" i="25" s="1"/>
  <c r="H10" i="26"/>
  <c r="E10" i="26"/>
  <c r="D10" i="26" s="1"/>
  <c r="G10" i="26" s="1"/>
  <c r="F11" i="26" s="1"/>
  <c r="I11" i="25"/>
  <c r="H10" i="23"/>
  <c r="D10" i="23"/>
  <c r="G10" i="23" s="1"/>
  <c r="F11" i="23" s="1"/>
  <c r="E11" i="23" s="1"/>
  <c r="I9" i="23"/>
  <c r="I9" i="21"/>
  <c r="H10" i="21"/>
  <c r="E10" i="21"/>
  <c r="D10" i="21" s="1"/>
  <c r="G10" i="21" s="1"/>
  <c r="F11" i="21" s="1"/>
  <c r="H10" i="19"/>
  <c r="D10" i="19"/>
  <c r="G10" i="19" s="1"/>
  <c r="F11" i="19" s="1"/>
  <c r="E11" i="19" s="1"/>
  <c r="I9" i="19"/>
  <c r="H113" i="54" l="1"/>
  <c r="E113" i="54"/>
  <c r="D113" i="54" s="1"/>
  <c r="G113" i="54" s="1"/>
  <c r="F114" i="54" s="1"/>
  <c r="I112" i="54"/>
  <c r="I18" i="40"/>
  <c r="D19" i="40"/>
  <c r="G19" i="40" s="1"/>
  <c r="F20" i="40" s="1"/>
  <c r="E20" i="40" s="1"/>
  <c r="D250" i="40"/>
  <c r="G250" i="40" s="1"/>
  <c r="F251" i="40" s="1"/>
  <c r="E251" i="40" s="1"/>
  <c r="E19" i="38"/>
  <c r="D19" i="38" s="1"/>
  <c r="G19" i="38" s="1"/>
  <c r="E19" i="37"/>
  <c r="D19" i="37" s="1"/>
  <c r="G19" i="37" s="1"/>
  <c r="D19" i="35"/>
  <c r="G19" i="35" s="1"/>
  <c r="F40" i="35" s="1"/>
  <c r="E16" i="34"/>
  <c r="D16" i="34" s="1"/>
  <c r="G16" i="34" s="1"/>
  <c r="F17" i="34" s="1"/>
  <c r="E17" i="34" s="1"/>
  <c r="D17" i="34" s="1"/>
  <c r="G17" i="34" s="1"/>
  <c r="F18" i="34" s="1"/>
  <c r="H12" i="31"/>
  <c r="E12" i="31"/>
  <c r="D12" i="31" s="1"/>
  <c r="G12" i="31" s="1"/>
  <c r="F13" i="31" s="1"/>
  <c r="I11" i="31"/>
  <c r="H12" i="29"/>
  <c r="E12" i="29"/>
  <c r="D12" i="29" s="1"/>
  <c r="G12" i="29" s="1"/>
  <c r="F13" i="29" s="1"/>
  <c r="I11" i="29"/>
  <c r="H12" i="28"/>
  <c r="E12" i="28"/>
  <c r="D12" i="28" s="1"/>
  <c r="G12" i="28" s="1"/>
  <c r="F13" i="28" s="1"/>
  <c r="I11" i="28"/>
  <c r="H11" i="26"/>
  <c r="E11" i="26"/>
  <c r="D11" i="26" s="1"/>
  <c r="G11" i="26" s="1"/>
  <c r="F12" i="26" s="1"/>
  <c r="H13" i="25"/>
  <c r="E13" i="25"/>
  <c r="D13" i="25" s="1"/>
  <c r="G13" i="25" s="1"/>
  <c r="F14" i="25" s="1"/>
  <c r="I10" i="26"/>
  <c r="I12" i="25"/>
  <c r="H11" i="23"/>
  <c r="D11" i="23"/>
  <c r="G11" i="23" s="1"/>
  <c r="F12" i="23" s="1"/>
  <c r="E12" i="23" s="1"/>
  <c r="I10" i="23"/>
  <c r="I10" i="21"/>
  <c r="H11" i="21"/>
  <c r="E11" i="21"/>
  <c r="D11" i="21" s="1"/>
  <c r="G11" i="21" s="1"/>
  <c r="F12" i="21" s="1"/>
  <c r="H11" i="19"/>
  <c r="D11" i="19"/>
  <c r="G11" i="19" s="1"/>
  <c r="F12" i="19" s="1"/>
  <c r="E12" i="19" s="1"/>
  <c r="I10" i="19"/>
  <c r="H114" i="54" l="1"/>
  <c r="E114" i="54"/>
  <c r="D114" i="54" s="1"/>
  <c r="G114" i="54" s="1"/>
  <c r="F115" i="54" s="1"/>
  <c r="I113" i="54"/>
  <c r="D20" i="40"/>
  <c r="G20" i="40" s="1"/>
  <c r="F21" i="40" s="1"/>
  <c r="E21" i="40" s="1"/>
  <c r="D251" i="40"/>
  <c r="G251" i="40" s="1"/>
  <c r="F252" i="40" s="1"/>
  <c r="E252" i="40" s="1"/>
  <c r="I19" i="40"/>
  <c r="F40" i="38"/>
  <c r="F20" i="38"/>
  <c r="F20" i="37"/>
  <c r="F40" i="37"/>
  <c r="F20" i="35"/>
  <c r="E40" i="35" s="1"/>
  <c r="D40" i="35" s="1"/>
  <c r="G40" i="35" s="1"/>
  <c r="F41" i="35" s="1"/>
  <c r="E41" i="35" s="1"/>
  <c r="D41" i="35" s="1"/>
  <c r="G41" i="35" s="1"/>
  <c r="F42" i="35" s="1"/>
  <c r="E42" i="35" s="1"/>
  <c r="D42" i="35" s="1"/>
  <c r="G42" i="35" s="1"/>
  <c r="F43" i="35" s="1"/>
  <c r="E43" i="35" s="1"/>
  <c r="D43" i="35" s="1"/>
  <c r="G43" i="35" s="1"/>
  <c r="F44" i="35" s="1"/>
  <c r="E44" i="35" s="1"/>
  <c r="D44" i="35" s="1"/>
  <c r="G44" i="35" s="1"/>
  <c r="F45" i="35" s="1"/>
  <c r="E45" i="35" s="1"/>
  <c r="D45" i="35" s="1"/>
  <c r="G45" i="35" s="1"/>
  <c r="F46" i="35" s="1"/>
  <c r="E46" i="35" s="1"/>
  <c r="D46" i="35" s="1"/>
  <c r="G46" i="35" s="1"/>
  <c r="F47" i="35" s="1"/>
  <c r="E47" i="35" s="1"/>
  <c r="D47" i="35" s="1"/>
  <c r="G47" i="35" s="1"/>
  <c r="F48" i="35" s="1"/>
  <c r="E48" i="35" s="1"/>
  <c r="D48" i="35" s="1"/>
  <c r="G48" i="35" s="1"/>
  <c r="F49" i="35" s="1"/>
  <c r="E49" i="35" s="1"/>
  <c r="D49" i="35" s="1"/>
  <c r="G49" i="35" s="1"/>
  <c r="F50" i="35" s="1"/>
  <c r="E50" i="35" s="1"/>
  <c r="D50" i="35" s="1"/>
  <c r="G50" i="35" s="1"/>
  <c r="F51" i="35" s="1"/>
  <c r="E51" i="35" s="1"/>
  <c r="D51" i="35" s="1"/>
  <c r="G51" i="35" s="1"/>
  <c r="F52" i="35" s="1"/>
  <c r="E52" i="35" s="1"/>
  <c r="D52" i="35" s="1"/>
  <c r="G52" i="35" s="1"/>
  <c r="F53" i="35" s="1"/>
  <c r="E53" i="35" s="1"/>
  <c r="D53" i="35" s="1"/>
  <c r="G53" i="35" s="1"/>
  <c r="F54" i="35" s="1"/>
  <c r="E54" i="35" s="1"/>
  <c r="D54" i="35" s="1"/>
  <c r="G54" i="35" s="1"/>
  <c r="F55" i="35" s="1"/>
  <c r="E55" i="35" s="1"/>
  <c r="D55" i="35" s="1"/>
  <c r="G55" i="35" s="1"/>
  <c r="F56" i="35" s="1"/>
  <c r="E56" i="35" s="1"/>
  <c r="D56" i="35" s="1"/>
  <c r="G56" i="35" s="1"/>
  <c r="F57" i="35" s="1"/>
  <c r="E57" i="35" s="1"/>
  <c r="E18" i="34"/>
  <c r="D18" i="34" s="1"/>
  <c r="G18" i="34" s="1"/>
  <c r="F19" i="34" s="1"/>
  <c r="I12" i="31"/>
  <c r="H13" i="31"/>
  <c r="E13" i="31"/>
  <c r="D13" i="31" s="1"/>
  <c r="G13" i="31" s="1"/>
  <c r="H13" i="29"/>
  <c r="E13" i="29"/>
  <c r="D13" i="29" s="1"/>
  <c r="G13" i="29" s="1"/>
  <c r="F14" i="29" s="1"/>
  <c r="I12" i="29"/>
  <c r="H13" i="28"/>
  <c r="E13" i="28"/>
  <c r="D13" i="28" s="1"/>
  <c r="G13" i="28" s="1"/>
  <c r="F14" i="28" s="1"/>
  <c r="I12" i="28"/>
  <c r="I11" i="26"/>
  <c r="H14" i="25"/>
  <c r="E14" i="25"/>
  <c r="D14" i="25" s="1"/>
  <c r="G14" i="25" s="1"/>
  <c r="F15" i="25" s="1"/>
  <c r="H12" i="26"/>
  <c r="E12" i="26"/>
  <c r="D12" i="26" s="1"/>
  <c r="G12" i="26" s="1"/>
  <c r="F13" i="26" s="1"/>
  <c r="I13" i="25"/>
  <c r="H12" i="23"/>
  <c r="D12" i="23"/>
  <c r="G12" i="23" s="1"/>
  <c r="F13" i="23" s="1"/>
  <c r="E13" i="23" s="1"/>
  <c r="I11" i="23"/>
  <c r="H12" i="21"/>
  <c r="E12" i="21"/>
  <c r="D12" i="21" s="1"/>
  <c r="G12" i="21" s="1"/>
  <c r="F13" i="21" s="1"/>
  <c r="I11" i="21"/>
  <c r="H12" i="19"/>
  <c r="D12" i="19"/>
  <c r="G12" i="19" s="1"/>
  <c r="F13" i="19" s="1"/>
  <c r="E13" i="19" s="1"/>
  <c r="I11" i="19"/>
  <c r="H115" i="54" l="1"/>
  <c r="E115" i="54"/>
  <c r="D115" i="54" s="1"/>
  <c r="G115" i="54" s="1"/>
  <c r="F116" i="54" s="1"/>
  <c r="I114" i="54"/>
  <c r="D252" i="40"/>
  <c r="G252" i="40" s="1"/>
  <c r="F253" i="40" s="1"/>
  <c r="E253" i="40" s="1"/>
  <c r="D21" i="40"/>
  <c r="G21" i="40" s="1"/>
  <c r="F22" i="40" s="1"/>
  <c r="E22" i="40" s="1"/>
  <c r="I20" i="40"/>
  <c r="E20" i="38"/>
  <c r="D20" i="38" s="1"/>
  <c r="G20" i="38" s="1"/>
  <c r="F21" i="38" s="1"/>
  <c r="E40" i="38"/>
  <c r="D40" i="38" s="1"/>
  <c r="G40" i="38" s="1"/>
  <c r="F41" i="38" s="1"/>
  <c r="E20" i="37"/>
  <c r="D20" i="37" s="1"/>
  <c r="G20" i="37" s="1"/>
  <c r="F21" i="37" s="1"/>
  <c r="E40" i="37"/>
  <c r="D40" i="37" s="1"/>
  <c r="G40" i="37" s="1"/>
  <c r="F41" i="37" s="1"/>
  <c r="D57" i="35"/>
  <c r="G57" i="35" s="1"/>
  <c r="F58" i="35" s="1"/>
  <c r="E58" i="35" s="1"/>
  <c r="E20" i="35"/>
  <c r="D20" i="35" s="1"/>
  <c r="G20" i="35" s="1"/>
  <c r="F21" i="35" s="1"/>
  <c r="E21" i="35" s="1"/>
  <c r="E19" i="34"/>
  <c r="D19" i="34" s="1"/>
  <c r="G19" i="34" s="1"/>
  <c r="F14" i="31"/>
  <c r="E245" i="31" s="1"/>
  <c r="D245" i="31" s="1"/>
  <c r="G245" i="31" s="1"/>
  <c r="F246" i="31" s="1"/>
  <c r="F245" i="31"/>
  <c r="H245" i="31" s="1"/>
  <c r="I13" i="31"/>
  <c r="H14" i="29"/>
  <c r="E14" i="29"/>
  <c r="D14" i="29" s="1"/>
  <c r="G14" i="29" s="1"/>
  <c r="F15" i="29" s="1"/>
  <c r="I13" i="29"/>
  <c r="H14" i="28"/>
  <c r="E14" i="28"/>
  <c r="D14" i="28" s="1"/>
  <c r="G14" i="28" s="1"/>
  <c r="F15" i="28" s="1"/>
  <c r="I13" i="28"/>
  <c r="H13" i="26"/>
  <c r="E13" i="26"/>
  <c r="D13" i="26" s="1"/>
  <c r="G13" i="26" s="1"/>
  <c r="F14" i="26" s="1"/>
  <c r="H15" i="25"/>
  <c r="E15" i="25"/>
  <c r="D15" i="25" s="1"/>
  <c r="G15" i="25" s="1"/>
  <c r="F16" i="25" s="1"/>
  <c r="I12" i="26"/>
  <c r="I14" i="25"/>
  <c r="H13" i="23"/>
  <c r="D13" i="23"/>
  <c r="G13" i="23" s="1"/>
  <c r="F14" i="23" s="1"/>
  <c r="E14" i="23" s="1"/>
  <c r="I12" i="23"/>
  <c r="H13" i="21"/>
  <c r="E13" i="21"/>
  <c r="D13" i="21" s="1"/>
  <c r="G13" i="21" s="1"/>
  <c r="F14" i="21" s="1"/>
  <c r="I12" i="21"/>
  <c r="H13" i="19"/>
  <c r="D13" i="19"/>
  <c r="G13" i="19" s="1"/>
  <c r="F14" i="19" s="1"/>
  <c r="E14" i="19" s="1"/>
  <c r="I12" i="19"/>
  <c r="H116" i="54" l="1"/>
  <c r="E116" i="54"/>
  <c r="D116" i="54" s="1"/>
  <c r="G116" i="54" s="1"/>
  <c r="F117" i="54" s="1"/>
  <c r="I115" i="54"/>
  <c r="I21" i="40"/>
  <c r="D22" i="40"/>
  <c r="G22" i="40" s="1"/>
  <c r="F23" i="40" s="1"/>
  <c r="E23" i="40" s="1"/>
  <c r="D253" i="40"/>
  <c r="G253" i="40" s="1"/>
  <c r="F254" i="40" s="1"/>
  <c r="E254" i="40" s="1"/>
  <c r="E41" i="38"/>
  <c r="D41" i="38" s="1"/>
  <c r="G41" i="38" s="1"/>
  <c r="F42" i="38" s="1"/>
  <c r="E21" i="38"/>
  <c r="D21" i="38" s="1"/>
  <c r="G21" i="38" s="1"/>
  <c r="F22" i="38" s="1"/>
  <c r="E21" i="37"/>
  <c r="D21" i="37" s="1"/>
  <c r="G21" i="37" s="1"/>
  <c r="F22" i="37" s="1"/>
  <c r="E41" i="37"/>
  <c r="D41" i="37" s="1"/>
  <c r="G41" i="37" s="1"/>
  <c r="F42" i="37" s="1"/>
  <c r="D58" i="35"/>
  <c r="G58" i="35" s="1"/>
  <c r="F59" i="35" s="1"/>
  <c r="D21" i="35"/>
  <c r="G21" i="35" s="1"/>
  <c r="F22" i="35" s="1"/>
  <c r="E22" i="35" s="1"/>
  <c r="F20" i="34"/>
  <c r="E40" i="34" s="1"/>
  <c r="D40" i="34" s="1"/>
  <c r="F40" i="34"/>
  <c r="G40" i="34" s="1"/>
  <c r="F41" i="34" s="1"/>
  <c r="E41" i="34" s="1"/>
  <c r="D41" i="34" s="1"/>
  <c r="G41" i="34" s="1"/>
  <c r="F42" i="34" s="1"/>
  <c r="E42" i="34" s="1"/>
  <c r="D42" i="34" s="1"/>
  <c r="G42" i="34" s="1"/>
  <c r="F43" i="34" s="1"/>
  <c r="E43" i="34" s="1"/>
  <c r="D43" i="34" s="1"/>
  <c r="G43" i="34" s="1"/>
  <c r="F44" i="34" s="1"/>
  <c r="E44" i="34" s="1"/>
  <c r="D44" i="34" s="1"/>
  <c r="G44" i="34" s="1"/>
  <c r="F45" i="34" s="1"/>
  <c r="E45" i="34" s="1"/>
  <c r="D45" i="34" s="1"/>
  <c r="G45" i="34" s="1"/>
  <c r="F46" i="34" s="1"/>
  <c r="E46" i="34" s="1"/>
  <c r="D46" i="34" s="1"/>
  <c r="G46" i="34" s="1"/>
  <c r="F47" i="34" s="1"/>
  <c r="E47" i="34" s="1"/>
  <c r="D47" i="34" s="1"/>
  <c r="G47" i="34" s="1"/>
  <c r="F48" i="34" s="1"/>
  <c r="E48" i="34" s="1"/>
  <c r="D48" i="34" s="1"/>
  <c r="G48" i="34" s="1"/>
  <c r="F49" i="34" s="1"/>
  <c r="E49" i="34" s="1"/>
  <c r="D49" i="34" s="1"/>
  <c r="G49" i="34" s="1"/>
  <c r="F50" i="34" s="1"/>
  <c r="E50" i="34" s="1"/>
  <c r="D50" i="34" s="1"/>
  <c r="G50" i="34" s="1"/>
  <c r="F51" i="34" s="1"/>
  <c r="E51" i="34" s="1"/>
  <c r="D51" i="34" s="1"/>
  <c r="G51" i="34" s="1"/>
  <c r="F52" i="34" s="1"/>
  <c r="E52" i="34" s="1"/>
  <c r="D52" i="34" s="1"/>
  <c r="G52" i="34" s="1"/>
  <c r="F53" i="34" s="1"/>
  <c r="E53" i="34" s="1"/>
  <c r="D53" i="34" s="1"/>
  <c r="G53" i="34" s="1"/>
  <c r="F54" i="34" s="1"/>
  <c r="E54" i="34" s="1"/>
  <c r="D54" i="34" s="1"/>
  <c r="G54" i="34" s="1"/>
  <c r="F55" i="34" s="1"/>
  <c r="E55" i="34" s="1"/>
  <c r="D55" i="34" s="1"/>
  <c r="G55" i="34" s="1"/>
  <c r="F56" i="34" s="1"/>
  <c r="E56" i="34" s="1"/>
  <c r="D56" i="34" s="1"/>
  <c r="G56" i="34" s="1"/>
  <c r="F57" i="34" s="1"/>
  <c r="E57" i="34" s="1"/>
  <c r="D57" i="34" s="1"/>
  <c r="G57" i="34" s="1"/>
  <c r="F58" i="34" s="1"/>
  <c r="E58" i="34" s="1"/>
  <c r="D58" i="34" s="1"/>
  <c r="G58" i="34" s="1"/>
  <c r="F59" i="34" s="1"/>
  <c r="E20" i="34"/>
  <c r="D20" i="34" s="1"/>
  <c r="G20" i="34" s="1"/>
  <c r="F21" i="34" s="1"/>
  <c r="E21" i="34" s="1"/>
  <c r="D21" i="34" s="1"/>
  <c r="G21" i="34" s="1"/>
  <c r="F22" i="34" s="1"/>
  <c r="E22" i="34" s="1"/>
  <c r="D22" i="34" s="1"/>
  <c r="G22" i="34" s="1"/>
  <c r="F23" i="34" s="1"/>
  <c r="E23" i="34" s="1"/>
  <c r="D23" i="34" s="1"/>
  <c r="G23" i="34" s="1"/>
  <c r="F24" i="34" s="1"/>
  <c r="E24" i="34" s="1"/>
  <c r="D24" i="34" s="1"/>
  <c r="G24" i="34" s="1"/>
  <c r="F25" i="34" s="1"/>
  <c r="E25" i="34" s="1"/>
  <c r="D25" i="34" s="1"/>
  <c r="G25" i="34" s="1"/>
  <c r="F26" i="34" s="1"/>
  <c r="E26" i="34" s="1"/>
  <c r="D26" i="34" s="1"/>
  <c r="G26" i="34" s="1"/>
  <c r="F27" i="34" s="1"/>
  <c r="E27" i="34" s="1"/>
  <c r="D27" i="34" s="1"/>
  <c r="G27" i="34" s="1"/>
  <c r="F28" i="34" s="1"/>
  <c r="E28" i="34" s="1"/>
  <c r="D28" i="34" s="1"/>
  <c r="G28" i="34" s="1"/>
  <c r="F29" i="34" s="1"/>
  <c r="E29" i="34" s="1"/>
  <c r="D29" i="34" s="1"/>
  <c r="G29" i="34" s="1"/>
  <c r="F30" i="34" s="1"/>
  <c r="E30" i="34" s="1"/>
  <c r="E246" i="31"/>
  <c r="D246" i="31" s="1"/>
  <c r="G246" i="31" s="1"/>
  <c r="F247" i="31" s="1"/>
  <c r="H246" i="31"/>
  <c r="I246" i="31" s="1"/>
  <c r="E14" i="31"/>
  <c r="D14" i="31" s="1"/>
  <c r="G14" i="31" s="1"/>
  <c r="F15" i="31" s="1"/>
  <c r="E15" i="31" s="1"/>
  <c r="D15" i="31" s="1"/>
  <c r="G15" i="31" s="1"/>
  <c r="F16" i="31" s="1"/>
  <c r="H14" i="31"/>
  <c r="I14" i="31" s="1"/>
  <c r="I245" i="31"/>
  <c r="I14" i="29"/>
  <c r="H15" i="29"/>
  <c r="E15" i="29"/>
  <c r="D15" i="29" s="1"/>
  <c r="G15" i="29" s="1"/>
  <c r="F16" i="29" s="1"/>
  <c r="H15" i="28"/>
  <c r="E15" i="28"/>
  <c r="D15" i="28" s="1"/>
  <c r="G15" i="28" s="1"/>
  <c r="F16" i="28" s="1"/>
  <c r="I14" i="28"/>
  <c r="I13" i="26"/>
  <c r="H16" i="25"/>
  <c r="E16" i="25"/>
  <c r="D16" i="25" s="1"/>
  <c r="G16" i="25" s="1"/>
  <c r="F17" i="25" s="1"/>
  <c r="H14" i="26"/>
  <c r="E14" i="26"/>
  <c r="D14" i="26" s="1"/>
  <c r="G14" i="26" s="1"/>
  <c r="F15" i="26" s="1"/>
  <c r="I15" i="25"/>
  <c r="H14" i="23"/>
  <c r="D14" i="23"/>
  <c r="G14" i="23" s="1"/>
  <c r="F15" i="23" s="1"/>
  <c r="E15" i="23" s="1"/>
  <c r="I13" i="23"/>
  <c r="H14" i="21"/>
  <c r="E14" i="21"/>
  <c r="D14" i="21" s="1"/>
  <c r="G14" i="21" s="1"/>
  <c r="F15" i="21" s="1"/>
  <c r="I13" i="21"/>
  <c r="H14" i="19"/>
  <c r="D14" i="19"/>
  <c r="G14" i="19" s="1"/>
  <c r="F15" i="19" s="1"/>
  <c r="E15" i="19" s="1"/>
  <c r="I13" i="19"/>
  <c r="H117" i="54" l="1"/>
  <c r="E117" i="54"/>
  <c r="D117" i="54" s="1"/>
  <c r="G117" i="54" s="1"/>
  <c r="F118" i="54" s="1"/>
  <c r="I116" i="54"/>
  <c r="D254" i="40"/>
  <c r="G254" i="40" s="1"/>
  <c r="F255" i="40" s="1"/>
  <c r="E255" i="40" s="1"/>
  <c r="D23" i="40"/>
  <c r="G23" i="40" s="1"/>
  <c r="F24" i="40" s="1"/>
  <c r="E24" i="40" s="1"/>
  <c r="I22" i="40"/>
  <c r="E42" i="38"/>
  <c r="D42" i="38" s="1"/>
  <c r="G42" i="38" s="1"/>
  <c r="F43" i="38" s="1"/>
  <c r="E22" i="38"/>
  <c r="D22" i="38" s="1"/>
  <c r="G22" i="38" s="1"/>
  <c r="F23" i="38" s="1"/>
  <c r="E42" i="37"/>
  <c r="D42" i="37" s="1"/>
  <c r="G42" i="37" s="1"/>
  <c r="F43" i="37" s="1"/>
  <c r="E22" i="37"/>
  <c r="D22" i="37" s="1"/>
  <c r="G22" i="37" s="1"/>
  <c r="F23" i="37" s="1"/>
  <c r="D59" i="35"/>
  <c r="G59" i="35" s="1"/>
  <c r="D22" i="35"/>
  <c r="G22" i="35" s="1"/>
  <c r="F23" i="35" s="1"/>
  <c r="E23" i="35" s="1"/>
  <c r="D59" i="34"/>
  <c r="G59" i="34" s="1"/>
  <c r="D30" i="34"/>
  <c r="G30" i="34" s="1"/>
  <c r="F31" i="34" s="1"/>
  <c r="E31" i="34" s="1"/>
  <c r="E247" i="31"/>
  <c r="D247" i="31" s="1"/>
  <c r="G247" i="31" s="1"/>
  <c r="F248" i="31" s="1"/>
  <c r="H247" i="31"/>
  <c r="H15" i="31"/>
  <c r="I15" i="31" s="1"/>
  <c r="H16" i="31"/>
  <c r="E16" i="31"/>
  <c r="D16" i="31" s="1"/>
  <c r="G16" i="31" s="1"/>
  <c r="F17" i="31" s="1"/>
  <c r="H16" i="29"/>
  <c r="E16" i="29"/>
  <c r="D16" i="29" s="1"/>
  <c r="G16" i="29" s="1"/>
  <c r="F17" i="29" s="1"/>
  <c r="I15" i="29"/>
  <c r="H16" i="28"/>
  <c r="E16" i="28"/>
  <c r="D16" i="28" s="1"/>
  <c r="G16" i="28" s="1"/>
  <c r="F17" i="28" s="1"/>
  <c r="I15" i="28"/>
  <c r="I16" i="25"/>
  <c r="H15" i="26"/>
  <c r="E15" i="26"/>
  <c r="D15" i="26" s="1"/>
  <c r="G15" i="26" s="1"/>
  <c r="F16" i="26" s="1"/>
  <c r="H17" i="25"/>
  <c r="E17" i="25"/>
  <c r="D17" i="25" s="1"/>
  <c r="G17" i="25" s="1"/>
  <c r="F18" i="25" s="1"/>
  <c r="I14" i="26"/>
  <c r="H15" i="23"/>
  <c r="D15" i="23"/>
  <c r="G15" i="23" s="1"/>
  <c r="F16" i="23" s="1"/>
  <c r="E16" i="23" s="1"/>
  <c r="I14" i="23"/>
  <c r="H15" i="21"/>
  <c r="E15" i="21"/>
  <c r="D15" i="21" s="1"/>
  <c r="G15" i="21" s="1"/>
  <c r="F16" i="21" s="1"/>
  <c r="I14" i="21"/>
  <c r="I14" i="19"/>
  <c r="H15" i="19"/>
  <c r="D15" i="19"/>
  <c r="G15" i="19" s="1"/>
  <c r="F16" i="19" s="1"/>
  <c r="E16" i="19" s="1"/>
  <c r="H118" i="54" l="1"/>
  <c r="E118" i="54"/>
  <c r="D118" i="54" s="1"/>
  <c r="G118" i="54" s="1"/>
  <c r="F119" i="54" s="1"/>
  <c r="I117" i="54"/>
  <c r="D24" i="40"/>
  <c r="G24" i="40" s="1"/>
  <c r="F25" i="40" s="1"/>
  <c r="E25" i="40" s="1"/>
  <c r="D255" i="40"/>
  <c r="G255" i="40" s="1"/>
  <c r="F256" i="40" s="1"/>
  <c r="E256" i="40" s="1"/>
  <c r="I23" i="40"/>
  <c r="E43" i="38"/>
  <c r="D43" i="38" s="1"/>
  <c r="G43" i="38" s="1"/>
  <c r="F44" i="38" s="1"/>
  <c r="E23" i="38"/>
  <c r="D23" i="38" s="1"/>
  <c r="G23" i="38" s="1"/>
  <c r="F24" i="38" s="1"/>
  <c r="E43" i="37"/>
  <c r="D43" i="37" s="1"/>
  <c r="G43" i="37" s="1"/>
  <c r="F44" i="37" s="1"/>
  <c r="E23" i="37"/>
  <c r="D23" i="37" s="1"/>
  <c r="G23" i="37" s="1"/>
  <c r="F24" i="37" s="1"/>
  <c r="D23" i="35"/>
  <c r="G23" i="35" s="1"/>
  <c r="F24" i="35" s="1"/>
  <c r="E24" i="35" s="1"/>
  <c r="D31" i="34"/>
  <c r="G31" i="34" s="1"/>
  <c r="F32" i="34" s="1"/>
  <c r="E32" i="34" s="1"/>
  <c r="I247" i="31"/>
  <c r="E248" i="31"/>
  <c r="D248" i="31" s="1"/>
  <c r="G248" i="31" s="1"/>
  <c r="F249" i="31" s="1"/>
  <c r="H248" i="31"/>
  <c r="H17" i="31"/>
  <c r="E17" i="31"/>
  <c r="D17" i="31" s="1"/>
  <c r="G17" i="31" s="1"/>
  <c r="F18" i="31" s="1"/>
  <c r="I16" i="31"/>
  <c r="H17" i="29"/>
  <c r="E17" i="29"/>
  <c r="D17" i="29" s="1"/>
  <c r="G17" i="29" s="1"/>
  <c r="F18" i="29" s="1"/>
  <c r="I16" i="29"/>
  <c r="H17" i="28"/>
  <c r="E17" i="28"/>
  <c r="D17" i="28" s="1"/>
  <c r="G17" i="28" s="1"/>
  <c r="F18" i="28" s="1"/>
  <c r="I16" i="28"/>
  <c r="I15" i="26"/>
  <c r="H16" i="26"/>
  <c r="E16" i="26"/>
  <c r="D16" i="26" s="1"/>
  <c r="G16" i="26" s="1"/>
  <c r="F17" i="26" s="1"/>
  <c r="H18" i="25"/>
  <c r="E18" i="25"/>
  <c r="D18" i="25" s="1"/>
  <c r="G18" i="25" s="1"/>
  <c r="F19" i="25" s="1"/>
  <c r="I17" i="25"/>
  <c r="H16" i="23"/>
  <c r="D16" i="23"/>
  <c r="G16" i="23" s="1"/>
  <c r="F17" i="23" s="1"/>
  <c r="E17" i="23" s="1"/>
  <c r="I15" i="23"/>
  <c r="H16" i="21"/>
  <c r="E16" i="21"/>
  <c r="D16" i="21" s="1"/>
  <c r="G16" i="21" s="1"/>
  <c r="F17" i="21" s="1"/>
  <c r="I15" i="21"/>
  <c r="H16" i="19"/>
  <c r="D16" i="19"/>
  <c r="G16" i="19" s="1"/>
  <c r="F17" i="19" s="1"/>
  <c r="E17" i="19" s="1"/>
  <c r="I15" i="19"/>
  <c r="E119" i="54" l="1"/>
  <c r="D119" i="54" s="1"/>
  <c r="G119" i="54" s="1"/>
  <c r="F120" i="54" s="1"/>
  <c r="H119" i="54"/>
  <c r="I118" i="54"/>
  <c r="I248" i="31"/>
  <c r="D256" i="40"/>
  <c r="G256" i="40" s="1"/>
  <c r="F257" i="40" s="1"/>
  <c r="E257" i="40" s="1"/>
  <c r="D25" i="40"/>
  <c r="G25" i="40" s="1"/>
  <c r="F26" i="40" s="1"/>
  <c r="E26" i="40" s="1"/>
  <c r="I24" i="40"/>
  <c r="E24" i="38"/>
  <c r="D24" i="38" s="1"/>
  <c r="G24" i="38" s="1"/>
  <c r="F25" i="38" s="1"/>
  <c r="E44" i="38"/>
  <c r="D44" i="38" s="1"/>
  <c r="G44" i="38" s="1"/>
  <c r="F45" i="38" s="1"/>
  <c r="E24" i="37"/>
  <c r="D24" i="37" s="1"/>
  <c r="G24" i="37" s="1"/>
  <c r="F25" i="37" s="1"/>
  <c r="E44" i="37"/>
  <c r="D44" i="37" s="1"/>
  <c r="G44" i="37" s="1"/>
  <c r="F45" i="37" s="1"/>
  <c r="D24" i="35"/>
  <c r="G24" i="35" s="1"/>
  <c r="F25" i="35" s="1"/>
  <c r="E25" i="35" s="1"/>
  <c r="D32" i="34"/>
  <c r="G32" i="34" s="1"/>
  <c r="F33" i="34" s="1"/>
  <c r="E33" i="34" s="1"/>
  <c r="E249" i="31"/>
  <c r="D249" i="31" s="1"/>
  <c r="G249" i="31" s="1"/>
  <c r="F250" i="31" s="1"/>
  <c r="H249" i="31"/>
  <c r="I249" i="31" s="1"/>
  <c r="H18" i="31"/>
  <c r="E18" i="31"/>
  <c r="D18" i="31" s="1"/>
  <c r="G18" i="31" s="1"/>
  <c r="F19" i="31" s="1"/>
  <c r="I17" i="31"/>
  <c r="I17" i="29"/>
  <c r="H18" i="29"/>
  <c r="E18" i="29"/>
  <c r="D18" i="29" s="1"/>
  <c r="G18" i="29" s="1"/>
  <c r="F19" i="29" s="1"/>
  <c r="H18" i="28"/>
  <c r="E18" i="28"/>
  <c r="D18" i="28" s="1"/>
  <c r="G18" i="28" s="1"/>
  <c r="F19" i="28" s="1"/>
  <c r="I17" i="28"/>
  <c r="I16" i="26"/>
  <c r="H19" i="25"/>
  <c r="E19" i="25"/>
  <c r="D19" i="25" s="1"/>
  <c r="G19" i="25" s="1"/>
  <c r="H17" i="26"/>
  <c r="E17" i="26"/>
  <c r="D17" i="26" s="1"/>
  <c r="G17" i="26" s="1"/>
  <c r="F18" i="26" s="1"/>
  <c r="I18" i="25"/>
  <c r="H17" i="23"/>
  <c r="D17" i="23"/>
  <c r="G17" i="23" s="1"/>
  <c r="F18" i="23" s="1"/>
  <c r="E18" i="23" s="1"/>
  <c r="I16" i="23"/>
  <c r="H17" i="21"/>
  <c r="E17" i="21"/>
  <c r="D17" i="21" s="1"/>
  <c r="G17" i="21" s="1"/>
  <c r="F18" i="21" s="1"/>
  <c r="I16" i="21"/>
  <c r="H17" i="19"/>
  <c r="D17" i="19"/>
  <c r="G17" i="19" s="1"/>
  <c r="F18" i="19" s="1"/>
  <c r="E18" i="19" s="1"/>
  <c r="I16" i="19"/>
  <c r="I119" i="54" l="1"/>
  <c r="E120" i="54"/>
  <c r="D120" i="54" s="1"/>
  <c r="G120" i="54" s="1"/>
  <c r="F121" i="54" s="1"/>
  <c r="H120" i="54"/>
  <c r="I120" i="54" s="1"/>
  <c r="D26" i="40"/>
  <c r="G26" i="40" s="1"/>
  <c r="F27" i="40" s="1"/>
  <c r="E27" i="40" s="1"/>
  <c r="D257" i="40"/>
  <c r="G257" i="40" s="1"/>
  <c r="F258" i="40" s="1"/>
  <c r="E258" i="40" s="1"/>
  <c r="I25" i="40"/>
  <c r="E25" i="38"/>
  <c r="D25" i="38" s="1"/>
  <c r="G25" i="38" s="1"/>
  <c r="F26" i="38" s="1"/>
  <c r="E45" i="38"/>
  <c r="D45" i="38" s="1"/>
  <c r="G45" i="38" s="1"/>
  <c r="F46" i="38" s="1"/>
  <c r="E25" i="37"/>
  <c r="D25" i="37" s="1"/>
  <c r="G25" i="37" s="1"/>
  <c r="F26" i="37" s="1"/>
  <c r="E45" i="37"/>
  <c r="D45" i="37" s="1"/>
  <c r="G45" i="37" s="1"/>
  <c r="F46" i="37" s="1"/>
  <c r="D25" i="35"/>
  <c r="G25" i="35" s="1"/>
  <c r="F26" i="35" s="1"/>
  <c r="E26" i="35" s="1"/>
  <c r="D33" i="34"/>
  <c r="G33" i="34" s="1"/>
  <c r="F34" i="34" s="1"/>
  <c r="E34" i="34" s="1"/>
  <c r="E250" i="31"/>
  <c r="D250" i="31" s="1"/>
  <c r="G250" i="31" s="1"/>
  <c r="F251" i="31" s="1"/>
  <c r="H250" i="31"/>
  <c r="H19" i="31"/>
  <c r="E19" i="31"/>
  <c r="D19" i="31" s="1"/>
  <c r="G19" i="31" s="1"/>
  <c r="F20" i="31" s="1"/>
  <c r="I18" i="31"/>
  <c r="I18" i="29"/>
  <c r="H19" i="29"/>
  <c r="E19" i="29"/>
  <c r="D19" i="29" s="1"/>
  <c r="G19" i="29" s="1"/>
  <c r="H19" i="28"/>
  <c r="E19" i="28"/>
  <c r="D19" i="28" s="1"/>
  <c r="G19" i="28" s="1"/>
  <c r="I18" i="28"/>
  <c r="I19" i="25"/>
  <c r="H18" i="26"/>
  <c r="E18" i="26"/>
  <c r="D18" i="26" s="1"/>
  <c r="G18" i="26" s="1"/>
  <c r="F19" i="26" s="1"/>
  <c r="I17" i="26"/>
  <c r="F40" i="25"/>
  <c r="F20" i="25"/>
  <c r="H18" i="23"/>
  <c r="D18" i="23"/>
  <c r="G18" i="23" s="1"/>
  <c r="F19" i="23" s="1"/>
  <c r="E19" i="23" s="1"/>
  <c r="I17" i="23"/>
  <c r="H18" i="21"/>
  <c r="E18" i="21"/>
  <c r="D18" i="21" s="1"/>
  <c r="G18" i="21" s="1"/>
  <c r="I17" i="21"/>
  <c r="H18" i="19"/>
  <c r="D18" i="19"/>
  <c r="G18" i="19" s="1"/>
  <c r="F19" i="19" s="1"/>
  <c r="E19" i="19" s="1"/>
  <c r="I17" i="19"/>
  <c r="E121" i="54" l="1"/>
  <c r="D121" i="54" s="1"/>
  <c r="G121" i="54" s="1"/>
  <c r="F122" i="54" s="1"/>
  <c r="H121" i="54"/>
  <c r="I250" i="31"/>
  <c r="I26" i="40"/>
  <c r="D258" i="40"/>
  <c r="G258" i="40" s="1"/>
  <c r="F259" i="40" s="1"/>
  <c r="E259" i="40" s="1"/>
  <c r="D27" i="40"/>
  <c r="G27" i="40" s="1"/>
  <c r="F28" i="40" s="1"/>
  <c r="E28" i="40" s="1"/>
  <c r="E26" i="38"/>
  <c r="D26" i="38" s="1"/>
  <c r="G26" i="38" s="1"/>
  <c r="F27" i="38" s="1"/>
  <c r="E46" i="38"/>
  <c r="D46" i="38" s="1"/>
  <c r="G46" i="38" s="1"/>
  <c r="F47" i="38" s="1"/>
  <c r="E46" i="37"/>
  <c r="D46" i="37" s="1"/>
  <c r="G46" i="37" s="1"/>
  <c r="F47" i="37" s="1"/>
  <c r="E26" i="37"/>
  <c r="D26" i="37" s="1"/>
  <c r="G26" i="37" s="1"/>
  <c r="F27" i="37" s="1"/>
  <c r="D26" i="35"/>
  <c r="G26" i="35" s="1"/>
  <c r="F27" i="35" s="1"/>
  <c r="E27" i="35" s="1"/>
  <c r="D34" i="34"/>
  <c r="G34" i="34" s="1"/>
  <c r="F35" i="34" s="1"/>
  <c r="E35" i="34" s="1"/>
  <c r="E251" i="31"/>
  <c r="D251" i="31" s="1"/>
  <c r="G251" i="31" s="1"/>
  <c r="F252" i="31" s="1"/>
  <c r="H251" i="31"/>
  <c r="H20" i="31"/>
  <c r="E20" i="31"/>
  <c r="D20" i="31" s="1"/>
  <c r="G20" i="31" s="1"/>
  <c r="I19" i="31"/>
  <c r="F40" i="29"/>
  <c r="F20" i="29"/>
  <c r="I19" i="29"/>
  <c r="F40" i="28"/>
  <c r="F20" i="28"/>
  <c r="I19" i="28"/>
  <c r="G40" i="25"/>
  <c r="E40" i="25"/>
  <c r="H19" i="26"/>
  <c r="E19" i="26"/>
  <c r="D19" i="26" s="1"/>
  <c r="G19" i="26" s="1"/>
  <c r="H20" i="25"/>
  <c r="E20" i="25"/>
  <c r="D20" i="25" s="1"/>
  <c r="G20" i="25" s="1"/>
  <c r="F21" i="25" s="1"/>
  <c r="E41" i="25" s="1"/>
  <c r="I18" i="26"/>
  <c r="I18" i="23"/>
  <c r="H19" i="23"/>
  <c r="D19" i="23"/>
  <c r="G19" i="23" s="1"/>
  <c r="F19" i="21"/>
  <c r="I18" i="21"/>
  <c r="H19" i="19"/>
  <c r="D19" i="19"/>
  <c r="G19" i="19" s="1"/>
  <c r="I18" i="19"/>
  <c r="I121" i="54" l="1"/>
  <c r="E122" i="54"/>
  <c r="D122" i="54" s="1"/>
  <c r="G122" i="54" s="1"/>
  <c r="F123" i="54" s="1"/>
  <c r="H122" i="54"/>
  <c r="I122" i="54" s="1"/>
  <c r="D259" i="40"/>
  <c r="G259" i="40" s="1"/>
  <c r="F260" i="40" s="1"/>
  <c r="E260" i="40" s="1"/>
  <c r="D28" i="40"/>
  <c r="G28" i="40" s="1"/>
  <c r="F29" i="40" s="1"/>
  <c r="E29" i="40" s="1"/>
  <c r="I27" i="40"/>
  <c r="E27" i="38"/>
  <c r="D27" i="38" s="1"/>
  <c r="G27" i="38" s="1"/>
  <c r="F28" i="38" s="1"/>
  <c r="E47" i="38"/>
  <c r="D47" i="38" s="1"/>
  <c r="G47" i="38" s="1"/>
  <c r="F48" i="38" s="1"/>
  <c r="E47" i="37"/>
  <c r="D47" i="37" s="1"/>
  <c r="G47" i="37" s="1"/>
  <c r="F48" i="37" s="1"/>
  <c r="E27" i="37"/>
  <c r="D27" i="37" s="1"/>
  <c r="G27" i="37" s="1"/>
  <c r="F28" i="37" s="1"/>
  <c r="D27" i="35"/>
  <c r="G27" i="35" s="1"/>
  <c r="F28" i="35" s="1"/>
  <c r="E28" i="35" s="1"/>
  <c r="D35" i="34"/>
  <c r="G35" i="34" s="1"/>
  <c r="F36" i="34" s="1"/>
  <c r="E36" i="34" s="1"/>
  <c r="E252" i="31"/>
  <c r="D252" i="31" s="1"/>
  <c r="G252" i="31" s="1"/>
  <c r="F253" i="31" s="1"/>
  <c r="H252" i="31"/>
  <c r="I251" i="31"/>
  <c r="I20" i="31"/>
  <c r="F21" i="31"/>
  <c r="H20" i="29"/>
  <c r="E20" i="29"/>
  <c r="D20" i="29" s="1"/>
  <c r="G20" i="29" s="1"/>
  <c r="F21" i="29" s="1"/>
  <c r="E40" i="29"/>
  <c r="D40" i="29" s="1"/>
  <c r="G40" i="29" s="1"/>
  <c r="F41" i="29" s="1"/>
  <c r="H20" i="28"/>
  <c r="E20" i="28"/>
  <c r="D20" i="28" s="1"/>
  <c r="G20" i="28" s="1"/>
  <c r="F21" i="28" s="1"/>
  <c r="E40" i="28"/>
  <c r="D40" i="28" s="1"/>
  <c r="G40" i="28" s="1"/>
  <c r="F41" i="28" s="1"/>
  <c r="I20" i="25"/>
  <c r="F40" i="26"/>
  <c r="F20" i="26"/>
  <c r="E40" i="26" s="1"/>
  <c r="H21" i="25"/>
  <c r="E21" i="25"/>
  <c r="D21" i="25" s="1"/>
  <c r="G21" i="25" s="1"/>
  <c r="F22" i="25" s="1"/>
  <c r="I19" i="26"/>
  <c r="F40" i="23"/>
  <c r="E40" i="23" s="1"/>
  <c r="F20" i="23"/>
  <c r="E20" i="23" s="1"/>
  <c r="I19" i="23"/>
  <c r="E19" i="21"/>
  <c r="D19" i="21" s="1"/>
  <c r="G19" i="21" s="1"/>
  <c r="F40" i="21" s="1"/>
  <c r="E40" i="21" s="1"/>
  <c r="H19" i="21"/>
  <c r="F40" i="19"/>
  <c r="F20" i="19"/>
  <c r="I19" i="19"/>
  <c r="E123" i="54" l="1"/>
  <c r="D123" i="54" s="1"/>
  <c r="G123" i="54" s="1"/>
  <c r="F124" i="54" s="1"/>
  <c r="H123" i="54"/>
  <c r="D29" i="40"/>
  <c r="G29" i="40" s="1"/>
  <c r="F30" i="40" s="1"/>
  <c r="E30" i="40" s="1"/>
  <c r="I28" i="40"/>
  <c r="D260" i="40"/>
  <c r="G260" i="40" s="1"/>
  <c r="F261" i="40" s="1"/>
  <c r="E261" i="40" s="1"/>
  <c r="E28" i="38"/>
  <c r="D28" i="38" s="1"/>
  <c r="G28" i="38" s="1"/>
  <c r="F29" i="38" s="1"/>
  <c r="E48" i="38"/>
  <c r="D48" i="38" s="1"/>
  <c r="G48" i="38" s="1"/>
  <c r="F49" i="38" s="1"/>
  <c r="E48" i="37"/>
  <c r="D48" i="37" s="1"/>
  <c r="G48" i="37" s="1"/>
  <c r="F49" i="37" s="1"/>
  <c r="E28" i="37"/>
  <c r="D28" i="37" s="1"/>
  <c r="G28" i="37" s="1"/>
  <c r="F29" i="37" s="1"/>
  <c r="D28" i="35"/>
  <c r="G28" i="35" s="1"/>
  <c r="F29" i="35" s="1"/>
  <c r="E29" i="35" s="1"/>
  <c r="D36" i="34"/>
  <c r="G36" i="34" s="1"/>
  <c r="F37" i="34" s="1"/>
  <c r="E37" i="34" s="1"/>
  <c r="I252" i="31"/>
  <c r="E253" i="31"/>
  <c r="D253" i="31" s="1"/>
  <c r="G253" i="31" s="1"/>
  <c r="F254" i="31" s="1"/>
  <c r="H253" i="31"/>
  <c r="H21" i="31"/>
  <c r="E21" i="31"/>
  <c r="E41" i="29"/>
  <c r="D41" i="29" s="1"/>
  <c r="G41" i="29" s="1"/>
  <c r="F42" i="29" s="1"/>
  <c r="H21" i="29"/>
  <c r="E21" i="29"/>
  <c r="D21" i="29" s="1"/>
  <c r="G21" i="29" s="1"/>
  <c r="F22" i="29" s="1"/>
  <c r="I20" i="29"/>
  <c r="E41" i="28"/>
  <c r="D41" i="28" s="1"/>
  <c r="G41" i="28" s="1"/>
  <c r="F42" i="28" s="1"/>
  <c r="H21" i="28"/>
  <c r="E21" i="28"/>
  <c r="D21" i="28" s="1"/>
  <c r="G21" i="28" s="1"/>
  <c r="F22" i="28" s="1"/>
  <c r="I20" i="28"/>
  <c r="H22" i="25"/>
  <c r="E22" i="25"/>
  <c r="D22" i="25" s="1"/>
  <c r="G22" i="25" s="1"/>
  <c r="F23" i="25" s="1"/>
  <c r="I21" i="25"/>
  <c r="H20" i="26"/>
  <c r="E20" i="26"/>
  <c r="H20" i="23"/>
  <c r="D20" i="23"/>
  <c r="G20" i="23" s="1"/>
  <c r="F21" i="23" s="1"/>
  <c r="E21" i="23" s="1"/>
  <c r="D40" i="23"/>
  <c r="G40" i="23" s="1"/>
  <c r="F41" i="23" s="1"/>
  <c r="E41" i="23" s="1"/>
  <c r="I19" i="21"/>
  <c r="F20" i="21"/>
  <c r="H20" i="21" s="1"/>
  <c r="E20" i="19"/>
  <c r="H20" i="19"/>
  <c r="D40" i="19"/>
  <c r="D20" i="19"/>
  <c r="G40" i="19" s="1"/>
  <c r="I123" i="54" l="1"/>
  <c r="E124" i="54"/>
  <c r="D124" i="54" s="1"/>
  <c r="G124" i="54" s="1"/>
  <c r="F125" i="54" s="1"/>
  <c r="H124" i="54"/>
  <c r="I253" i="31"/>
  <c r="I29" i="40"/>
  <c r="D261" i="40"/>
  <c r="G261" i="40" s="1"/>
  <c r="F262" i="40" s="1"/>
  <c r="E262" i="40" s="1"/>
  <c r="D30" i="40"/>
  <c r="G30" i="40" s="1"/>
  <c r="F31" i="40" s="1"/>
  <c r="E31" i="40" s="1"/>
  <c r="E49" i="38"/>
  <c r="D49" i="38" s="1"/>
  <c r="G49" i="38" s="1"/>
  <c r="F50" i="38" s="1"/>
  <c r="E29" i="38"/>
  <c r="D29" i="38" s="1"/>
  <c r="G29" i="38" s="1"/>
  <c r="F30" i="38" s="1"/>
  <c r="E29" i="37"/>
  <c r="D29" i="37" s="1"/>
  <c r="G29" i="37" s="1"/>
  <c r="F30" i="37" s="1"/>
  <c r="E49" i="37"/>
  <c r="D49" i="37" s="1"/>
  <c r="G49" i="37" s="1"/>
  <c r="F50" i="37" s="1"/>
  <c r="D29" i="35"/>
  <c r="G29" i="35" s="1"/>
  <c r="F30" i="35" s="1"/>
  <c r="E30" i="35" s="1"/>
  <c r="D37" i="34"/>
  <c r="G37" i="34" s="1"/>
  <c r="F38" i="34" s="1"/>
  <c r="E38" i="34" s="1"/>
  <c r="E254" i="31"/>
  <c r="D254" i="31" s="1"/>
  <c r="G254" i="31" s="1"/>
  <c r="F255" i="31" s="1"/>
  <c r="H254" i="31"/>
  <c r="I21" i="31"/>
  <c r="D21" i="31"/>
  <c r="H22" i="29"/>
  <c r="E22" i="29"/>
  <c r="D22" i="29" s="1"/>
  <c r="G22" i="29" s="1"/>
  <c r="F23" i="29" s="1"/>
  <c r="E42" i="29"/>
  <c r="D42" i="29" s="1"/>
  <c r="G42" i="29" s="1"/>
  <c r="F43" i="29" s="1"/>
  <c r="I21" i="29"/>
  <c r="H22" i="28"/>
  <c r="E22" i="28"/>
  <c r="D22" i="28" s="1"/>
  <c r="G22" i="28" s="1"/>
  <c r="F23" i="28" s="1"/>
  <c r="I21" i="28"/>
  <c r="E42" i="28"/>
  <c r="D42" i="28" s="1"/>
  <c r="G42" i="28" s="1"/>
  <c r="F43" i="28" s="1"/>
  <c r="D20" i="26"/>
  <c r="G20" i="26" s="1"/>
  <c r="F21" i="26" s="1"/>
  <c r="H21" i="26" s="1"/>
  <c r="D40" i="26"/>
  <c r="G40" i="26" s="1"/>
  <c r="F41" i="26" s="1"/>
  <c r="E41" i="26" s="1"/>
  <c r="D41" i="26" s="1"/>
  <c r="G41" i="26" s="1"/>
  <c r="F42" i="26" s="1"/>
  <c r="I22" i="25"/>
  <c r="H23" i="25"/>
  <c r="E23" i="25"/>
  <c r="D23" i="25" s="1"/>
  <c r="G23" i="25" s="1"/>
  <c r="F24" i="25" s="1"/>
  <c r="I20" i="26"/>
  <c r="I20" i="23"/>
  <c r="D41" i="23"/>
  <c r="G41" i="23" s="1"/>
  <c r="F42" i="23" s="1"/>
  <c r="E42" i="23" s="1"/>
  <c r="H21" i="23"/>
  <c r="D21" i="23"/>
  <c r="G21" i="23" s="1"/>
  <c r="F22" i="23" s="1"/>
  <c r="E22" i="23" s="1"/>
  <c r="E20" i="21"/>
  <c r="D20" i="21" s="1"/>
  <c r="G20" i="21" s="1"/>
  <c r="F21" i="21" s="1"/>
  <c r="H21" i="21" s="1"/>
  <c r="G20" i="19"/>
  <c r="I20" i="19"/>
  <c r="I124" i="54" l="1"/>
  <c r="E125" i="54"/>
  <c r="D125" i="54" s="1"/>
  <c r="G125" i="54" s="1"/>
  <c r="F126" i="54" s="1"/>
  <c r="H125" i="54"/>
  <c r="I125" i="54" s="1"/>
  <c r="D31" i="40"/>
  <c r="G31" i="40" s="1"/>
  <c r="F32" i="40" s="1"/>
  <c r="E32" i="40" s="1"/>
  <c r="D262" i="40"/>
  <c r="G262" i="40" s="1"/>
  <c r="F263" i="40" s="1"/>
  <c r="E263" i="40" s="1"/>
  <c r="I30" i="40"/>
  <c r="E30" i="38"/>
  <c r="D30" i="38" s="1"/>
  <c r="G30" i="38" s="1"/>
  <c r="F31" i="38" s="1"/>
  <c r="E50" i="38"/>
  <c r="D50" i="38" s="1"/>
  <c r="G50" i="38" s="1"/>
  <c r="F51" i="38" s="1"/>
  <c r="E50" i="37"/>
  <c r="D50" i="37" s="1"/>
  <c r="G50" i="37" s="1"/>
  <c r="F51" i="37" s="1"/>
  <c r="E30" i="37"/>
  <c r="D30" i="37" s="1"/>
  <c r="G30" i="37" s="1"/>
  <c r="F31" i="37" s="1"/>
  <c r="D30" i="35"/>
  <c r="G30" i="35" s="1"/>
  <c r="F31" i="35" s="1"/>
  <c r="E31" i="35" s="1"/>
  <c r="D38" i="34"/>
  <c r="G38" i="34" s="1"/>
  <c r="F39" i="34" s="1"/>
  <c r="E255" i="31"/>
  <c r="D255" i="31" s="1"/>
  <c r="G255" i="31" s="1"/>
  <c r="F256" i="31" s="1"/>
  <c r="H255" i="31"/>
  <c r="I254" i="31"/>
  <c r="G21" i="31"/>
  <c r="F22" i="31" s="1"/>
  <c r="E43" i="29"/>
  <c r="D43" i="29" s="1"/>
  <c r="G43" i="29" s="1"/>
  <c r="F44" i="29" s="1"/>
  <c r="H23" i="29"/>
  <c r="E23" i="29"/>
  <c r="D23" i="29" s="1"/>
  <c r="G23" i="29" s="1"/>
  <c r="F24" i="29" s="1"/>
  <c r="I22" i="29"/>
  <c r="E43" i="28"/>
  <c r="D43" i="28" s="1"/>
  <c r="G43" i="28" s="1"/>
  <c r="F44" i="28" s="1"/>
  <c r="H23" i="28"/>
  <c r="E23" i="28"/>
  <c r="D23" i="28" s="1"/>
  <c r="G23" i="28" s="1"/>
  <c r="F24" i="28" s="1"/>
  <c r="I22" i="28"/>
  <c r="E21" i="26"/>
  <c r="D21" i="26" s="1"/>
  <c r="G21" i="26" s="1"/>
  <c r="F22" i="26" s="1"/>
  <c r="H22" i="26" s="1"/>
  <c r="H24" i="25"/>
  <c r="E24" i="25"/>
  <c r="D24" i="25" s="1"/>
  <c r="G24" i="25" s="1"/>
  <c r="F25" i="25" s="1"/>
  <c r="E42" i="26"/>
  <c r="D42" i="26" s="1"/>
  <c r="G42" i="26" s="1"/>
  <c r="F43" i="26" s="1"/>
  <c r="I23" i="25"/>
  <c r="H22" i="23"/>
  <c r="D22" i="23"/>
  <c r="G22" i="23" s="1"/>
  <c r="F23" i="23" s="1"/>
  <c r="E23" i="23" s="1"/>
  <c r="D42" i="23"/>
  <c r="G42" i="23" s="1"/>
  <c r="F43" i="23" s="1"/>
  <c r="E43" i="23" s="1"/>
  <c r="I21" i="23"/>
  <c r="I20" i="21"/>
  <c r="E21" i="21"/>
  <c r="D21" i="21" s="1"/>
  <c r="G21" i="21" s="1"/>
  <c r="F22" i="21" s="1"/>
  <c r="E22" i="21" s="1"/>
  <c r="D22" i="21" s="1"/>
  <c r="G22" i="21" s="1"/>
  <c r="F23" i="21" s="1"/>
  <c r="H23" i="21" s="1"/>
  <c r="F41" i="19"/>
  <c r="E41" i="19" s="1"/>
  <c r="F21" i="19"/>
  <c r="E21" i="19" s="1"/>
  <c r="E126" i="54" l="1"/>
  <c r="D126" i="54" s="1"/>
  <c r="G126" i="54" s="1"/>
  <c r="F127" i="54" s="1"/>
  <c r="H126" i="54"/>
  <c r="D32" i="40"/>
  <c r="G32" i="40" s="1"/>
  <c r="F33" i="40" s="1"/>
  <c r="E33" i="40" s="1"/>
  <c r="D263" i="40"/>
  <c r="G263" i="40" s="1"/>
  <c r="F264" i="40" s="1"/>
  <c r="E264" i="40" s="1"/>
  <c r="I31" i="40"/>
  <c r="E31" i="38"/>
  <c r="D31" i="38" s="1"/>
  <c r="G31" i="38" s="1"/>
  <c r="F32" i="38" s="1"/>
  <c r="E51" i="38"/>
  <c r="D51" i="38" s="1"/>
  <c r="G51" i="38" s="1"/>
  <c r="F52" i="38" s="1"/>
  <c r="E31" i="37"/>
  <c r="D31" i="37" s="1"/>
  <c r="G31" i="37" s="1"/>
  <c r="F32" i="37" s="1"/>
  <c r="E51" i="37"/>
  <c r="D51" i="37" s="1"/>
  <c r="G51" i="37" s="1"/>
  <c r="F52" i="37" s="1"/>
  <c r="D31" i="35"/>
  <c r="G31" i="35" s="1"/>
  <c r="F32" i="35" s="1"/>
  <c r="E32" i="35" s="1"/>
  <c r="D39" i="34"/>
  <c r="G39" i="34" s="1"/>
  <c r="E256" i="31"/>
  <c r="D256" i="31" s="1"/>
  <c r="G256" i="31" s="1"/>
  <c r="F257" i="31" s="1"/>
  <c r="H256" i="31"/>
  <c r="I255" i="31"/>
  <c r="H22" i="31"/>
  <c r="E22" i="31"/>
  <c r="D22" i="31" s="1"/>
  <c r="G22" i="31" s="1"/>
  <c r="F23" i="31" s="1"/>
  <c r="H24" i="29"/>
  <c r="E24" i="29"/>
  <c r="D24" i="29" s="1"/>
  <c r="G24" i="29" s="1"/>
  <c r="F25" i="29" s="1"/>
  <c r="I23" i="29"/>
  <c r="E44" i="29"/>
  <c r="D44" i="29" s="1"/>
  <c r="G44" i="29" s="1"/>
  <c r="F45" i="29" s="1"/>
  <c r="H24" i="28"/>
  <c r="E24" i="28"/>
  <c r="D24" i="28" s="1"/>
  <c r="G24" i="28" s="1"/>
  <c r="F25" i="28" s="1"/>
  <c r="I23" i="28"/>
  <c r="E44" i="28"/>
  <c r="D44" i="28" s="1"/>
  <c r="G44" i="28" s="1"/>
  <c r="F45" i="28" s="1"/>
  <c r="E22" i="26"/>
  <c r="D22" i="26" s="1"/>
  <c r="G22" i="26" s="1"/>
  <c r="F23" i="26" s="1"/>
  <c r="E23" i="26" s="1"/>
  <c r="D23" i="26" s="1"/>
  <c r="G23" i="26" s="1"/>
  <c r="F24" i="26" s="1"/>
  <c r="I21" i="26"/>
  <c r="E43" i="26"/>
  <c r="D43" i="26" s="1"/>
  <c r="G43" i="26" s="1"/>
  <c r="F44" i="26" s="1"/>
  <c r="H25" i="25"/>
  <c r="E25" i="25"/>
  <c r="D25" i="25" s="1"/>
  <c r="G25" i="25" s="1"/>
  <c r="F26" i="25" s="1"/>
  <c r="I24" i="25"/>
  <c r="I22" i="23"/>
  <c r="D43" i="23"/>
  <c r="G43" i="23" s="1"/>
  <c r="F44" i="23" s="1"/>
  <c r="E44" i="23" s="1"/>
  <c r="H23" i="23"/>
  <c r="D23" i="23"/>
  <c r="G23" i="23" s="1"/>
  <c r="F24" i="23" s="1"/>
  <c r="E24" i="23" s="1"/>
  <c r="I21" i="21"/>
  <c r="E23" i="21"/>
  <c r="D23" i="21" s="1"/>
  <c r="G23" i="21" s="1"/>
  <c r="F24" i="21" s="1"/>
  <c r="E24" i="21" s="1"/>
  <c r="D24" i="21" s="1"/>
  <c r="G24" i="21" s="1"/>
  <c r="F25" i="21" s="1"/>
  <c r="H22" i="21"/>
  <c r="I22" i="21" s="1"/>
  <c r="H21" i="19"/>
  <c r="D21" i="19"/>
  <c r="G21" i="19" s="1"/>
  <c r="F22" i="19" s="1"/>
  <c r="E22" i="19" s="1"/>
  <c r="D41" i="19"/>
  <c r="G41" i="19" s="1"/>
  <c r="F42" i="19" s="1"/>
  <c r="E42" i="19" s="1"/>
  <c r="I126" i="54" l="1"/>
  <c r="E127" i="54"/>
  <c r="D127" i="54" s="1"/>
  <c r="G127" i="54" s="1"/>
  <c r="F128" i="54" s="1"/>
  <c r="H127" i="54"/>
  <c r="I127" i="54" s="1"/>
  <c r="I32" i="40"/>
  <c r="D264" i="40"/>
  <c r="G264" i="40" s="1"/>
  <c r="F265" i="40" s="1"/>
  <c r="E265" i="40" s="1"/>
  <c r="D33" i="40"/>
  <c r="G33" i="40" s="1"/>
  <c r="F34" i="40" s="1"/>
  <c r="E34" i="40" s="1"/>
  <c r="E52" i="38"/>
  <c r="D52" i="38" s="1"/>
  <c r="G52" i="38" s="1"/>
  <c r="F53" i="38" s="1"/>
  <c r="E32" i="38"/>
  <c r="D32" i="38" s="1"/>
  <c r="G32" i="38" s="1"/>
  <c r="F33" i="38" s="1"/>
  <c r="E52" i="37"/>
  <c r="D52" i="37" s="1"/>
  <c r="G52" i="37" s="1"/>
  <c r="F53" i="37" s="1"/>
  <c r="E32" i="37"/>
  <c r="D32" i="37" s="1"/>
  <c r="G32" i="37" s="1"/>
  <c r="F33" i="37" s="1"/>
  <c r="D32" i="35"/>
  <c r="G32" i="35" s="1"/>
  <c r="F33" i="35" s="1"/>
  <c r="E33" i="35" s="1"/>
  <c r="E257" i="31"/>
  <c r="D257" i="31" s="1"/>
  <c r="G257" i="31" s="1"/>
  <c r="F258" i="31" s="1"/>
  <c r="H257" i="31"/>
  <c r="I256" i="31"/>
  <c r="E23" i="31"/>
  <c r="D23" i="31" s="1"/>
  <c r="G23" i="31" s="1"/>
  <c r="F24" i="31" s="1"/>
  <c r="H23" i="31"/>
  <c r="I23" i="31" s="1"/>
  <c r="I22" i="31"/>
  <c r="E45" i="29"/>
  <c r="D45" i="29" s="1"/>
  <c r="G45" i="29" s="1"/>
  <c r="F46" i="29" s="1"/>
  <c r="H25" i="29"/>
  <c r="E25" i="29"/>
  <c r="D25" i="29" s="1"/>
  <c r="G25" i="29" s="1"/>
  <c r="F26" i="29" s="1"/>
  <c r="I24" i="29"/>
  <c r="E45" i="28"/>
  <c r="D45" i="28" s="1"/>
  <c r="G45" i="28" s="1"/>
  <c r="F46" i="28" s="1"/>
  <c r="H25" i="28"/>
  <c r="E25" i="28"/>
  <c r="D25" i="28" s="1"/>
  <c r="G25" i="28" s="1"/>
  <c r="F26" i="28" s="1"/>
  <c r="I24" i="28"/>
  <c r="I22" i="26"/>
  <c r="H23" i="26"/>
  <c r="I23" i="26" s="1"/>
  <c r="H26" i="25"/>
  <c r="E26" i="25"/>
  <c r="D26" i="25" s="1"/>
  <c r="G26" i="25" s="1"/>
  <c r="F27" i="25" s="1"/>
  <c r="H24" i="26"/>
  <c r="E24" i="26"/>
  <c r="D24" i="26" s="1"/>
  <c r="G24" i="26" s="1"/>
  <c r="F25" i="26" s="1"/>
  <c r="E44" i="26"/>
  <c r="D44" i="26" s="1"/>
  <c r="G44" i="26" s="1"/>
  <c r="F45" i="26" s="1"/>
  <c r="I25" i="25"/>
  <c r="H24" i="23"/>
  <c r="D24" i="23"/>
  <c r="G24" i="23" s="1"/>
  <c r="F25" i="23" s="1"/>
  <c r="E25" i="23" s="1"/>
  <c r="I23" i="23"/>
  <c r="D44" i="23"/>
  <c r="G44" i="23" s="1"/>
  <c r="F45" i="23" s="1"/>
  <c r="E45" i="23" s="1"/>
  <c r="I23" i="21"/>
  <c r="H24" i="21"/>
  <c r="I24" i="21" s="1"/>
  <c r="E25" i="21"/>
  <c r="D25" i="21" s="1"/>
  <c r="G25" i="21" s="1"/>
  <c r="F26" i="21" s="1"/>
  <c r="H25" i="21"/>
  <c r="D42" i="19"/>
  <c r="G42" i="19" s="1"/>
  <c r="F43" i="19" s="1"/>
  <c r="E43" i="19" s="1"/>
  <c r="H22" i="19"/>
  <c r="D22" i="19"/>
  <c r="G22" i="19" s="1"/>
  <c r="F23" i="19" s="1"/>
  <c r="E23" i="19" s="1"/>
  <c r="I21" i="19"/>
  <c r="E128" i="54" l="1"/>
  <c r="D128" i="54" s="1"/>
  <c r="G128" i="54" s="1"/>
  <c r="F129" i="54" s="1"/>
  <c r="H128" i="54"/>
  <c r="I128" i="54" s="1"/>
  <c r="D265" i="40"/>
  <c r="G265" i="40" s="1"/>
  <c r="F266" i="40" s="1"/>
  <c r="E266" i="40" s="1"/>
  <c r="D34" i="40"/>
  <c r="G34" i="40" s="1"/>
  <c r="F35" i="40" s="1"/>
  <c r="E35" i="40" s="1"/>
  <c r="I33" i="40"/>
  <c r="E53" i="38"/>
  <c r="D53" i="38" s="1"/>
  <c r="G53" i="38" s="1"/>
  <c r="F54" i="38" s="1"/>
  <c r="E33" i="38"/>
  <c r="D33" i="38" s="1"/>
  <c r="G33" i="38" s="1"/>
  <c r="F34" i="38" s="1"/>
  <c r="E33" i="37"/>
  <c r="D33" i="37" s="1"/>
  <c r="G33" i="37" s="1"/>
  <c r="F34" i="37" s="1"/>
  <c r="E53" i="37"/>
  <c r="D53" i="37" s="1"/>
  <c r="G53" i="37" s="1"/>
  <c r="F54" i="37" s="1"/>
  <c r="D33" i="35"/>
  <c r="G33" i="35" s="1"/>
  <c r="F34" i="35" s="1"/>
  <c r="E34" i="35" s="1"/>
  <c r="E258" i="31"/>
  <c r="D258" i="31" s="1"/>
  <c r="G258" i="31" s="1"/>
  <c r="F259" i="31" s="1"/>
  <c r="H258" i="31"/>
  <c r="I257" i="31"/>
  <c r="H24" i="31"/>
  <c r="E24" i="31"/>
  <c r="D24" i="31" s="1"/>
  <c r="G24" i="31" s="1"/>
  <c r="F25" i="31" s="1"/>
  <c r="H26" i="29"/>
  <c r="E26" i="29"/>
  <c r="D26" i="29" s="1"/>
  <c r="G26" i="29" s="1"/>
  <c r="F27" i="29" s="1"/>
  <c r="E46" i="29"/>
  <c r="D46" i="29" s="1"/>
  <c r="G46" i="29" s="1"/>
  <c r="F47" i="29" s="1"/>
  <c r="I25" i="29"/>
  <c r="H26" i="28"/>
  <c r="E26" i="28"/>
  <c r="D26" i="28" s="1"/>
  <c r="G26" i="28" s="1"/>
  <c r="F27" i="28" s="1"/>
  <c r="E46" i="28"/>
  <c r="D46" i="28" s="1"/>
  <c r="G46" i="28" s="1"/>
  <c r="F47" i="28" s="1"/>
  <c r="I25" i="28"/>
  <c r="H25" i="26"/>
  <c r="E25" i="26"/>
  <c r="D25" i="26" s="1"/>
  <c r="G25" i="26" s="1"/>
  <c r="F26" i="26" s="1"/>
  <c r="H27" i="25"/>
  <c r="E27" i="25"/>
  <c r="D27" i="25" s="1"/>
  <c r="G27" i="25" s="1"/>
  <c r="F28" i="25" s="1"/>
  <c r="E45" i="26"/>
  <c r="D45" i="26" s="1"/>
  <c r="G45" i="26" s="1"/>
  <c r="F46" i="26" s="1"/>
  <c r="I26" i="25"/>
  <c r="I24" i="26"/>
  <c r="D45" i="23"/>
  <c r="G45" i="23" s="1"/>
  <c r="F46" i="23" s="1"/>
  <c r="E46" i="23" s="1"/>
  <c r="H25" i="23"/>
  <c r="D25" i="23"/>
  <c r="G25" i="23" s="1"/>
  <c r="F26" i="23" s="1"/>
  <c r="E26" i="23" s="1"/>
  <c r="I24" i="23"/>
  <c r="E26" i="21"/>
  <c r="D26" i="21" s="1"/>
  <c r="G26" i="21" s="1"/>
  <c r="F27" i="21" s="1"/>
  <c r="H26" i="21"/>
  <c r="I25" i="21"/>
  <c r="H23" i="19"/>
  <c r="D23" i="19"/>
  <c r="G23" i="19" s="1"/>
  <c r="F24" i="19" s="1"/>
  <c r="E24" i="19" s="1"/>
  <c r="D43" i="19"/>
  <c r="G43" i="19" s="1"/>
  <c r="F44" i="19" s="1"/>
  <c r="E44" i="19" s="1"/>
  <c r="I22" i="19"/>
  <c r="E129" i="54" l="1"/>
  <c r="D129" i="54" s="1"/>
  <c r="G129" i="54" s="1"/>
  <c r="F130" i="54" s="1"/>
  <c r="H129" i="54"/>
  <c r="D35" i="40"/>
  <c r="G35" i="40" s="1"/>
  <c r="F36" i="40" s="1"/>
  <c r="E36" i="40" s="1"/>
  <c r="D266" i="40"/>
  <c r="G266" i="40" s="1"/>
  <c r="F267" i="40" s="1"/>
  <c r="E267" i="40" s="1"/>
  <c r="I34" i="40"/>
  <c r="E34" i="38"/>
  <c r="D34" i="38" s="1"/>
  <c r="G34" i="38" s="1"/>
  <c r="F35" i="38" s="1"/>
  <c r="E54" i="38"/>
  <c r="D54" i="38" s="1"/>
  <c r="G54" i="38" s="1"/>
  <c r="F55" i="38" s="1"/>
  <c r="E54" i="37"/>
  <c r="D54" i="37" s="1"/>
  <c r="G54" i="37" s="1"/>
  <c r="F55" i="37" s="1"/>
  <c r="E34" i="37"/>
  <c r="D34" i="37" s="1"/>
  <c r="G34" i="37" s="1"/>
  <c r="F35" i="37" s="1"/>
  <c r="D34" i="35"/>
  <c r="G34" i="35" s="1"/>
  <c r="F35" i="35" s="1"/>
  <c r="E35" i="35" s="1"/>
  <c r="I258" i="31"/>
  <c r="E259" i="31"/>
  <c r="D259" i="31" s="1"/>
  <c r="G259" i="31" s="1"/>
  <c r="F260" i="31" s="1"/>
  <c r="H259" i="31"/>
  <c r="E25" i="31"/>
  <c r="D25" i="31" s="1"/>
  <c r="G25" i="31" s="1"/>
  <c r="F26" i="31" s="1"/>
  <c r="H25" i="31"/>
  <c r="I25" i="31" s="1"/>
  <c r="I24" i="31"/>
  <c r="E47" i="29"/>
  <c r="D47" i="29" s="1"/>
  <c r="G47" i="29" s="1"/>
  <c r="F48" i="29" s="1"/>
  <c r="H27" i="29"/>
  <c r="E27" i="29"/>
  <c r="D27" i="29" s="1"/>
  <c r="G27" i="29" s="1"/>
  <c r="F28" i="29" s="1"/>
  <c r="I26" i="29"/>
  <c r="E47" i="28"/>
  <c r="D47" i="28" s="1"/>
  <c r="G47" i="28" s="1"/>
  <c r="F48" i="28" s="1"/>
  <c r="H27" i="28"/>
  <c r="E27" i="28"/>
  <c r="D27" i="28" s="1"/>
  <c r="G27" i="28" s="1"/>
  <c r="F28" i="28" s="1"/>
  <c r="I26" i="28"/>
  <c r="E46" i="26"/>
  <c r="D46" i="26" s="1"/>
  <c r="G46" i="26" s="1"/>
  <c r="F47" i="26" s="1"/>
  <c r="H28" i="25"/>
  <c r="E28" i="25"/>
  <c r="D28" i="25" s="1"/>
  <c r="G28" i="25" s="1"/>
  <c r="F29" i="25" s="1"/>
  <c r="H26" i="26"/>
  <c r="E26" i="26"/>
  <c r="D26" i="26" s="1"/>
  <c r="G26" i="26" s="1"/>
  <c r="F27" i="26" s="1"/>
  <c r="I27" i="25"/>
  <c r="I25" i="26"/>
  <c r="H26" i="23"/>
  <c r="D26" i="23"/>
  <c r="G26" i="23" s="1"/>
  <c r="F27" i="23" s="1"/>
  <c r="E27" i="23" s="1"/>
  <c r="D46" i="23"/>
  <c r="G46" i="23" s="1"/>
  <c r="F47" i="23" s="1"/>
  <c r="E47" i="23" s="1"/>
  <c r="I25" i="23"/>
  <c r="I26" i="21"/>
  <c r="E27" i="21"/>
  <c r="D27" i="21" s="1"/>
  <c r="G27" i="21" s="1"/>
  <c r="F28" i="21" s="1"/>
  <c r="H27" i="21"/>
  <c r="D44" i="19"/>
  <c r="G44" i="19" s="1"/>
  <c r="F45" i="19" s="1"/>
  <c r="E45" i="19" s="1"/>
  <c r="H24" i="19"/>
  <c r="D24" i="19"/>
  <c r="G24" i="19" s="1"/>
  <c r="F25" i="19" s="1"/>
  <c r="E25" i="19" s="1"/>
  <c r="I23" i="19"/>
  <c r="I129" i="54" l="1"/>
  <c r="H130" i="54"/>
  <c r="E130" i="54"/>
  <c r="D130" i="54" s="1"/>
  <c r="G130" i="54" s="1"/>
  <c r="F131" i="54" s="1"/>
  <c r="I259" i="31"/>
  <c r="I35" i="40"/>
  <c r="D36" i="40"/>
  <c r="G36" i="40" s="1"/>
  <c r="F37" i="40" s="1"/>
  <c r="E37" i="40" s="1"/>
  <c r="D267" i="40"/>
  <c r="G267" i="40" s="1"/>
  <c r="F268" i="40" s="1"/>
  <c r="E268" i="40" s="1"/>
  <c r="E55" i="38"/>
  <c r="D55" i="38" s="1"/>
  <c r="G55" i="38" s="1"/>
  <c r="F56" i="38" s="1"/>
  <c r="E35" i="38"/>
  <c r="D35" i="38" s="1"/>
  <c r="G35" i="38" s="1"/>
  <c r="F36" i="38" s="1"/>
  <c r="E35" i="37"/>
  <c r="D35" i="37" s="1"/>
  <c r="G35" i="37" s="1"/>
  <c r="F36" i="37" s="1"/>
  <c r="E55" i="37"/>
  <c r="D55" i="37" s="1"/>
  <c r="G55" i="37" s="1"/>
  <c r="F56" i="37" s="1"/>
  <c r="D35" i="35"/>
  <c r="G35" i="35" s="1"/>
  <c r="F36" i="35" s="1"/>
  <c r="E36" i="35" s="1"/>
  <c r="E260" i="31"/>
  <c r="D260" i="31" s="1"/>
  <c r="G260" i="31" s="1"/>
  <c r="F261" i="31" s="1"/>
  <c r="H260" i="31"/>
  <c r="H26" i="31"/>
  <c r="E26" i="31"/>
  <c r="D26" i="31" s="1"/>
  <c r="G26" i="31" s="1"/>
  <c r="F27" i="31" s="1"/>
  <c r="H28" i="29"/>
  <c r="E28" i="29"/>
  <c r="D28" i="29" s="1"/>
  <c r="G28" i="29" s="1"/>
  <c r="F29" i="29" s="1"/>
  <c r="I27" i="29"/>
  <c r="E48" i="29"/>
  <c r="D48" i="29" s="1"/>
  <c r="G48" i="29" s="1"/>
  <c r="F49" i="29" s="1"/>
  <c r="H28" i="28"/>
  <c r="E28" i="28"/>
  <c r="D28" i="28" s="1"/>
  <c r="G28" i="28" s="1"/>
  <c r="F29" i="28" s="1"/>
  <c r="I27" i="28"/>
  <c r="E48" i="28"/>
  <c r="D48" i="28" s="1"/>
  <c r="G48" i="28" s="1"/>
  <c r="F49" i="28" s="1"/>
  <c r="I26" i="26"/>
  <c r="H27" i="26"/>
  <c r="E27" i="26"/>
  <c r="D27" i="26" s="1"/>
  <c r="G27" i="26" s="1"/>
  <c r="F28" i="26" s="1"/>
  <c r="H29" i="25"/>
  <c r="E29" i="25"/>
  <c r="D29" i="25" s="1"/>
  <c r="G29" i="25" s="1"/>
  <c r="F30" i="25" s="1"/>
  <c r="E47" i="26"/>
  <c r="D47" i="26" s="1"/>
  <c r="G47" i="26" s="1"/>
  <c r="F48" i="26" s="1"/>
  <c r="I28" i="25"/>
  <c r="D47" i="23"/>
  <c r="G47" i="23" s="1"/>
  <c r="F48" i="23" s="1"/>
  <c r="E48" i="23" s="1"/>
  <c r="H27" i="23"/>
  <c r="D27" i="23"/>
  <c r="G27" i="23" s="1"/>
  <c r="F28" i="23" s="1"/>
  <c r="E28" i="23" s="1"/>
  <c r="I26" i="23"/>
  <c r="H28" i="21"/>
  <c r="E28" i="21"/>
  <c r="D28" i="21" s="1"/>
  <c r="G28" i="21" s="1"/>
  <c r="F29" i="21" s="1"/>
  <c r="I27" i="21"/>
  <c r="H25" i="19"/>
  <c r="D25" i="19"/>
  <c r="G25" i="19" s="1"/>
  <c r="F26" i="19" s="1"/>
  <c r="E26" i="19" s="1"/>
  <c r="D45" i="19"/>
  <c r="G45" i="19" s="1"/>
  <c r="F46" i="19" s="1"/>
  <c r="E46" i="19" s="1"/>
  <c r="I24" i="19"/>
  <c r="E131" i="54" l="1"/>
  <c r="D131" i="54" s="1"/>
  <c r="G131" i="54" s="1"/>
  <c r="F132" i="54" s="1"/>
  <c r="H131" i="54"/>
  <c r="I130" i="54"/>
  <c r="I36" i="40"/>
  <c r="D268" i="40"/>
  <c r="G268" i="40" s="1"/>
  <c r="F269" i="40" s="1"/>
  <c r="E269" i="40" s="1"/>
  <c r="D37" i="40"/>
  <c r="G37" i="40" s="1"/>
  <c r="F38" i="40" s="1"/>
  <c r="E38" i="40" s="1"/>
  <c r="E36" i="38"/>
  <c r="D36" i="38" s="1"/>
  <c r="G36" i="38" s="1"/>
  <c r="F37" i="38" s="1"/>
  <c r="E56" i="38"/>
  <c r="D56" i="38" s="1"/>
  <c r="G56" i="38" s="1"/>
  <c r="F57" i="38" s="1"/>
  <c r="E56" i="37"/>
  <c r="D56" i="37" s="1"/>
  <c r="G56" i="37" s="1"/>
  <c r="F57" i="37" s="1"/>
  <c r="E36" i="37"/>
  <c r="D36" i="37" s="1"/>
  <c r="G36" i="37" s="1"/>
  <c r="F37" i="37" s="1"/>
  <c r="D36" i="35"/>
  <c r="G36" i="35" s="1"/>
  <c r="F37" i="35" s="1"/>
  <c r="E37" i="35" s="1"/>
  <c r="E261" i="31"/>
  <c r="D261" i="31" s="1"/>
  <c r="G261" i="31" s="1"/>
  <c r="F262" i="31" s="1"/>
  <c r="H261" i="31"/>
  <c r="I26" i="31"/>
  <c r="I260" i="31"/>
  <c r="E27" i="31"/>
  <c r="D27" i="31" s="1"/>
  <c r="G27" i="31" s="1"/>
  <c r="F28" i="31" s="1"/>
  <c r="H27" i="31"/>
  <c r="E49" i="29"/>
  <c r="D49" i="29" s="1"/>
  <c r="G49" i="29" s="1"/>
  <c r="F50" i="29" s="1"/>
  <c r="H29" i="29"/>
  <c r="E29" i="29"/>
  <c r="D29" i="29" s="1"/>
  <c r="G29" i="29" s="1"/>
  <c r="F30" i="29" s="1"/>
  <c r="I28" i="29"/>
  <c r="E49" i="28"/>
  <c r="D49" i="28" s="1"/>
  <c r="G49" i="28" s="1"/>
  <c r="F50" i="28" s="1"/>
  <c r="H29" i="28"/>
  <c r="E29" i="28"/>
  <c r="D29" i="28" s="1"/>
  <c r="G29" i="28" s="1"/>
  <c r="F30" i="28" s="1"/>
  <c r="I28" i="28"/>
  <c r="E48" i="26"/>
  <c r="D48" i="26" s="1"/>
  <c r="G48" i="26" s="1"/>
  <c r="F49" i="26" s="1"/>
  <c r="H30" i="25"/>
  <c r="E30" i="25"/>
  <c r="D30" i="25" s="1"/>
  <c r="G30" i="25" s="1"/>
  <c r="F31" i="25" s="1"/>
  <c r="H28" i="26"/>
  <c r="E28" i="26"/>
  <c r="D28" i="26" s="1"/>
  <c r="G28" i="26" s="1"/>
  <c r="F29" i="26" s="1"/>
  <c r="I29" i="25"/>
  <c r="I27" i="26"/>
  <c r="H28" i="23"/>
  <c r="D28" i="23"/>
  <c r="G28" i="23" s="1"/>
  <c r="F29" i="23" s="1"/>
  <c r="E29" i="23" s="1"/>
  <c r="I27" i="23"/>
  <c r="D48" i="23"/>
  <c r="G48" i="23" s="1"/>
  <c r="F49" i="23" s="1"/>
  <c r="E49" i="23" s="1"/>
  <c r="E29" i="21"/>
  <c r="D29" i="21" s="1"/>
  <c r="G29" i="21" s="1"/>
  <c r="F30" i="21" s="1"/>
  <c r="H29" i="21"/>
  <c r="I28" i="21"/>
  <c r="D46" i="19"/>
  <c r="G46" i="19" s="1"/>
  <c r="F47" i="19" s="1"/>
  <c r="E47" i="19" s="1"/>
  <c r="H26" i="19"/>
  <c r="D26" i="19"/>
  <c r="G26" i="19" s="1"/>
  <c r="F27" i="19" s="1"/>
  <c r="E27" i="19" s="1"/>
  <c r="I25" i="19"/>
  <c r="I131" i="54" l="1"/>
  <c r="E132" i="54"/>
  <c r="D132" i="54" s="1"/>
  <c r="G132" i="54" s="1"/>
  <c r="F133" i="54" s="1"/>
  <c r="H132" i="54"/>
  <c r="D38" i="40"/>
  <c r="G38" i="40" s="1"/>
  <c r="F39" i="40" s="1"/>
  <c r="E39" i="40" s="1"/>
  <c r="I37" i="40"/>
  <c r="D269" i="40"/>
  <c r="G269" i="40" s="1"/>
  <c r="F270" i="40" s="1"/>
  <c r="E270" i="40" s="1"/>
  <c r="E57" i="38"/>
  <c r="D57" i="38" s="1"/>
  <c r="G57" i="38" s="1"/>
  <c r="F58" i="38" s="1"/>
  <c r="E37" i="38"/>
  <c r="D37" i="38" s="1"/>
  <c r="G37" i="38" s="1"/>
  <c r="F38" i="38" s="1"/>
  <c r="E57" i="37"/>
  <c r="D57" i="37" s="1"/>
  <c r="G57" i="37" s="1"/>
  <c r="F58" i="37" s="1"/>
  <c r="E37" i="37"/>
  <c r="D37" i="37" s="1"/>
  <c r="G37" i="37" s="1"/>
  <c r="F38" i="37" s="1"/>
  <c r="D37" i="35"/>
  <c r="G37" i="35" s="1"/>
  <c r="F38" i="35" s="1"/>
  <c r="E38" i="35" s="1"/>
  <c r="I27" i="31"/>
  <c r="I261" i="31"/>
  <c r="E262" i="31"/>
  <c r="D262" i="31" s="1"/>
  <c r="G262" i="31" s="1"/>
  <c r="F263" i="31" s="1"/>
  <c r="H262" i="31"/>
  <c r="H28" i="31"/>
  <c r="E28" i="31"/>
  <c r="D28" i="31" s="1"/>
  <c r="G28" i="31" s="1"/>
  <c r="F29" i="31" s="1"/>
  <c r="H30" i="29"/>
  <c r="E30" i="29"/>
  <c r="D30" i="29" s="1"/>
  <c r="G30" i="29" s="1"/>
  <c r="F31" i="29" s="1"/>
  <c r="E50" i="29"/>
  <c r="D50" i="29" s="1"/>
  <c r="G50" i="29" s="1"/>
  <c r="F51" i="29" s="1"/>
  <c r="I29" i="29"/>
  <c r="H30" i="28"/>
  <c r="E30" i="28"/>
  <c r="D30" i="28" s="1"/>
  <c r="G30" i="28" s="1"/>
  <c r="F31" i="28" s="1"/>
  <c r="E50" i="28"/>
  <c r="D50" i="28" s="1"/>
  <c r="G50" i="28" s="1"/>
  <c r="F51" i="28" s="1"/>
  <c r="I29" i="28"/>
  <c r="I28" i="26"/>
  <c r="H29" i="26"/>
  <c r="E29" i="26"/>
  <c r="D29" i="26" s="1"/>
  <c r="G29" i="26" s="1"/>
  <c r="F30" i="26" s="1"/>
  <c r="H31" i="25"/>
  <c r="E31" i="25"/>
  <c r="D31" i="25" s="1"/>
  <c r="G31" i="25" s="1"/>
  <c r="F32" i="25" s="1"/>
  <c r="E49" i="26"/>
  <c r="D49" i="26" s="1"/>
  <c r="G49" i="26" s="1"/>
  <c r="F50" i="26" s="1"/>
  <c r="I30" i="25"/>
  <c r="D49" i="23"/>
  <c r="G49" i="23" s="1"/>
  <c r="F50" i="23" s="1"/>
  <c r="E50" i="23" s="1"/>
  <c r="H29" i="23"/>
  <c r="D29" i="23"/>
  <c r="G29" i="23" s="1"/>
  <c r="F30" i="23" s="1"/>
  <c r="E30" i="23" s="1"/>
  <c r="I28" i="23"/>
  <c r="I29" i="21"/>
  <c r="H30" i="21"/>
  <c r="E30" i="21"/>
  <c r="D30" i="21" s="1"/>
  <c r="G30" i="21" s="1"/>
  <c r="F31" i="21" s="1"/>
  <c r="H27" i="19"/>
  <c r="D27" i="19"/>
  <c r="G27" i="19" s="1"/>
  <c r="F28" i="19" s="1"/>
  <c r="E28" i="19" s="1"/>
  <c r="D47" i="19"/>
  <c r="G47" i="19" s="1"/>
  <c r="F48" i="19" s="1"/>
  <c r="E48" i="19" s="1"/>
  <c r="I26" i="19"/>
  <c r="I132" i="54" l="1"/>
  <c r="E133" i="54"/>
  <c r="D133" i="54" s="1"/>
  <c r="G133" i="54" s="1"/>
  <c r="F134" i="54" s="1"/>
  <c r="H133" i="54"/>
  <c r="I262" i="31"/>
  <c r="I38" i="40"/>
  <c r="D270" i="40"/>
  <c r="G270" i="40" s="1"/>
  <c r="F271" i="40" s="1"/>
  <c r="E271" i="40" s="1"/>
  <c r="D39" i="40"/>
  <c r="G39" i="40" s="1"/>
  <c r="F40" i="40" s="1"/>
  <c r="E40" i="40" s="1"/>
  <c r="E38" i="38"/>
  <c r="D38" i="38" s="1"/>
  <c r="G38" i="38" s="1"/>
  <c r="F39" i="38" s="1"/>
  <c r="G39" i="38" s="1"/>
  <c r="E58" i="38"/>
  <c r="D58" i="38" s="1"/>
  <c r="G58" i="38" s="1"/>
  <c r="F59" i="38" s="1"/>
  <c r="E58" i="37"/>
  <c r="D58" i="37" s="1"/>
  <c r="G58" i="37" s="1"/>
  <c r="F59" i="37" s="1"/>
  <c r="G59" i="37" s="1"/>
  <c r="E38" i="37"/>
  <c r="D38" i="37" s="1"/>
  <c r="G38" i="37" s="1"/>
  <c r="F39" i="37" s="1"/>
  <c r="G39" i="37" s="1"/>
  <c r="D38" i="35"/>
  <c r="G38" i="35" s="1"/>
  <c r="F39" i="35" s="1"/>
  <c r="E263" i="31"/>
  <c r="D263" i="31" s="1"/>
  <c r="G263" i="31" s="1"/>
  <c r="F264" i="31" s="1"/>
  <c r="H263" i="31"/>
  <c r="E29" i="31"/>
  <c r="D29" i="31" s="1"/>
  <c r="G29" i="31" s="1"/>
  <c r="F30" i="31" s="1"/>
  <c r="H29" i="31"/>
  <c r="I29" i="31" s="1"/>
  <c r="I28" i="31"/>
  <c r="E51" i="29"/>
  <c r="D51" i="29" s="1"/>
  <c r="G51" i="29" s="1"/>
  <c r="F52" i="29" s="1"/>
  <c r="H31" i="29"/>
  <c r="E31" i="29"/>
  <c r="D31" i="29" s="1"/>
  <c r="G31" i="29" s="1"/>
  <c r="F32" i="29" s="1"/>
  <c r="I30" i="29"/>
  <c r="E51" i="28"/>
  <c r="D51" i="28" s="1"/>
  <c r="G51" i="28" s="1"/>
  <c r="F52" i="28" s="1"/>
  <c r="H31" i="28"/>
  <c r="E31" i="28"/>
  <c r="D31" i="28" s="1"/>
  <c r="G31" i="28" s="1"/>
  <c r="F32" i="28" s="1"/>
  <c r="I30" i="28"/>
  <c r="E50" i="26"/>
  <c r="D50" i="26" s="1"/>
  <c r="G50" i="26" s="1"/>
  <c r="F51" i="26" s="1"/>
  <c r="H32" i="25"/>
  <c r="E32" i="25"/>
  <c r="D32" i="25" s="1"/>
  <c r="G32" i="25" s="1"/>
  <c r="F33" i="25" s="1"/>
  <c r="H30" i="26"/>
  <c r="E30" i="26"/>
  <c r="D30" i="26" s="1"/>
  <c r="G30" i="26" s="1"/>
  <c r="F31" i="26" s="1"/>
  <c r="I31" i="25"/>
  <c r="I29" i="26"/>
  <c r="H30" i="23"/>
  <c r="D30" i="23"/>
  <c r="G30" i="23" s="1"/>
  <c r="F31" i="23" s="1"/>
  <c r="E31" i="23" s="1"/>
  <c r="D50" i="23"/>
  <c r="G50" i="23" s="1"/>
  <c r="F51" i="23" s="1"/>
  <c r="E51" i="23" s="1"/>
  <c r="I29" i="23"/>
  <c r="E31" i="21"/>
  <c r="D31" i="21" s="1"/>
  <c r="G31" i="21" s="1"/>
  <c r="F32" i="21" s="1"/>
  <c r="H31" i="21"/>
  <c r="I30" i="21"/>
  <c r="D48" i="19"/>
  <c r="G48" i="19" s="1"/>
  <c r="F49" i="19" s="1"/>
  <c r="E49" i="19" s="1"/>
  <c r="H28" i="19"/>
  <c r="D28" i="19"/>
  <c r="G28" i="19" s="1"/>
  <c r="F29" i="19" s="1"/>
  <c r="E29" i="19" s="1"/>
  <c r="I27" i="19"/>
  <c r="I133" i="54" l="1"/>
  <c r="E134" i="54"/>
  <c r="D134" i="54" s="1"/>
  <c r="G134" i="54" s="1"/>
  <c r="F135" i="54" s="1"/>
  <c r="H134" i="54"/>
  <c r="I134" i="54" s="1"/>
  <c r="I39" i="40"/>
  <c r="D40" i="40"/>
  <c r="G40" i="40" s="1"/>
  <c r="F41" i="40" s="1"/>
  <c r="E41" i="40" s="1"/>
  <c r="D271" i="40"/>
  <c r="G271" i="40" s="1"/>
  <c r="F272" i="40" s="1"/>
  <c r="E272" i="40" s="1"/>
  <c r="D59" i="38"/>
  <c r="G59" i="38" s="1"/>
  <c r="D39" i="35"/>
  <c r="G39" i="35" s="1"/>
  <c r="E264" i="31"/>
  <c r="D264" i="31" s="1"/>
  <c r="G264" i="31" s="1"/>
  <c r="F265" i="31" s="1"/>
  <c r="H264" i="31"/>
  <c r="I263" i="31"/>
  <c r="H30" i="31"/>
  <c r="E30" i="31"/>
  <c r="D30" i="31" s="1"/>
  <c r="G30" i="31" s="1"/>
  <c r="F31" i="31" s="1"/>
  <c r="H32" i="29"/>
  <c r="E32" i="29"/>
  <c r="D32" i="29" s="1"/>
  <c r="G32" i="29" s="1"/>
  <c r="F33" i="29" s="1"/>
  <c r="E52" i="29"/>
  <c r="D52" i="29" s="1"/>
  <c r="G52" i="29" s="1"/>
  <c r="F53" i="29" s="1"/>
  <c r="I31" i="29"/>
  <c r="H32" i="28"/>
  <c r="E32" i="28"/>
  <c r="D32" i="28" s="1"/>
  <c r="G32" i="28" s="1"/>
  <c r="F33" i="28" s="1"/>
  <c r="E52" i="28"/>
  <c r="D52" i="28" s="1"/>
  <c r="G52" i="28" s="1"/>
  <c r="F53" i="28" s="1"/>
  <c r="I31" i="28"/>
  <c r="I30" i="26"/>
  <c r="H31" i="26"/>
  <c r="E31" i="26"/>
  <c r="D31" i="26" s="1"/>
  <c r="G31" i="26" s="1"/>
  <c r="F32" i="26" s="1"/>
  <c r="H33" i="25"/>
  <c r="E33" i="25"/>
  <c r="D33" i="25" s="1"/>
  <c r="G33" i="25" s="1"/>
  <c r="F34" i="25" s="1"/>
  <c r="E51" i="26"/>
  <c r="D51" i="26" s="1"/>
  <c r="G51" i="26" s="1"/>
  <c r="F52" i="26" s="1"/>
  <c r="I32" i="25"/>
  <c r="D51" i="23"/>
  <c r="G51" i="23" s="1"/>
  <c r="F52" i="23" s="1"/>
  <c r="E52" i="23" s="1"/>
  <c r="H31" i="23"/>
  <c r="D31" i="23"/>
  <c r="G31" i="23" s="1"/>
  <c r="F32" i="23" s="1"/>
  <c r="E32" i="23" s="1"/>
  <c r="I30" i="23"/>
  <c r="E32" i="21"/>
  <c r="D32" i="21" s="1"/>
  <c r="G32" i="21" s="1"/>
  <c r="F33" i="21" s="1"/>
  <c r="H32" i="21"/>
  <c r="I31" i="21"/>
  <c r="H29" i="19"/>
  <c r="D29" i="19"/>
  <c r="G29" i="19" s="1"/>
  <c r="F30" i="19" s="1"/>
  <c r="E30" i="19" s="1"/>
  <c r="D49" i="19"/>
  <c r="G49" i="19" s="1"/>
  <c r="F50" i="19" s="1"/>
  <c r="E50" i="19" s="1"/>
  <c r="I28" i="19"/>
  <c r="E135" i="54" l="1"/>
  <c r="D135" i="54" s="1"/>
  <c r="G135" i="54" s="1"/>
  <c r="F136" i="54" s="1"/>
  <c r="H135" i="54"/>
  <c r="I135" i="54" s="1"/>
  <c r="D272" i="40"/>
  <c r="G272" i="40" s="1"/>
  <c r="F273" i="40" s="1"/>
  <c r="E273" i="40" s="1"/>
  <c r="D41" i="40"/>
  <c r="G41" i="40" s="1"/>
  <c r="F42" i="40" s="1"/>
  <c r="E42" i="40" s="1"/>
  <c r="I41" i="40"/>
  <c r="I40" i="40"/>
  <c r="E265" i="31"/>
  <c r="D265" i="31" s="1"/>
  <c r="G265" i="31" s="1"/>
  <c r="F266" i="31" s="1"/>
  <c r="H265" i="31"/>
  <c r="I264" i="31"/>
  <c r="E31" i="31"/>
  <c r="D31" i="31" s="1"/>
  <c r="G31" i="31" s="1"/>
  <c r="F32" i="31" s="1"/>
  <c r="H31" i="31"/>
  <c r="I30" i="31"/>
  <c r="E53" i="29"/>
  <c r="D53" i="29" s="1"/>
  <c r="G53" i="29" s="1"/>
  <c r="F54" i="29" s="1"/>
  <c r="H33" i="29"/>
  <c r="E33" i="29"/>
  <c r="D33" i="29" s="1"/>
  <c r="G33" i="29" s="1"/>
  <c r="F34" i="29" s="1"/>
  <c r="I32" i="29"/>
  <c r="E53" i="28"/>
  <c r="D53" i="28" s="1"/>
  <c r="G53" i="28" s="1"/>
  <c r="F54" i="28" s="1"/>
  <c r="H33" i="28"/>
  <c r="E33" i="28"/>
  <c r="D33" i="28" s="1"/>
  <c r="G33" i="28" s="1"/>
  <c r="F34" i="28" s="1"/>
  <c r="I32" i="28"/>
  <c r="E34" i="25"/>
  <c r="D34" i="25" s="1"/>
  <c r="G34" i="25" s="1"/>
  <c r="F35" i="25" s="1"/>
  <c r="H32" i="26"/>
  <c r="E32" i="26"/>
  <c r="D32" i="26" s="1"/>
  <c r="G32" i="26" s="1"/>
  <c r="F33" i="26" s="1"/>
  <c r="I33" i="25"/>
  <c r="E52" i="26"/>
  <c r="D52" i="26" s="1"/>
  <c r="G52" i="26" s="1"/>
  <c r="F53" i="26" s="1"/>
  <c r="I31" i="26"/>
  <c r="H32" i="23"/>
  <c r="D32" i="23"/>
  <c r="G32" i="23" s="1"/>
  <c r="F33" i="23" s="1"/>
  <c r="E33" i="23" s="1"/>
  <c r="I31" i="23"/>
  <c r="D52" i="23"/>
  <c r="G52" i="23" s="1"/>
  <c r="F53" i="23" s="1"/>
  <c r="E53" i="23" s="1"/>
  <c r="E33" i="21"/>
  <c r="D33" i="21" s="1"/>
  <c r="G33" i="21" s="1"/>
  <c r="H33" i="21"/>
  <c r="I32" i="21"/>
  <c r="D50" i="19"/>
  <c r="G50" i="19" s="1"/>
  <c r="F51" i="19" s="1"/>
  <c r="E51" i="19" s="1"/>
  <c r="H30" i="19"/>
  <c r="D30" i="19"/>
  <c r="G30" i="19" s="1"/>
  <c r="F31" i="19" s="1"/>
  <c r="E31" i="19" s="1"/>
  <c r="I29" i="19"/>
  <c r="E136" i="54" l="1"/>
  <c r="D136" i="54" s="1"/>
  <c r="G136" i="54" s="1"/>
  <c r="F137" i="54" s="1"/>
  <c r="H136" i="54"/>
  <c r="I265" i="31"/>
  <c r="D273" i="40"/>
  <c r="G273" i="40" s="1"/>
  <c r="F274" i="40" s="1"/>
  <c r="E274" i="40" s="1"/>
  <c r="D42" i="40"/>
  <c r="G42" i="40" s="1"/>
  <c r="F43" i="40" s="1"/>
  <c r="E43" i="40" s="1"/>
  <c r="I31" i="31"/>
  <c r="E266" i="31"/>
  <c r="D266" i="31" s="1"/>
  <c r="G266" i="31" s="1"/>
  <c r="F267" i="31" s="1"/>
  <c r="H266" i="31"/>
  <c r="H32" i="31"/>
  <c r="E32" i="31"/>
  <c r="D32" i="31" s="1"/>
  <c r="G32" i="31" s="1"/>
  <c r="F33" i="31" s="1"/>
  <c r="E34" i="29"/>
  <c r="D34" i="29" s="1"/>
  <c r="G34" i="29" s="1"/>
  <c r="F35" i="29" s="1"/>
  <c r="E54" i="29"/>
  <c r="D54" i="29" s="1"/>
  <c r="G54" i="29" s="1"/>
  <c r="F55" i="29" s="1"/>
  <c r="I33" i="29"/>
  <c r="E34" i="28"/>
  <c r="D34" i="28" s="1"/>
  <c r="G34" i="28" s="1"/>
  <c r="F35" i="28" s="1"/>
  <c r="E54" i="28"/>
  <c r="D54" i="28" s="1"/>
  <c r="G54" i="28" s="1"/>
  <c r="F55" i="28" s="1"/>
  <c r="I33" i="28"/>
  <c r="E53" i="26"/>
  <c r="D53" i="26" s="1"/>
  <c r="G53" i="26" s="1"/>
  <c r="F54" i="26" s="1"/>
  <c r="H33" i="26"/>
  <c r="E33" i="26"/>
  <c r="D33" i="26" s="1"/>
  <c r="G33" i="26" s="1"/>
  <c r="F34" i="26" s="1"/>
  <c r="E35" i="25"/>
  <c r="D35" i="25" s="1"/>
  <c r="G35" i="25" s="1"/>
  <c r="F36" i="25" s="1"/>
  <c r="I32" i="26"/>
  <c r="D53" i="23"/>
  <c r="G53" i="23" s="1"/>
  <c r="F54" i="23" s="1"/>
  <c r="E54" i="23" s="1"/>
  <c r="H33" i="23"/>
  <c r="D33" i="23"/>
  <c r="G33" i="23" s="1"/>
  <c r="F34" i="23" s="1"/>
  <c r="E34" i="23" s="1"/>
  <c r="I32" i="23"/>
  <c r="I33" i="21"/>
  <c r="F34" i="21"/>
  <c r="H31" i="19"/>
  <c r="D31" i="19"/>
  <c r="G31" i="19" s="1"/>
  <c r="F32" i="19" s="1"/>
  <c r="E32" i="19" s="1"/>
  <c r="D51" i="19"/>
  <c r="G51" i="19" s="1"/>
  <c r="F52" i="19" s="1"/>
  <c r="E52" i="19" s="1"/>
  <c r="I30" i="19"/>
  <c r="I136" i="54" l="1"/>
  <c r="E137" i="54"/>
  <c r="D137" i="54" s="1"/>
  <c r="G137" i="54" s="1"/>
  <c r="F138" i="54" s="1"/>
  <c r="H137" i="54"/>
  <c r="D274" i="40"/>
  <c r="G274" i="40" s="1"/>
  <c r="F275" i="40" s="1"/>
  <c r="E275" i="40" s="1"/>
  <c r="D43" i="40"/>
  <c r="G43" i="40" s="1"/>
  <c r="F44" i="40" s="1"/>
  <c r="E44" i="40" s="1"/>
  <c r="I42" i="40"/>
  <c r="I266" i="31"/>
  <c r="E267" i="31"/>
  <c r="D267" i="31" s="1"/>
  <c r="G267" i="31" s="1"/>
  <c r="F268" i="31" s="1"/>
  <c r="H267" i="31"/>
  <c r="H33" i="31"/>
  <c r="E33" i="31"/>
  <c r="D33" i="31" s="1"/>
  <c r="G33" i="31" s="1"/>
  <c r="F34" i="31" s="1"/>
  <c r="I32" i="31"/>
  <c r="E55" i="29"/>
  <c r="D55" i="29" s="1"/>
  <c r="G55" i="29" s="1"/>
  <c r="F56" i="29" s="1"/>
  <c r="E35" i="29"/>
  <c r="D35" i="29" s="1"/>
  <c r="G35" i="29" s="1"/>
  <c r="F36" i="29" s="1"/>
  <c r="E55" i="28"/>
  <c r="D55" i="28" s="1"/>
  <c r="G55" i="28" s="1"/>
  <c r="F56" i="28" s="1"/>
  <c r="E35" i="28"/>
  <c r="D35" i="28" s="1"/>
  <c r="G35" i="28" s="1"/>
  <c r="F36" i="28" s="1"/>
  <c r="E34" i="26"/>
  <c r="D34" i="26" s="1"/>
  <c r="G34" i="26" s="1"/>
  <c r="F35" i="26" s="1"/>
  <c r="E36" i="25"/>
  <c r="D36" i="25" s="1"/>
  <c r="G36" i="25" s="1"/>
  <c r="F37" i="25" s="1"/>
  <c r="E54" i="26"/>
  <c r="D54" i="26" s="1"/>
  <c r="G54" i="26" s="1"/>
  <c r="F55" i="26" s="1"/>
  <c r="I33" i="26"/>
  <c r="D34" i="23"/>
  <c r="G34" i="23" s="1"/>
  <c r="F35" i="23" s="1"/>
  <c r="E35" i="23" s="1"/>
  <c r="D54" i="23"/>
  <c r="G54" i="23" s="1"/>
  <c r="F55" i="23" s="1"/>
  <c r="E55" i="23" s="1"/>
  <c r="I33" i="23"/>
  <c r="E34" i="21"/>
  <c r="D34" i="21" s="1"/>
  <c r="G34" i="21" s="1"/>
  <c r="F35" i="21" s="1"/>
  <c r="D52" i="19"/>
  <c r="G52" i="19" s="1"/>
  <c r="F53" i="19" s="1"/>
  <c r="E53" i="19" s="1"/>
  <c r="H32" i="19"/>
  <c r="D32" i="19"/>
  <c r="G32" i="19" s="1"/>
  <c r="F33" i="19" s="1"/>
  <c r="E33" i="19" s="1"/>
  <c r="I31" i="19"/>
  <c r="I137" i="54" l="1"/>
  <c r="H138" i="54"/>
  <c r="E138" i="54"/>
  <c r="D138" i="54" s="1"/>
  <c r="G138" i="54" s="1"/>
  <c r="F139" i="54" s="1"/>
  <c r="I267" i="31"/>
  <c r="I43" i="40"/>
  <c r="D44" i="40"/>
  <c r="G44" i="40" s="1"/>
  <c r="F45" i="40" s="1"/>
  <c r="E45" i="40" s="1"/>
  <c r="D275" i="40"/>
  <c r="G275" i="40" s="1"/>
  <c r="F276" i="40" s="1"/>
  <c r="E276" i="40" s="1"/>
  <c r="E268" i="31"/>
  <c r="D268" i="31" s="1"/>
  <c r="G268" i="31" s="1"/>
  <c r="F269" i="31" s="1"/>
  <c r="H268" i="31"/>
  <c r="H34" i="31"/>
  <c r="E34" i="31"/>
  <c r="D34" i="31" s="1"/>
  <c r="G34" i="31" s="1"/>
  <c r="F35" i="31" s="1"/>
  <c r="I33" i="31"/>
  <c r="E36" i="29"/>
  <c r="D36" i="29" s="1"/>
  <c r="G36" i="29" s="1"/>
  <c r="F37" i="29" s="1"/>
  <c r="E56" i="29"/>
  <c r="D56" i="29" s="1"/>
  <c r="G56" i="29" s="1"/>
  <c r="F57" i="29" s="1"/>
  <c r="E36" i="28"/>
  <c r="D36" i="28" s="1"/>
  <c r="G36" i="28" s="1"/>
  <c r="F37" i="28" s="1"/>
  <c r="E56" i="28"/>
  <c r="D56" i="28" s="1"/>
  <c r="G56" i="28" s="1"/>
  <c r="F57" i="28" s="1"/>
  <c r="E37" i="25"/>
  <c r="D37" i="25" s="1"/>
  <c r="G37" i="25" s="1"/>
  <c r="F38" i="25" s="1"/>
  <c r="E55" i="26"/>
  <c r="D55" i="26" s="1"/>
  <c r="G55" i="26" s="1"/>
  <c r="F56" i="26" s="1"/>
  <c r="E35" i="26"/>
  <c r="D35" i="26" s="1"/>
  <c r="G35" i="26" s="1"/>
  <c r="F36" i="26" s="1"/>
  <c r="D55" i="23"/>
  <c r="G55" i="23" s="1"/>
  <c r="F56" i="23" s="1"/>
  <c r="E56" i="23" s="1"/>
  <c r="D35" i="23"/>
  <c r="G35" i="23" s="1"/>
  <c r="F36" i="23" s="1"/>
  <c r="E36" i="23" s="1"/>
  <c r="E35" i="21"/>
  <c r="D35" i="21" s="1"/>
  <c r="G35" i="21" s="1"/>
  <c r="F36" i="21" s="1"/>
  <c r="H33" i="19"/>
  <c r="D33" i="19"/>
  <c r="G33" i="19" s="1"/>
  <c r="F34" i="19" s="1"/>
  <c r="E34" i="19" s="1"/>
  <c r="D53" i="19"/>
  <c r="G53" i="19" s="1"/>
  <c r="F54" i="19" s="1"/>
  <c r="E54" i="19" s="1"/>
  <c r="I32" i="19"/>
  <c r="E139" i="54" l="1"/>
  <c r="D139" i="54" s="1"/>
  <c r="G139" i="54" s="1"/>
  <c r="F140" i="54" s="1"/>
  <c r="H139" i="54"/>
  <c r="I139" i="54" s="1"/>
  <c r="I138" i="54"/>
  <c r="D276" i="40"/>
  <c r="G276" i="40" s="1"/>
  <c r="F277" i="40" s="1"/>
  <c r="E277" i="40" s="1"/>
  <c r="D45" i="40"/>
  <c r="G45" i="40" s="1"/>
  <c r="F46" i="40" s="1"/>
  <c r="E46" i="40" s="1"/>
  <c r="I45" i="40"/>
  <c r="I44" i="40"/>
  <c r="I268" i="31"/>
  <c r="E269" i="31"/>
  <c r="D269" i="31" s="1"/>
  <c r="G269" i="31" s="1"/>
  <c r="F270" i="31" s="1"/>
  <c r="H269" i="31"/>
  <c r="E35" i="31"/>
  <c r="D35" i="31" s="1"/>
  <c r="G35" i="31" s="1"/>
  <c r="F36" i="31" s="1"/>
  <c r="H35" i="31"/>
  <c r="I34" i="31"/>
  <c r="E57" i="29"/>
  <c r="D57" i="29" s="1"/>
  <c r="G57" i="29" s="1"/>
  <c r="F58" i="29" s="1"/>
  <c r="E37" i="29"/>
  <c r="D37" i="29" s="1"/>
  <c r="G37" i="29" s="1"/>
  <c r="F38" i="29" s="1"/>
  <c r="E57" i="28"/>
  <c r="D57" i="28" s="1"/>
  <c r="G57" i="28" s="1"/>
  <c r="F58" i="28" s="1"/>
  <c r="E37" i="28"/>
  <c r="D37" i="28" s="1"/>
  <c r="G37" i="28" s="1"/>
  <c r="F38" i="28" s="1"/>
  <c r="E36" i="26"/>
  <c r="D36" i="26" s="1"/>
  <c r="G36" i="26" s="1"/>
  <c r="F37" i="26" s="1"/>
  <c r="E38" i="25"/>
  <c r="D38" i="25" s="1"/>
  <c r="G38" i="25" s="1"/>
  <c r="F39" i="25" s="1"/>
  <c r="G39" i="25" s="1"/>
  <c r="E56" i="26"/>
  <c r="D56" i="26" s="1"/>
  <c r="G56" i="26" s="1"/>
  <c r="F57" i="26" s="1"/>
  <c r="D36" i="23"/>
  <c r="G36" i="23" s="1"/>
  <c r="F37" i="23" s="1"/>
  <c r="E37" i="23" s="1"/>
  <c r="D56" i="23"/>
  <c r="G56" i="23" s="1"/>
  <c r="F57" i="23" s="1"/>
  <c r="E57" i="23" s="1"/>
  <c r="E36" i="21"/>
  <c r="D36" i="21" s="1"/>
  <c r="G36" i="21" s="1"/>
  <c r="F37" i="21" s="1"/>
  <c r="D54" i="19"/>
  <c r="G54" i="19" s="1"/>
  <c r="F55" i="19" s="1"/>
  <c r="E55" i="19" s="1"/>
  <c r="D34" i="19"/>
  <c r="G34" i="19" s="1"/>
  <c r="F35" i="19" s="1"/>
  <c r="E35" i="19" s="1"/>
  <c r="I33" i="19"/>
  <c r="E140" i="54" l="1"/>
  <c r="D140" i="54" s="1"/>
  <c r="G140" i="54" s="1"/>
  <c r="F141" i="54" s="1"/>
  <c r="H140" i="54"/>
  <c r="I269" i="31"/>
  <c r="I35" i="31"/>
  <c r="D277" i="40"/>
  <c r="G277" i="40" s="1"/>
  <c r="F278" i="40" s="1"/>
  <c r="E278" i="40" s="1"/>
  <c r="D46" i="40"/>
  <c r="G46" i="40" s="1"/>
  <c r="F47" i="40" s="1"/>
  <c r="E47" i="40" s="1"/>
  <c r="E270" i="31"/>
  <c r="D270" i="31" s="1"/>
  <c r="G270" i="31" s="1"/>
  <c r="F271" i="31" s="1"/>
  <c r="H270" i="31"/>
  <c r="H36" i="31"/>
  <c r="E36" i="31"/>
  <c r="D36" i="31" s="1"/>
  <c r="G36" i="31" s="1"/>
  <c r="F37" i="31" s="1"/>
  <c r="E38" i="29"/>
  <c r="D38" i="29" s="1"/>
  <c r="G38" i="29" s="1"/>
  <c r="F39" i="29" s="1"/>
  <c r="G39" i="29" s="1"/>
  <c r="E58" i="29"/>
  <c r="D58" i="29" s="1"/>
  <c r="G58" i="29" s="1"/>
  <c r="F59" i="29" s="1"/>
  <c r="G59" i="29" s="1"/>
  <c r="E38" i="28"/>
  <c r="D38" i="28" s="1"/>
  <c r="G38" i="28" s="1"/>
  <c r="F39" i="28" s="1"/>
  <c r="G39" i="28" s="1"/>
  <c r="E58" i="28"/>
  <c r="D58" i="28" s="1"/>
  <c r="G58" i="28" s="1"/>
  <c r="F59" i="28" s="1"/>
  <c r="G59" i="28" s="1"/>
  <c r="E57" i="26"/>
  <c r="D57" i="26" s="1"/>
  <c r="G57" i="26" s="1"/>
  <c r="F58" i="26" s="1"/>
  <c r="E37" i="26"/>
  <c r="D37" i="26" s="1"/>
  <c r="G37" i="26" s="1"/>
  <c r="F38" i="26" s="1"/>
  <c r="D57" i="23"/>
  <c r="G57" i="23" s="1"/>
  <c r="F58" i="23" s="1"/>
  <c r="E58" i="23" s="1"/>
  <c r="D37" i="23"/>
  <c r="G37" i="23" s="1"/>
  <c r="F38" i="23" s="1"/>
  <c r="E38" i="23" s="1"/>
  <c r="E37" i="21"/>
  <c r="D37" i="21" s="1"/>
  <c r="G37" i="21" s="1"/>
  <c r="F38" i="21" s="1"/>
  <c r="D35" i="19"/>
  <c r="G35" i="19" s="1"/>
  <c r="F36" i="19" s="1"/>
  <c r="E36" i="19" s="1"/>
  <c r="D55" i="19"/>
  <c r="G55" i="19" s="1"/>
  <c r="F56" i="19" s="1"/>
  <c r="E56" i="19" s="1"/>
  <c r="I140" i="54" l="1"/>
  <c r="E141" i="54"/>
  <c r="D141" i="54" s="1"/>
  <c r="G141" i="54" s="1"/>
  <c r="F142" i="54" s="1"/>
  <c r="H141" i="54"/>
  <c r="D278" i="40"/>
  <c r="G278" i="40" s="1"/>
  <c r="F279" i="40" s="1"/>
  <c r="E279" i="40" s="1"/>
  <c r="D47" i="40"/>
  <c r="G47" i="40" s="1"/>
  <c r="F48" i="40" s="1"/>
  <c r="E48" i="40" s="1"/>
  <c r="I47" i="40"/>
  <c r="I46" i="40"/>
  <c r="E271" i="31"/>
  <c r="D271" i="31" s="1"/>
  <c r="G271" i="31" s="1"/>
  <c r="F272" i="31" s="1"/>
  <c r="H271" i="31"/>
  <c r="I270" i="31"/>
  <c r="E37" i="31"/>
  <c r="D37" i="31" s="1"/>
  <c r="G37" i="31" s="1"/>
  <c r="F38" i="31" s="1"/>
  <c r="H37" i="31"/>
  <c r="I36" i="31"/>
  <c r="E38" i="26"/>
  <c r="D38" i="26" s="1"/>
  <c r="G38" i="26" s="1"/>
  <c r="F39" i="26" s="1"/>
  <c r="G39" i="26" s="1"/>
  <c r="E58" i="26"/>
  <c r="D58" i="26" s="1"/>
  <c r="G58" i="26" s="1"/>
  <c r="F59" i="26" s="1"/>
  <c r="G59" i="26" s="1"/>
  <c r="D38" i="23"/>
  <c r="G38" i="23" s="1"/>
  <c r="F39" i="23" s="1"/>
  <c r="D58" i="23"/>
  <c r="G58" i="23" s="1"/>
  <c r="F59" i="23" s="1"/>
  <c r="E38" i="21"/>
  <c r="D38" i="21" s="1"/>
  <c r="G38" i="21" s="1"/>
  <c r="F39" i="21" s="1"/>
  <c r="D56" i="19"/>
  <c r="G56" i="19" s="1"/>
  <c r="F57" i="19" s="1"/>
  <c r="E57" i="19" s="1"/>
  <c r="D36" i="19"/>
  <c r="G36" i="19" s="1"/>
  <c r="F37" i="19" s="1"/>
  <c r="E37" i="19" s="1"/>
  <c r="I141" i="54" l="1"/>
  <c r="E142" i="54"/>
  <c r="D142" i="54" s="1"/>
  <c r="G142" i="54" s="1"/>
  <c r="F143" i="54" s="1"/>
  <c r="H142" i="54"/>
  <c r="I37" i="31"/>
  <c r="D48" i="40"/>
  <c r="G48" i="40" s="1"/>
  <c r="F49" i="40" s="1"/>
  <c r="E49" i="40" s="1"/>
  <c r="D279" i="40"/>
  <c r="G279" i="40" s="1"/>
  <c r="F280" i="40" s="1"/>
  <c r="E280" i="40" s="1"/>
  <c r="I271" i="31"/>
  <c r="E272" i="31"/>
  <c r="D272" i="31" s="1"/>
  <c r="G272" i="31" s="1"/>
  <c r="F273" i="31" s="1"/>
  <c r="H272" i="31"/>
  <c r="I272" i="31" s="1"/>
  <c r="H38" i="31"/>
  <c r="E38" i="31"/>
  <c r="D38" i="31" s="1"/>
  <c r="G38" i="31" s="1"/>
  <c r="F39" i="31" s="1"/>
  <c r="D59" i="23"/>
  <c r="G59" i="23" s="1"/>
  <c r="D39" i="23"/>
  <c r="G39" i="23" s="1"/>
  <c r="D39" i="21"/>
  <c r="G39" i="21" s="1"/>
  <c r="D37" i="19"/>
  <c r="G37" i="19" s="1"/>
  <c r="F38" i="19" s="1"/>
  <c r="E38" i="19" s="1"/>
  <c r="D57" i="19"/>
  <c r="G57" i="19" s="1"/>
  <c r="F58" i="19" s="1"/>
  <c r="E58" i="19" s="1"/>
  <c r="I142" i="54" l="1"/>
  <c r="E143" i="54"/>
  <c r="D143" i="54" s="1"/>
  <c r="G143" i="54" s="1"/>
  <c r="F144" i="54" s="1"/>
  <c r="H143" i="54"/>
  <c r="I143" i="54" s="1"/>
  <c r="D49" i="40"/>
  <c r="G49" i="40" s="1"/>
  <c r="F50" i="40" s="1"/>
  <c r="E50" i="40" s="1"/>
  <c r="D280" i="40"/>
  <c r="G280" i="40" s="1"/>
  <c r="F281" i="40" s="1"/>
  <c r="E281" i="40" s="1"/>
  <c r="I48" i="40"/>
  <c r="E273" i="31"/>
  <c r="D273" i="31" s="1"/>
  <c r="G273" i="31" s="1"/>
  <c r="F274" i="31" s="1"/>
  <c r="H273" i="31"/>
  <c r="E39" i="31"/>
  <c r="D39" i="31" s="1"/>
  <c r="G39" i="31" s="1"/>
  <c r="F40" i="31" s="1"/>
  <c r="H39" i="31"/>
  <c r="I38" i="31"/>
  <c r="D58" i="19"/>
  <c r="G58" i="19" s="1"/>
  <c r="F59" i="19" s="1"/>
  <c r="D38" i="19"/>
  <c r="G38" i="19" s="1"/>
  <c r="F39" i="19" s="1"/>
  <c r="H144" i="54" l="1"/>
  <c r="E144" i="54"/>
  <c r="D144" i="54" s="1"/>
  <c r="G144" i="54" s="1"/>
  <c r="F145" i="54" s="1"/>
  <c r="D50" i="40"/>
  <c r="G50" i="40" s="1"/>
  <c r="F51" i="40" s="1"/>
  <c r="E51" i="40" s="1"/>
  <c r="D281" i="40"/>
  <c r="G281" i="40" s="1"/>
  <c r="F282" i="40" s="1"/>
  <c r="E282" i="40" s="1"/>
  <c r="I49" i="40"/>
  <c r="I273" i="31"/>
  <c r="E274" i="31"/>
  <c r="D274" i="31" s="1"/>
  <c r="G274" i="31" s="1"/>
  <c r="F275" i="31" s="1"/>
  <c r="H274" i="31"/>
  <c r="I39" i="31"/>
  <c r="H40" i="31"/>
  <c r="E40" i="31"/>
  <c r="D40" i="31" s="1"/>
  <c r="G40" i="31" s="1"/>
  <c r="F41" i="31" s="1"/>
  <c r="D59" i="19"/>
  <c r="G59" i="19" s="1"/>
  <c r="D39" i="19"/>
  <c r="G39" i="19" s="1"/>
  <c r="E145" i="54" l="1"/>
  <c r="D145" i="54" s="1"/>
  <c r="G145" i="54" s="1"/>
  <c r="F146" i="54" s="1"/>
  <c r="H145" i="54"/>
  <c r="I145" i="54" s="1"/>
  <c r="I144" i="54"/>
  <c r="D51" i="40"/>
  <c r="G51" i="40" s="1"/>
  <c r="F52" i="40" s="1"/>
  <c r="E52" i="40" s="1"/>
  <c r="D282" i="40"/>
  <c r="G282" i="40" s="1"/>
  <c r="F283" i="40" s="1"/>
  <c r="E283" i="40" s="1"/>
  <c r="I50" i="40"/>
  <c r="E275" i="31"/>
  <c r="D275" i="31" s="1"/>
  <c r="G275" i="31" s="1"/>
  <c r="F276" i="31" s="1"/>
  <c r="H275" i="31"/>
  <c r="I274" i="31"/>
  <c r="H41" i="31"/>
  <c r="E41" i="31"/>
  <c r="D41" i="31" s="1"/>
  <c r="G41" i="31" s="1"/>
  <c r="F42" i="31" s="1"/>
  <c r="I40" i="31"/>
  <c r="E4" i="18"/>
  <c r="F1" i="18"/>
  <c r="D1" i="18"/>
  <c r="C40" i="18" s="1"/>
  <c r="B4" i="18"/>
  <c r="H4" i="18" s="1"/>
  <c r="B59" i="18"/>
  <c r="B58" i="18"/>
  <c r="B57" i="18"/>
  <c r="B56" i="18"/>
  <c r="B55" i="18"/>
  <c r="B54" i="18"/>
  <c r="B53" i="18"/>
  <c r="B52" i="18"/>
  <c r="B51" i="18"/>
  <c r="B50" i="18"/>
  <c r="B49" i="18"/>
  <c r="B48" i="18"/>
  <c r="B47" i="18"/>
  <c r="B46" i="18"/>
  <c r="B45" i="18"/>
  <c r="B44" i="18"/>
  <c r="B43" i="18"/>
  <c r="B42" i="18"/>
  <c r="B41" i="18"/>
  <c r="B39" i="18"/>
  <c r="B38" i="18"/>
  <c r="B37" i="18"/>
  <c r="B36" i="18"/>
  <c r="B35" i="18"/>
  <c r="B34" i="18"/>
  <c r="B33" i="18"/>
  <c r="B32" i="18"/>
  <c r="B31" i="18"/>
  <c r="B30" i="18"/>
  <c r="B29" i="18"/>
  <c r="B28" i="18"/>
  <c r="B27" i="18"/>
  <c r="B26" i="18"/>
  <c r="B25" i="18"/>
  <c r="B24" i="18"/>
  <c r="B23" i="18"/>
  <c r="B22" i="18"/>
  <c r="B21" i="18"/>
  <c r="B20" i="18"/>
  <c r="B19" i="18"/>
  <c r="B18" i="18"/>
  <c r="B17" i="18"/>
  <c r="B16" i="18"/>
  <c r="B15" i="18"/>
  <c r="B14" i="18"/>
  <c r="B13" i="18"/>
  <c r="B12" i="18"/>
  <c r="B11" i="18"/>
  <c r="B10" i="18"/>
  <c r="B9" i="18"/>
  <c r="B8" i="18"/>
  <c r="B7" i="18"/>
  <c r="B6" i="18"/>
  <c r="B5" i="18"/>
  <c r="E146" i="54" l="1"/>
  <c r="D146" i="54" s="1"/>
  <c r="G146" i="54" s="1"/>
  <c r="F147" i="54" s="1"/>
  <c r="H146" i="54"/>
  <c r="I146" i="54" s="1"/>
  <c r="D52" i="40"/>
  <c r="G52" i="40" s="1"/>
  <c r="F53" i="40" s="1"/>
  <c r="E53" i="40" s="1"/>
  <c r="D283" i="40"/>
  <c r="G283" i="40" s="1"/>
  <c r="F284" i="40" s="1"/>
  <c r="E284" i="40" s="1"/>
  <c r="I51" i="40"/>
  <c r="I275" i="31"/>
  <c r="E276" i="31"/>
  <c r="D276" i="31" s="1"/>
  <c r="G276" i="31" s="1"/>
  <c r="F277" i="31" s="1"/>
  <c r="H276" i="31"/>
  <c r="H42" i="31"/>
  <c r="E42" i="31"/>
  <c r="D42" i="31" s="1"/>
  <c r="G42" i="31" s="1"/>
  <c r="F43" i="31" s="1"/>
  <c r="I41" i="31"/>
  <c r="C4" i="18"/>
  <c r="I4" i="18"/>
  <c r="C35" i="18"/>
  <c r="C37" i="18"/>
  <c r="C39" i="18"/>
  <c r="C53" i="18"/>
  <c r="C49" i="18"/>
  <c r="C45" i="18"/>
  <c r="C57" i="18"/>
  <c r="C36" i="18"/>
  <c r="C41" i="18"/>
  <c r="C5" i="18"/>
  <c r="C6" i="18"/>
  <c r="C7" i="18"/>
  <c r="C8" i="18"/>
  <c r="C9" i="18"/>
  <c r="C10" i="18"/>
  <c r="C11" i="18"/>
  <c r="C12" i="18"/>
  <c r="C13" i="18"/>
  <c r="C14" i="18"/>
  <c r="C15" i="18"/>
  <c r="C16" i="18"/>
  <c r="C17" i="18"/>
  <c r="C18" i="18"/>
  <c r="C19" i="18"/>
  <c r="C20" i="18"/>
  <c r="C21" i="18"/>
  <c r="C22" i="18"/>
  <c r="C23" i="18"/>
  <c r="C24" i="18"/>
  <c r="C25" i="18"/>
  <c r="C26" i="18"/>
  <c r="C27" i="18"/>
  <c r="C28" i="18"/>
  <c r="C29" i="18"/>
  <c r="C30" i="18"/>
  <c r="C31" i="18"/>
  <c r="C32" i="18"/>
  <c r="C33" i="18"/>
  <c r="C34" i="18"/>
  <c r="C38" i="18"/>
  <c r="C44" i="18"/>
  <c r="C48" i="18"/>
  <c r="C52" i="18"/>
  <c r="C56" i="18"/>
  <c r="C43" i="18"/>
  <c r="C47" i="18"/>
  <c r="C51" i="18"/>
  <c r="C55" i="18"/>
  <c r="C59" i="18"/>
  <c r="C42" i="18"/>
  <c r="C46" i="18"/>
  <c r="C50" i="18"/>
  <c r="C54" i="18"/>
  <c r="C58" i="18"/>
  <c r="F8" i="16"/>
  <c r="F1" i="16"/>
  <c r="C9" i="16" s="1"/>
  <c r="D9" i="16" s="1"/>
  <c r="B8" i="16"/>
  <c r="B9" i="16"/>
  <c r="D1" i="16"/>
  <c r="C7" i="16" s="1"/>
  <c r="E4" i="16"/>
  <c r="G4" i="16"/>
  <c r="F5" i="16" s="1"/>
  <c r="E5" i="16" s="1"/>
  <c r="B4" i="16"/>
  <c r="B7" i="16"/>
  <c r="B6" i="16"/>
  <c r="B5" i="16"/>
  <c r="F1" i="15"/>
  <c r="C41" i="15" s="1"/>
  <c r="D1" i="15"/>
  <c r="C14" i="15" s="1"/>
  <c r="B42" i="15"/>
  <c r="B43" i="15"/>
  <c r="B44" i="15"/>
  <c r="B45" i="15"/>
  <c r="B46" i="15"/>
  <c r="B47" i="15"/>
  <c r="B48" i="15"/>
  <c r="B49" i="15"/>
  <c r="B50" i="15"/>
  <c r="B51" i="15"/>
  <c r="B52" i="15"/>
  <c r="B53" i="15"/>
  <c r="B54" i="15"/>
  <c r="B55" i="15"/>
  <c r="B56" i="15"/>
  <c r="B57" i="15"/>
  <c r="B58" i="15"/>
  <c r="B59" i="15"/>
  <c r="B60" i="15"/>
  <c r="B61" i="15"/>
  <c r="B62" i="15"/>
  <c r="B63" i="15"/>
  <c r="B64" i="15"/>
  <c r="B65" i="15"/>
  <c r="B66" i="15"/>
  <c r="B67" i="15"/>
  <c r="B68" i="15"/>
  <c r="B69" i="15"/>
  <c r="B70" i="15"/>
  <c r="B71" i="15"/>
  <c r="B72" i="15"/>
  <c r="B73" i="15"/>
  <c r="B74" i="15"/>
  <c r="B75" i="15"/>
  <c r="B76" i="15"/>
  <c r="B77" i="15"/>
  <c r="B78" i="15"/>
  <c r="B79" i="15"/>
  <c r="B80" i="15"/>
  <c r="B81" i="15"/>
  <c r="B82" i="15"/>
  <c r="B83" i="15"/>
  <c r="B84" i="15"/>
  <c r="B85" i="15"/>
  <c r="B86" i="15"/>
  <c r="B87" i="15"/>
  <c r="B88" i="15"/>
  <c r="B89" i="15"/>
  <c r="B90" i="15"/>
  <c r="B91" i="15"/>
  <c r="B92" i="15"/>
  <c r="B93" i="15"/>
  <c r="B94" i="15"/>
  <c r="B95" i="15"/>
  <c r="B96" i="15"/>
  <c r="B97" i="15"/>
  <c r="B98" i="15"/>
  <c r="B99" i="15"/>
  <c r="B100" i="15"/>
  <c r="B101" i="15"/>
  <c r="B102" i="15"/>
  <c r="B103" i="15"/>
  <c r="B104" i="15"/>
  <c r="B105" i="15"/>
  <c r="B106" i="15"/>
  <c r="B107" i="15"/>
  <c r="B108" i="15"/>
  <c r="B109" i="15"/>
  <c r="B110" i="15"/>
  <c r="B111" i="15"/>
  <c r="B112" i="15"/>
  <c r="B113" i="15"/>
  <c r="B114" i="15"/>
  <c r="B115" i="15"/>
  <c r="B116" i="15"/>
  <c r="B117" i="15"/>
  <c r="B118" i="15"/>
  <c r="B119" i="15"/>
  <c r="B120" i="15"/>
  <c r="B121" i="15"/>
  <c r="B122" i="15"/>
  <c r="B123" i="15"/>
  <c r="B124" i="15"/>
  <c r="B125" i="15"/>
  <c r="B126" i="15"/>
  <c r="B127" i="15"/>
  <c r="B128" i="15"/>
  <c r="B129" i="15"/>
  <c r="B130" i="15"/>
  <c r="B131" i="15"/>
  <c r="B132" i="15"/>
  <c r="B133" i="15"/>
  <c r="B134" i="15"/>
  <c r="B135" i="15"/>
  <c r="B136" i="15"/>
  <c r="B137" i="15"/>
  <c r="B138" i="15"/>
  <c r="B139" i="15"/>
  <c r="B140" i="15"/>
  <c r="B141" i="15"/>
  <c r="B142" i="15"/>
  <c r="B143" i="15"/>
  <c r="B144" i="15"/>
  <c r="B145" i="15"/>
  <c r="B146" i="15"/>
  <c r="B147" i="15"/>
  <c r="B148" i="15"/>
  <c r="B149" i="15"/>
  <c r="B150" i="15"/>
  <c r="B151" i="15"/>
  <c r="B152" i="15"/>
  <c r="B153" i="15"/>
  <c r="B154" i="15"/>
  <c r="B155" i="15"/>
  <c r="B156" i="15"/>
  <c r="B157" i="15"/>
  <c r="B158" i="15"/>
  <c r="B159" i="15"/>
  <c r="B160" i="15"/>
  <c r="B161" i="15"/>
  <c r="B162" i="15"/>
  <c r="B163" i="15"/>
  <c r="B164" i="15"/>
  <c r="B165" i="15"/>
  <c r="B166" i="15"/>
  <c r="B167" i="15"/>
  <c r="B168" i="15"/>
  <c r="B169" i="15"/>
  <c r="B170" i="15"/>
  <c r="B171" i="15"/>
  <c r="B172" i="15"/>
  <c r="B173" i="15"/>
  <c r="B174" i="15"/>
  <c r="B175" i="15"/>
  <c r="B176" i="15"/>
  <c r="B177" i="15"/>
  <c r="B178" i="15"/>
  <c r="B179" i="15"/>
  <c r="B180" i="15"/>
  <c r="B181" i="15"/>
  <c r="B182" i="15"/>
  <c r="B183" i="15"/>
  <c r="B184" i="15"/>
  <c r="B185" i="15"/>
  <c r="B186" i="15"/>
  <c r="B187" i="15"/>
  <c r="B188" i="15"/>
  <c r="B189" i="15"/>
  <c r="B190" i="15"/>
  <c r="B191" i="15"/>
  <c r="B192" i="15"/>
  <c r="B193" i="15"/>
  <c r="B194" i="15"/>
  <c r="B195" i="15"/>
  <c r="B196" i="15"/>
  <c r="B197" i="15"/>
  <c r="B198" i="15"/>
  <c r="B199" i="15"/>
  <c r="B200" i="15"/>
  <c r="B201" i="15"/>
  <c r="B202" i="15"/>
  <c r="B203" i="15"/>
  <c r="B204" i="15"/>
  <c r="B205" i="15"/>
  <c r="B206" i="15"/>
  <c r="B207" i="15"/>
  <c r="B208" i="15"/>
  <c r="B209" i="15"/>
  <c r="B210" i="15"/>
  <c r="B211" i="15"/>
  <c r="B212" i="15"/>
  <c r="B213" i="15"/>
  <c r="B214" i="15"/>
  <c r="B215" i="15"/>
  <c r="B216" i="15"/>
  <c r="B217" i="15"/>
  <c r="B218" i="15"/>
  <c r="B219" i="15"/>
  <c r="B220" i="15"/>
  <c r="B221" i="15"/>
  <c r="B222" i="15"/>
  <c r="B223" i="15"/>
  <c r="B224" i="15"/>
  <c r="B225" i="15"/>
  <c r="B226" i="15"/>
  <c r="B227" i="15"/>
  <c r="B228" i="15"/>
  <c r="B229" i="15"/>
  <c r="B230" i="15"/>
  <c r="B231" i="15"/>
  <c r="B232" i="15"/>
  <c r="B233" i="15"/>
  <c r="B234" i="15"/>
  <c r="B235" i="15"/>
  <c r="B236" i="15"/>
  <c r="B237" i="15"/>
  <c r="B238" i="15"/>
  <c r="B239" i="15"/>
  <c r="B240" i="15"/>
  <c r="B241" i="15"/>
  <c r="B242" i="15"/>
  <c r="B243" i="15"/>
  <c r="B244" i="15"/>
  <c r="B6" i="15"/>
  <c r="B7" i="15"/>
  <c r="B8" i="15"/>
  <c r="B9" i="15"/>
  <c r="B10" i="15"/>
  <c r="B11" i="15"/>
  <c r="B12" i="15"/>
  <c r="B13" i="15"/>
  <c r="B14" i="15"/>
  <c r="B15" i="15"/>
  <c r="B16" i="15"/>
  <c r="B17" i="15"/>
  <c r="B18" i="15"/>
  <c r="B19" i="15"/>
  <c r="B20" i="15"/>
  <c r="B21" i="15"/>
  <c r="B22" i="15"/>
  <c r="B23" i="15"/>
  <c r="B24" i="15"/>
  <c r="B25" i="15"/>
  <c r="B26" i="15"/>
  <c r="B27" i="15"/>
  <c r="B28" i="15"/>
  <c r="B29" i="15"/>
  <c r="B30" i="15"/>
  <c r="B31" i="15"/>
  <c r="B32" i="15"/>
  <c r="B33" i="15"/>
  <c r="B34" i="15"/>
  <c r="B35" i="15"/>
  <c r="B36" i="15"/>
  <c r="B37" i="15"/>
  <c r="B38" i="15"/>
  <c r="B39" i="15"/>
  <c r="B40" i="15"/>
  <c r="B41" i="15"/>
  <c r="B5" i="15"/>
  <c r="B4" i="15"/>
  <c r="E4" i="15" s="1"/>
  <c r="C15" i="15"/>
  <c r="G4" i="15"/>
  <c r="F5" i="15" s="1"/>
  <c r="E5" i="15" s="1"/>
  <c r="D2" i="13"/>
  <c r="B41" i="13"/>
  <c r="C41" i="14"/>
  <c r="B41" i="14"/>
  <c r="C42" i="14"/>
  <c r="C43" i="14"/>
  <c r="C45" i="14"/>
  <c r="C46" i="14"/>
  <c r="C39" i="14"/>
  <c r="B47" i="14"/>
  <c r="B46" i="14"/>
  <c r="B45" i="14"/>
  <c r="B44" i="14"/>
  <c r="B43" i="14"/>
  <c r="B42" i="14"/>
  <c r="F1" i="14"/>
  <c r="C47" i="14" s="1"/>
  <c r="D47" i="14" s="1"/>
  <c r="B40" i="14"/>
  <c r="B39" i="14"/>
  <c r="B38" i="14"/>
  <c r="B37" i="14"/>
  <c r="B36" i="14"/>
  <c r="B35" i="14"/>
  <c r="B34" i="14"/>
  <c r="B33" i="14"/>
  <c r="B32" i="14"/>
  <c r="B31" i="14"/>
  <c r="B30" i="14"/>
  <c r="B29" i="14"/>
  <c r="B28" i="14"/>
  <c r="B27" i="14"/>
  <c r="B26" i="14"/>
  <c r="B25" i="14"/>
  <c r="B24" i="14"/>
  <c r="B23" i="14"/>
  <c r="B22" i="14"/>
  <c r="B21" i="14"/>
  <c r="B20" i="14"/>
  <c r="B19" i="14"/>
  <c r="B18" i="14"/>
  <c r="B17" i="14"/>
  <c r="B16" i="14"/>
  <c r="B15" i="14"/>
  <c r="B14" i="14"/>
  <c r="B13" i="14"/>
  <c r="B12" i="14"/>
  <c r="B11" i="14"/>
  <c r="B10" i="14"/>
  <c r="B9" i="14"/>
  <c r="B8" i="14"/>
  <c r="B7" i="14"/>
  <c r="B6" i="14"/>
  <c r="B5" i="14"/>
  <c r="H4" i="14"/>
  <c r="I4" i="14" s="1"/>
  <c r="G4" i="14"/>
  <c r="F5" i="14" s="1"/>
  <c r="E5" i="14" s="1"/>
  <c r="B4" i="14"/>
  <c r="E4" i="14" s="1"/>
  <c r="F2" i="14"/>
  <c r="D2" i="14"/>
  <c r="D1" i="14"/>
  <c r="C40" i="14" s="1"/>
  <c r="F2" i="13"/>
  <c r="F1" i="13"/>
  <c r="B40" i="13"/>
  <c r="B39" i="13"/>
  <c r="B38" i="13"/>
  <c r="B37" i="13"/>
  <c r="B36" i="13"/>
  <c r="B35" i="13"/>
  <c r="B34" i="13"/>
  <c r="B33" i="13"/>
  <c r="B32" i="13"/>
  <c r="B31" i="13"/>
  <c r="B30" i="13"/>
  <c r="B29" i="13"/>
  <c r="B28" i="13"/>
  <c r="B27" i="13"/>
  <c r="B26" i="13"/>
  <c r="B25" i="13"/>
  <c r="B24" i="13"/>
  <c r="B23" i="13"/>
  <c r="B22" i="13"/>
  <c r="B21" i="13"/>
  <c r="B20" i="13"/>
  <c r="B19" i="13"/>
  <c r="B18" i="13"/>
  <c r="B17" i="13"/>
  <c r="B16" i="13"/>
  <c r="B15" i="13"/>
  <c r="B14" i="13"/>
  <c r="B13" i="13"/>
  <c r="B12" i="13"/>
  <c r="B11" i="13"/>
  <c r="B10" i="13"/>
  <c r="B9" i="13"/>
  <c r="B8" i="13"/>
  <c r="B7" i="13"/>
  <c r="B6" i="13"/>
  <c r="B5" i="13"/>
  <c r="G4" i="13"/>
  <c r="F5" i="13" s="1"/>
  <c r="B4" i="13"/>
  <c r="H4" i="13" s="1"/>
  <c r="D1" i="13"/>
  <c r="C39" i="13" s="1"/>
  <c r="C240" i="15" l="1"/>
  <c r="C232" i="15"/>
  <c r="C224" i="15"/>
  <c r="C216" i="15"/>
  <c r="C208" i="15"/>
  <c r="C200" i="15"/>
  <c r="C192" i="15"/>
  <c r="C184" i="15"/>
  <c r="C176" i="15"/>
  <c r="C168" i="15"/>
  <c r="C160" i="15"/>
  <c r="C152" i="15"/>
  <c r="C144" i="15"/>
  <c r="C136" i="15"/>
  <c r="C128" i="15"/>
  <c r="C120" i="15"/>
  <c r="C112" i="15"/>
  <c r="C104" i="15"/>
  <c r="C96" i="15"/>
  <c r="C88" i="15"/>
  <c r="C80" i="15"/>
  <c r="C72" i="15"/>
  <c r="C64" i="15"/>
  <c r="C56" i="15"/>
  <c r="C48" i="15"/>
  <c r="C239" i="15"/>
  <c r="C231" i="15"/>
  <c r="C223" i="15"/>
  <c r="C215" i="15"/>
  <c r="C207" i="15"/>
  <c r="C199" i="15"/>
  <c r="C191" i="15"/>
  <c r="C183" i="15"/>
  <c r="C175" i="15"/>
  <c r="C167" i="15"/>
  <c r="C159" i="15"/>
  <c r="C151" i="15"/>
  <c r="C143" i="15"/>
  <c r="C135" i="15"/>
  <c r="C127" i="15"/>
  <c r="C119" i="15"/>
  <c r="C111" i="15"/>
  <c r="C103" i="15"/>
  <c r="C95" i="15"/>
  <c r="C87" i="15"/>
  <c r="C79" i="15"/>
  <c r="C71" i="15"/>
  <c r="C63" i="15"/>
  <c r="C55" i="15"/>
  <c r="C47" i="15"/>
  <c r="C238" i="15"/>
  <c r="C230" i="15"/>
  <c r="C222" i="15"/>
  <c r="C214" i="15"/>
  <c r="C206" i="15"/>
  <c r="C198" i="15"/>
  <c r="C190" i="15"/>
  <c r="C182" i="15"/>
  <c r="C174" i="15"/>
  <c r="C166" i="15"/>
  <c r="C158" i="15"/>
  <c r="C150" i="15"/>
  <c r="C142" i="15"/>
  <c r="C134" i="15"/>
  <c r="C126" i="15"/>
  <c r="C118" i="15"/>
  <c r="C110" i="15"/>
  <c r="C102" i="15"/>
  <c r="C94" i="15"/>
  <c r="C86" i="15"/>
  <c r="C78" i="15"/>
  <c r="C70" i="15"/>
  <c r="C62" i="15"/>
  <c r="C54" i="15"/>
  <c r="C46" i="15"/>
  <c r="C237" i="15"/>
  <c r="C229" i="15"/>
  <c r="C221" i="15"/>
  <c r="C213" i="15"/>
  <c r="C205" i="15"/>
  <c r="C197" i="15"/>
  <c r="C189" i="15"/>
  <c r="C181" i="15"/>
  <c r="C173" i="15"/>
  <c r="C165" i="15"/>
  <c r="C157" i="15"/>
  <c r="C149" i="15"/>
  <c r="C141" i="15"/>
  <c r="C133" i="15"/>
  <c r="C125" i="15"/>
  <c r="C117" i="15"/>
  <c r="C109" i="15"/>
  <c r="C101" i="15"/>
  <c r="C93" i="15"/>
  <c r="C85" i="15"/>
  <c r="C77" i="15"/>
  <c r="C69" i="15"/>
  <c r="C61" i="15"/>
  <c r="C53" i="15"/>
  <c r="C45" i="15"/>
  <c r="C244" i="15"/>
  <c r="C236" i="15"/>
  <c r="C228" i="15"/>
  <c r="C220" i="15"/>
  <c r="C212" i="15"/>
  <c r="C204" i="15"/>
  <c r="C196" i="15"/>
  <c r="C188" i="15"/>
  <c r="C180" i="15"/>
  <c r="C172" i="15"/>
  <c r="C164" i="15"/>
  <c r="C156" i="15"/>
  <c r="C148" i="15"/>
  <c r="C140" i="15"/>
  <c r="C132" i="15"/>
  <c r="C124" i="15"/>
  <c r="C116" i="15"/>
  <c r="C108" i="15"/>
  <c r="C100" i="15"/>
  <c r="C92" i="15"/>
  <c r="C84" i="15"/>
  <c r="C76" i="15"/>
  <c r="C68" i="15"/>
  <c r="C60" i="15"/>
  <c r="C52" i="15"/>
  <c r="C44" i="15"/>
  <c r="C243" i="15"/>
  <c r="C235" i="15"/>
  <c r="C227" i="15"/>
  <c r="C219" i="15"/>
  <c r="C211" i="15"/>
  <c r="C203" i="15"/>
  <c r="C195" i="15"/>
  <c r="C187" i="15"/>
  <c r="C179" i="15"/>
  <c r="C171" i="15"/>
  <c r="C163" i="15"/>
  <c r="C155" i="15"/>
  <c r="C147" i="15"/>
  <c r="C139" i="15"/>
  <c r="C131" i="15"/>
  <c r="C123" i="15"/>
  <c r="C115" i="15"/>
  <c r="C107" i="15"/>
  <c r="C99" i="15"/>
  <c r="C91" i="15"/>
  <c r="C83" i="15"/>
  <c r="C75" i="15"/>
  <c r="C67" i="15"/>
  <c r="C59" i="15"/>
  <c r="C51" i="15"/>
  <c r="C43" i="15"/>
  <c r="C242" i="15"/>
  <c r="C234" i="15"/>
  <c r="C226" i="15"/>
  <c r="C218" i="15"/>
  <c r="C210" i="15"/>
  <c r="C202" i="15"/>
  <c r="C194" i="15"/>
  <c r="C186" i="15"/>
  <c r="C178" i="15"/>
  <c r="C170" i="15"/>
  <c r="C162" i="15"/>
  <c r="C154" i="15"/>
  <c r="C146" i="15"/>
  <c r="C138" i="15"/>
  <c r="C130" i="15"/>
  <c r="C122" i="15"/>
  <c r="C114" i="15"/>
  <c r="C106" i="15"/>
  <c r="C98" i="15"/>
  <c r="C90" i="15"/>
  <c r="C82" i="15"/>
  <c r="C74" i="15"/>
  <c r="C66" i="15"/>
  <c r="C58" i="15"/>
  <c r="C50" i="15"/>
  <c r="C42" i="15"/>
  <c r="C241" i="15"/>
  <c r="C233" i="15"/>
  <c r="C225" i="15"/>
  <c r="C217" i="15"/>
  <c r="C209" i="15"/>
  <c r="C201" i="15"/>
  <c r="C193" i="15"/>
  <c r="C185" i="15"/>
  <c r="C177" i="15"/>
  <c r="C169" i="15"/>
  <c r="C161" i="15"/>
  <c r="C153" i="15"/>
  <c r="C145" i="15"/>
  <c r="C137" i="15"/>
  <c r="C129" i="15"/>
  <c r="C121" i="15"/>
  <c r="C113" i="15"/>
  <c r="C105" i="15"/>
  <c r="C97" i="15"/>
  <c r="C89" i="15"/>
  <c r="C81" i="15"/>
  <c r="C73" i="15"/>
  <c r="C65" i="15"/>
  <c r="C57" i="15"/>
  <c r="C49" i="15"/>
  <c r="E147" i="54"/>
  <c r="D147" i="54" s="1"/>
  <c r="G147" i="54" s="1"/>
  <c r="F148" i="54" s="1"/>
  <c r="H147" i="54"/>
  <c r="I147" i="54" s="1"/>
  <c r="I276" i="31"/>
  <c r="D284" i="40"/>
  <c r="G284" i="40" s="1"/>
  <c r="F285" i="40" s="1"/>
  <c r="E285" i="40" s="1"/>
  <c r="D53" i="40"/>
  <c r="G53" i="40" s="1"/>
  <c r="F54" i="40" s="1"/>
  <c r="E54" i="40" s="1"/>
  <c r="I53" i="40"/>
  <c r="I52" i="40"/>
  <c r="E277" i="31"/>
  <c r="D277" i="31" s="1"/>
  <c r="G277" i="31" s="1"/>
  <c r="F278" i="31" s="1"/>
  <c r="H277" i="31"/>
  <c r="H43" i="31"/>
  <c r="E43" i="31"/>
  <c r="D43" i="31" s="1"/>
  <c r="G43" i="31" s="1"/>
  <c r="F44" i="31" s="1"/>
  <c r="I42" i="31"/>
  <c r="D4" i="18"/>
  <c r="G4" i="18" s="1"/>
  <c r="F5" i="18" s="1"/>
  <c r="C5" i="16"/>
  <c r="D5" i="16" s="1"/>
  <c r="G5" i="16" s="1"/>
  <c r="F6" i="16" s="1"/>
  <c r="C6" i="16"/>
  <c r="C8" i="16"/>
  <c r="D7" i="16"/>
  <c r="C40" i="15"/>
  <c r="C8" i="15"/>
  <c r="C16" i="15"/>
  <c r="C9" i="15"/>
  <c r="C10" i="15"/>
  <c r="C18" i="15"/>
  <c r="C17" i="15"/>
  <c r="C11" i="15"/>
  <c r="C19" i="15"/>
  <c r="C12" i="15"/>
  <c r="C20" i="15"/>
  <c r="C7" i="15"/>
  <c r="C5" i="15"/>
  <c r="C13" i="15"/>
  <c r="C37" i="15"/>
  <c r="C6" i="15"/>
  <c r="H4" i="15"/>
  <c r="I4" i="15" s="1"/>
  <c r="H5" i="15"/>
  <c r="C35" i="15"/>
  <c r="C39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8" i="15"/>
  <c r="C36" i="15"/>
  <c r="C38" i="14"/>
  <c r="C37" i="14"/>
  <c r="C44" i="14"/>
  <c r="C34" i="14"/>
  <c r="C36" i="14"/>
  <c r="C35" i="14"/>
  <c r="C32" i="14"/>
  <c r="C33" i="14"/>
  <c r="C7" i="14"/>
  <c r="C11" i="14"/>
  <c r="C15" i="14"/>
  <c r="C19" i="14"/>
  <c r="C23" i="14"/>
  <c r="C29" i="14"/>
  <c r="C26" i="14"/>
  <c r="D40" i="14"/>
  <c r="C6" i="14"/>
  <c r="C10" i="14"/>
  <c r="C14" i="14"/>
  <c r="C18" i="14"/>
  <c r="C22" i="14"/>
  <c r="C31" i="14"/>
  <c r="C28" i="14"/>
  <c r="H5" i="14"/>
  <c r="I5" i="14" s="1"/>
  <c r="C5" i="14"/>
  <c r="D5" i="14" s="1"/>
  <c r="G5" i="14" s="1"/>
  <c r="F6" i="14" s="1"/>
  <c r="C9" i="14"/>
  <c r="C13" i="14"/>
  <c r="C17" i="14"/>
  <c r="C21" i="14"/>
  <c r="C25" i="14"/>
  <c r="C30" i="14"/>
  <c r="C8" i="14"/>
  <c r="C12" i="14"/>
  <c r="C16" i="14"/>
  <c r="C20" i="14"/>
  <c r="C24" i="14"/>
  <c r="C27" i="14"/>
  <c r="C12" i="13"/>
  <c r="C8" i="13"/>
  <c r="C20" i="13"/>
  <c r="C28" i="13"/>
  <c r="C38" i="13"/>
  <c r="C5" i="13"/>
  <c r="C9" i="13"/>
  <c r="C13" i="13"/>
  <c r="C17" i="13"/>
  <c r="C21" i="13"/>
  <c r="C25" i="13"/>
  <c r="C29" i="13"/>
  <c r="C33" i="13"/>
  <c r="C14" i="13"/>
  <c r="C34" i="13"/>
  <c r="C16" i="13"/>
  <c r="C24" i="13"/>
  <c r="C32" i="13"/>
  <c r="C6" i="13"/>
  <c r="C10" i="13"/>
  <c r="C18" i="13"/>
  <c r="C22" i="13"/>
  <c r="C26" i="13"/>
  <c r="C30" i="13"/>
  <c r="C7" i="13"/>
  <c r="C11" i="13"/>
  <c r="C15" i="13"/>
  <c r="C19" i="13"/>
  <c r="C23" i="13"/>
  <c r="C27" i="13"/>
  <c r="C31" i="13"/>
  <c r="H5" i="13"/>
  <c r="E5" i="13"/>
  <c r="C37" i="13"/>
  <c r="E4" i="13"/>
  <c r="I4" i="13" s="1"/>
  <c r="C36" i="13"/>
  <c r="C40" i="13"/>
  <c r="D40" i="13" s="1"/>
  <c r="C41" i="13"/>
  <c r="C35" i="13"/>
  <c r="F1" i="10"/>
  <c r="C47" i="10" s="1"/>
  <c r="D47" i="10" s="1"/>
  <c r="D1" i="10"/>
  <c r="C38" i="10" s="1"/>
  <c r="F1" i="9"/>
  <c r="C44" i="9" s="1"/>
  <c r="D1" i="9"/>
  <c r="C40" i="9" s="1"/>
  <c r="B47" i="10"/>
  <c r="B46" i="10"/>
  <c r="B45" i="10"/>
  <c r="B44" i="10"/>
  <c r="B43" i="10"/>
  <c r="B42" i="10"/>
  <c r="B41" i="10"/>
  <c r="B40" i="10"/>
  <c r="B39" i="10"/>
  <c r="B38" i="10"/>
  <c r="B37" i="10"/>
  <c r="B36" i="10"/>
  <c r="B35" i="10"/>
  <c r="B34" i="10"/>
  <c r="B33" i="10"/>
  <c r="B32" i="10"/>
  <c r="B31" i="10"/>
  <c r="B30" i="10"/>
  <c r="B29" i="10"/>
  <c r="B28" i="10"/>
  <c r="B27" i="10"/>
  <c r="B26" i="10"/>
  <c r="B25" i="10"/>
  <c r="B24" i="10"/>
  <c r="B23" i="10"/>
  <c r="B22" i="10"/>
  <c r="B21" i="10"/>
  <c r="B20" i="10"/>
  <c r="B19" i="10"/>
  <c r="B18" i="10"/>
  <c r="B17" i="10"/>
  <c r="B16" i="10"/>
  <c r="B15" i="10"/>
  <c r="B14" i="10"/>
  <c r="B13" i="10"/>
  <c r="B12" i="10"/>
  <c r="B11" i="10"/>
  <c r="B10" i="10"/>
  <c r="B9" i="10"/>
  <c r="B8" i="10"/>
  <c r="B7" i="10"/>
  <c r="B6" i="10"/>
  <c r="B5" i="10"/>
  <c r="G4" i="10"/>
  <c r="F5" i="10" s="1"/>
  <c r="B4" i="10"/>
  <c r="H4" i="10" s="1"/>
  <c r="F2" i="10"/>
  <c r="D2" i="10"/>
  <c r="B47" i="9"/>
  <c r="B46" i="9"/>
  <c r="B45" i="9"/>
  <c r="B44" i="9"/>
  <c r="B43" i="9"/>
  <c r="B42" i="9"/>
  <c r="B41" i="9"/>
  <c r="B40" i="9"/>
  <c r="B39" i="9"/>
  <c r="B38" i="9"/>
  <c r="B37" i="9"/>
  <c r="B36" i="9"/>
  <c r="B35" i="9"/>
  <c r="B34" i="9"/>
  <c r="B33" i="9"/>
  <c r="B32" i="9"/>
  <c r="B31" i="9"/>
  <c r="B30" i="9"/>
  <c r="B29" i="9"/>
  <c r="B28" i="9"/>
  <c r="B27" i="9"/>
  <c r="B26" i="9"/>
  <c r="B25" i="9"/>
  <c r="B24" i="9"/>
  <c r="B23" i="9"/>
  <c r="B22" i="9"/>
  <c r="B21" i="9"/>
  <c r="B20" i="9"/>
  <c r="B19" i="9"/>
  <c r="B18" i="9"/>
  <c r="B17" i="9"/>
  <c r="B16" i="9"/>
  <c r="B15" i="9"/>
  <c r="B14" i="9"/>
  <c r="B13" i="9"/>
  <c r="B12" i="9"/>
  <c r="B11" i="9"/>
  <c r="B10" i="9"/>
  <c r="B9" i="9"/>
  <c r="B8" i="9"/>
  <c r="B7" i="9"/>
  <c r="B6" i="9"/>
  <c r="B5" i="9"/>
  <c r="G4" i="9"/>
  <c r="F5" i="9" s="1"/>
  <c r="B4" i="9"/>
  <c r="H4" i="9" s="1"/>
  <c r="F2" i="9"/>
  <c r="D2" i="9"/>
  <c r="E148" i="54" l="1"/>
  <c r="D148" i="54" s="1"/>
  <c r="G148" i="54" s="1"/>
  <c r="F149" i="54" s="1"/>
  <c r="H148" i="54"/>
  <c r="I148" i="54" s="1"/>
  <c r="D285" i="40"/>
  <c r="G285" i="40" s="1"/>
  <c r="F286" i="40" s="1"/>
  <c r="E286" i="40" s="1"/>
  <c r="D54" i="40"/>
  <c r="G54" i="40" s="1"/>
  <c r="F55" i="40" s="1"/>
  <c r="E55" i="40" s="1"/>
  <c r="I43" i="31"/>
  <c r="I277" i="31"/>
  <c r="E278" i="31"/>
  <c r="D278" i="31" s="1"/>
  <c r="G278" i="31" s="1"/>
  <c r="F279" i="31" s="1"/>
  <c r="H278" i="31"/>
  <c r="H44" i="31"/>
  <c r="E44" i="31"/>
  <c r="D44" i="31" s="1"/>
  <c r="G44" i="31" s="1"/>
  <c r="F45" i="31" s="1"/>
  <c r="E5" i="18"/>
  <c r="D5" i="18" s="1"/>
  <c r="G5" i="18" s="1"/>
  <c r="F6" i="18" s="1"/>
  <c r="H6" i="18" s="1"/>
  <c r="H5" i="18"/>
  <c r="G8" i="16"/>
  <c r="F9" i="16" s="1"/>
  <c r="G9" i="16" s="1"/>
  <c r="E8" i="16"/>
  <c r="D8" i="16" s="1"/>
  <c r="E6" i="16"/>
  <c r="D6" i="16" s="1"/>
  <c r="G6" i="16" s="1"/>
  <c r="D5" i="15"/>
  <c r="G5" i="15" s="1"/>
  <c r="F6" i="15" s="1"/>
  <c r="I5" i="15"/>
  <c r="E6" i="14"/>
  <c r="D6" i="14" s="1"/>
  <c r="G6" i="14" s="1"/>
  <c r="F7" i="14" s="1"/>
  <c r="H6" i="14"/>
  <c r="D5" i="13"/>
  <c r="G5" i="13" s="1"/>
  <c r="F6" i="13" s="1"/>
  <c r="H6" i="13" s="1"/>
  <c r="I5" i="13"/>
  <c r="I4" i="10"/>
  <c r="E4" i="10"/>
  <c r="C45" i="9"/>
  <c r="D40" i="9"/>
  <c r="E4" i="9"/>
  <c r="I4" i="9" s="1"/>
  <c r="H5" i="10"/>
  <c r="I5" i="10" s="1"/>
  <c r="E5" i="10"/>
  <c r="E5" i="9"/>
  <c r="H5" i="9"/>
  <c r="C42" i="10"/>
  <c r="C46" i="10"/>
  <c r="C43" i="9"/>
  <c r="C47" i="9"/>
  <c r="D47" i="9" s="1"/>
  <c r="C41" i="10"/>
  <c r="C45" i="10"/>
  <c r="C35" i="9"/>
  <c r="C39" i="9"/>
  <c r="C37" i="10"/>
  <c r="C42" i="9"/>
  <c r="C46" i="9"/>
  <c r="C44" i="10"/>
  <c r="C6" i="9"/>
  <c r="C8" i="9"/>
  <c r="C10" i="9"/>
  <c r="C12" i="9"/>
  <c r="C13" i="9"/>
  <c r="C14" i="9"/>
  <c r="C15" i="9"/>
  <c r="C16" i="9"/>
  <c r="C17" i="9"/>
  <c r="C18" i="9"/>
  <c r="C19" i="9"/>
  <c r="C20" i="9"/>
  <c r="C21" i="9"/>
  <c r="C22" i="9"/>
  <c r="C23" i="9"/>
  <c r="C24" i="9"/>
  <c r="C25" i="9"/>
  <c r="C26" i="9"/>
  <c r="C27" i="9"/>
  <c r="C28" i="9"/>
  <c r="C29" i="9"/>
  <c r="C30" i="9"/>
  <c r="C31" i="9"/>
  <c r="C32" i="9"/>
  <c r="C33" i="9"/>
  <c r="C34" i="9"/>
  <c r="C38" i="9"/>
  <c r="C36" i="10"/>
  <c r="C40" i="10"/>
  <c r="D40" i="10" s="1"/>
  <c r="C5" i="9"/>
  <c r="C7" i="9"/>
  <c r="C9" i="9"/>
  <c r="C11" i="9"/>
  <c r="C41" i="9"/>
  <c r="C43" i="10"/>
  <c r="C37" i="9"/>
  <c r="C35" i="10"/>
  <c r="C39" i="10"/>
  <c r="C36" i="9"/>
  <c r="C5" i="10"/>
  <c r="D5" i="10" s="1"/>
  <c r="G5" i="10" s="1"/>
  <c r="F6" i="10" s="1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F2" i="7"/>
  <c r="B43" i="7"/>
  <c r="B44" i="7"/>
  <c r="B45" i="7"/>
  <c r="B46" i="7"/>
  <c r="B47" i="7"/>
  <c r="B42" i="7"/>
  <c r="B41" i="7"/>
  <c r="B6" i="7"/>
  <c r="B7" i="7"/>
  <c r="B8" i="7"/>
  <c r="B9" i="7"/>
  <c r="B10" i="7"/>
  <c r="B11" i="7"/>
  <c r="B12" i="7"/>
  <c r="B13" i="7"/>
  <c r="B14" i="7"/>
  <c r="B15" i="7"/>
  <c r="B16" i="7"/>
  <c r="B17" i="7"/>
  <c r="B18" i="7"/>
  <c r="B19" i="7"/>
  <c r="B20" i="7"/>
  <c r="B21" i="7"/>
  <c r="B22" i="7"/>
  <c r="B23" i="7"/>
  <c r="B24" i="7"/>
  <c r="B25" i="7"/>
  <c r="B26" i="7"/>
  <c r="B27" i="7"/>
  <c r="B28" i="7"/>
  <c r="B29" i="7"/>
  <c r="B30" i="7"/>
  <c r="B31" i="7"/>
  <c r="B32" i="7"/>
  <c r="B33" i="7"/>
  <c r="B34" i="7"/>
  <c r="B35" i="7"/>
  <c r="B36" i="7"/>
  <c r="B37" i="7"/>
  <c r="B38" i="7"/>
  <c r="B39" i="7"/>
  <c r="B40" i="7"/>
  <c r="B5" i="7"/>
  <c r="B4" i="7"/>
  <c r="E4" i="7" s="1"/>
  <c r="F1" i="7"/>
  <c r="C46" i="7" s="1"/>
  <c r="D1" i="7"/>
  <c r="C38" i="7" s="1"/>
  <c r="G4" i="7"/>
  <c r="F5" i="7" s="1"/>
  <c r="E5" i="7" s="1"/>
  <c r="D2" i="7"/>
  <c r="E47" i="6"/>
  <c r="B41" i="6"/>
  <c r="D2" i="6"/>
  <c r="F2" i="6"/>
  <c r="F1" i="6"/>
  <c r="C46" i="6" s="1"/>
  <c r="B42" i="6"/>
  <c r="D1" i="6"/>
  <c r="C39" i="6" s="1"/>
  <c r="B47" i="6"/>
  <c r="B46" i="6"/>
  <c r="B45" i="6"/>
  <c r="B44" i="6"/>
  <c r="B43" i="6"/>
  <c r="B40" i="6"/>
  <c r="B39" i="6"/>
  <c r="B38" i="6"/>
  <c r="B37" i="6"/>
  <c r="B36" i="6"/>
  <c r="B35" i="6"/>
  <c r="B34" i="6"/>
  <c r="B33" i="6"/>
  <c r="B32" i="6"/>
  <c r="B31" i="6"/>
  <c r="B30" i="6"/>
  <c r="B29" i="6"/>
  <c r="B28" i="6"/>
  <c r="B27" i="6"/>
  <c r="B26" i="6"/>
  <c r="B25" i="6"/>
  <c r="B24" i="6"/>
  <c r="B23" i="6"/>
  <c r="B22" i="6"/>
  <c r="B21" i="6"/>
  <c r="B20" i="6"/>
  <c r="B19" i="6"/>
  <c r="B18" i="6"/>
  <c r="B17" i="6"/>
  <c r="B16" i="6"/>
  <c r="B15" i="6"/>
  <c r="B14" i="6"/>
  <c r="B13" i="6"/>
  <c r="B12" i="6"/>
  <c r="B11" i="6"/>
  <c r="B10" i="6"/>
  <c r="B9" i="6"/>
  <c r="B8" i="6"/>
  <c r="B7" i="6"/>
  <c r="B6" i="6"/>
  <c r="B5" i="6"/>
  <c r="G4" i="6"/>
  <c r="F5" i="6" s="1"/>
  <c r="H5" i="6" s="1"/>
  <c r="B4" i="6"/>
  <c r="E4" i="6" s="1"/>
  <c r="E6" i="15" l="1"/>
  <c r="D6" i="15" s="1"/>
  <c r="G6" i="15" s="1"/>
  <c r="F7" i="15" s="1"/>
  <c r="E149" i="54"/>
  <c r="D149" i="54" s="1"/>
  <c r="G149" i="54" s="1"/>
  <c r="F150" i="54" s="1"/>
  <c r="H149" i="54"/>
  <c r="I149" i="54" s="1"/>
  <c r="I278" i="31"/>
  <c r="I54" i="40"/>
  <c r="D55" i="40"/>
  <c r="G55" i="40" s="1"/>
  <c r="F56" i="40" s="1"/>
  <c r="E56" i="40" s="1"/>
  <c r="D286" i="40"/>
  <c r="G286" i="40" s="1"/>
  <c r="F287" i="40" s="1"/>
  <c r="E287" i="40" s="1"/>
  <c r="E279" i="31"/>
  <c r="D279" i="31" s="1"/>
  <c r="G279" i="31" s="1"/>
  <c r="F280" i="31" s="1"/>
  <c r="H279" i="31"/>
  <c r="H45" i="31"/>
  <c r="E45" i="31"/>
  <c r="D45" i="31" s="1"/>
  <c r="G45" i="31" s="1"/>
  <c r="F46" i="31" s="1"/>
  <c r="I44" i="31"/>
  <c r="E6" i="18"/>
  <c r="D6" i="18" s="1"/>
  <c r="G6" i="18" s="1"/>
  <c r="F7" i="18" s="1"/>
  <c r="E7" i="18" s="1"/>
  <c r="D7" i="18" s="1"/>
  <c r="G7" i="18" s="1"/>
  <c r="F8" i="18" s="1"/>
  <c r="E8" i="18" s="1"/>
  <c r="D8" i="18" s="1"/>
  <c r="G8" i="18" s="1"/>
  <c r="F9" i="18" s="1"/>
  <c r="I5" i="18"/>
  <c r="F7" i="16"/>
  <c r="G7" i="16" s="1"/>
  <c r="H6" i="15"/>
  <c r="E7" i="14"/>
  <c r="D7" i="14" s="1"/>
  <c r="G7" i="14" s="1"/>
  <c r="F8" i="14" s="1"/>
  <c r="H7" i="14"/>
  <c r="I6" i="14"/>
  <c r="E6" i="13"/>
  <c r="D6" i="13" s="1"/>
  <c r="G6" i="13" s="1"/>
  <c r="F7" i="13" s="1"/>
  <c r="H7" i="13" s="1"/>
  <c r="D5" i="9"/>
  <c r="G5" i="9" s="1"/>
  <c r="F6" i="9" s="1"/>
  <c r="E6" i="9" s="1"/>
  <c r="D6" i="9" s="1"/>
  <c r="G6" i="9" s="1"/>
  <c r="F7" i="9" s="1"/>
  <c r="I5" i="9"/>
  <c r="H6" i="10"/>
  <c r="E6" i="10"/>
  <c r="D6" i="10" s="1"/>
  <c r="G6" i="10" s="1"/>
  <c r="F7" i="10" s="1"/>
  <c r="C41" i="7"/>
  <c r="H4" i="7"/>
  <c r="I4" i="7" s="1"/>
  <c r="H5" i="7"/>
  <c r="C45" i="7"/>
  <c r="C37" i="7"/>
  <c r="C44" i="7"/>
  <c r="C36" i="7"/>
  <c r="C40" i="7"/>
  <c r="C43" i="7"/>
  <c r="C47" i="7"/>
  <c r="C35" i="7"/>
  <c r="C39" i="7"/>
  <c r="C42" i="7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41" i="6"/>
  <c r="H4" i="6"/>
  <c r="I4" i="6" s="1"/>
  <c r="C37" i="6"/>
  <c r="C5" i="6"/>
  <c r="C6" i="6"/>
  <c r="C7" i="6"/>
  <c r="C8" i="6"/>
  <c r="C9" i="6"/>
  <c r="C10" i="6"/>
  <c r="C11" i="6"/>
  <c r="C12" i="6"/>
  <c r="C13" i="6"/>
  <c r="C14" i="6"/>
  <c r="C15" i="6"/>
  <c r="C16" i="6"/>
  <c r="C17" i="6"/>
  <c r="C18" i="6"/>
  <c r="C19" i="6"/>
  <c r="C20" i="6"/>
  <c r="C21" i="6"/>
  <c r="C22" i="6"/>
  <c r="C23" i="6"/>
  <c r="C24" i="6"/>
  <c r="C25" i="6"/>
  <c r="C26" i="6"/>
  <c r="C27" i="6"/>
  <c r="C28" i="6"/>
  <c r="C29" i="6"/>
  <c r="C30" i="6"/>
  <c r="C31" i="6"/>
  <c r="C32" i="6"/>
  <c r="C33" i="6"/>
  <c r="C34" i="6"/>
  <c r="C38" i="6"/>
  <c r="C45" i="6"/>
  <c r="E5" i="6"/>
  <c r="I5" i="6" s="1"/>
  <c r="C44" i="6"/>
  <c r="C36" i="6"/>
  <c r="C40" i="6"/>
  <c r="D40" i="6" s="1"/>
  <c r="C43" i="6"/>
  <c r="C47" i="6"/>
  <c r="D47" i="6" s="1"/>
  <c r="C35" i="6"/>
  <c r="C42" i="6"/>
  <c r="E7" i="15" l="1"/>
  <c r="D7" i="15" s="1"/>
  <c r="G7" i="15" s="1"/>
  <c r="F8" i="15" s="1"/>
  <c r="E8" i="15" s="1"/>
  <c r="H7" i="15"/>
  <c r="I6" i="15"/>
  <c r="E150" i="54"/>
  <c r="D150" i="54" s="1"/>
  <c r="G150" i="54" s="1"/>
  <c r="F151" i="54" s="1"/>
  <c r="H150" i="54"/>
  <c r="D287" i="40"/>
  <c r="G287" i="40" s="1"/>
  <c r="F288" i="40" s="1"/>
  <c r="E288" i="40" s="1"/>
  <c r="D56" i="40"/>
  <c r="G56" i="40" s="1"/>
  <c r="F57" i="40" s="1"/>
  <c r="E57" i="40" s="1"/>
  <c r="I55" i="40"/>
  <c r="I279" i="31"/>
  <c r="E280" i="31"/>
  <c r="D280" i="31" s="1"/>
  <c r="G280" i="31" s="1"/>
  <c r="F281" i="31" s="1"/>
  <c r="H280" i="31"/>
  <c r="E46" i="31"/>
  <c r="D46" i="31" s="1"/>
  <c r="G46" i="31" s="1"/>
  <c r="F47" i="31" s="1"/>
  <c r="H46" i="31"/>
  <c r="I45" i="31"/>
  <c r="H8" i="18"/>
  <c r="I8" i="18" s="1"/>
  <c r="H7" i="18"/>
  <c r="I7" i="18" s="1"/>
  <c r="I6" i="18"/>
  <c r="E9" i="18"/>
  <c r="D9" i="18" s="1"/>
  <c r="G9" i="18" s="1"/>
  <c r="F10" i="18" s="1"/>
  <c r="H9" i="18"/>
  <c r="H8" i="15"/>
  <c r="D8" i="15"/>
  <c r="G8" i="15" s="1"/>
  <c r="F9" i="15" s="1"/>
  <c r="E9" i="15" s="1"/>
  <c r="I7" i="15"/>
  <c r="E8" i="14"/>
  <c r="D8" i="14" s="1"/>
  <c r="G8" i="14" s="1"/>
  <c r="F9" i="14" s="1"/>
  <c r="H8" i="14"/>
  <c r="I7" i="14"/>
  <c r="I6" i="13"/>
  <c r="E7" i="13"/>
  <c r="D7" i="13" s="1"/>
  <c r="G7" i="13" s="1"/>
  <c r="F8" i="13" s="1"/>
  <c r="E8" i="13" s="1"/>
  <c r="D8" i="13" s="1"/>
  <c r="G8" i="13" s="1"/>
  <c r="F9" i="13" s="1"/>
  <c r="H6" i="9"/>
  <c r="I6" i="9" s="1"/>
  <c r="E7" i="9"/>
  <c r="D7" i="9" s="1"/>
  <c r="G7" i="9" s="1"/>
  <c r="F8" i="9" s="1"/>
  <c r="H7" i="9"/>
  <c r="H7" i="10"/>
  <c r="E7" i="10"/>
  <c r="D7" i="10" s="1"/>
  <c r="G7" i="10" s="1"/>
  <c r="F8" i="10" s="1"/>
  <c r="I6" i="10"/>
  <c r="I5" i="7"/>
  <c r="D5" i="7"/>
  <c r="G5" i="7" s="1"/>
  <c r="F6" i="7" s="1"/>
  <c r="E6" i="7" s="1"/>
  <c r="D5" i="6"/>
  <c r="G5" i="6" s="1"/>
  <c r="F6" i="6" s="1"/>
  <c r="E6" i="6" s="1"/>
  <c r="D6" i="6" s="1"/>
  <c r="G6" i="6" s="1"/>
  <c r="F7" i="6" s="1"/>
  <c r="I150" i="54" l="1"/>
  <c r="E151" i="54"/>
  <c r="D151" i="54" s="1"/>
  <c r="G151" i="54" s="1"/>
  <c r="F152" i="54" s="1"/>
  <c r="H151" i="54"/>
  <c r="I280" i="31"/>
  <c r="I56" i="40"/>
  <c r="D57" i="40"/>
  <c r="G57" i="40" s="1"/>
  <c r="F58" i="40" s="1"/>
  <c r="E58" i="40" s="1"/>
  <c r="I57" i="40"/>
  <c r="D288" i="40"/>
  <c r="G288" i="40" s="1"/>
  <c r="F289" i="40" s="1"/>
  <c r="E289" i="40" s="1"/>
  <c r="E281" i="31"/>
  <c r="D281" i="31" s="1"/>
  <c r="G281" i="31" s="1"/>
  <c r="F282" i="31" s="1"/>
  <c r="H281" i="31"/>
  <c r="I46" i="31"/>
  <c r="E47" i="31"/>
  <c r="D47" i="31" s="1"/>
  <c r="G47" i="31" s="1"/>
  <c r="F48" i="31" s="1"/>
  <c r="H47" i="31"/>
  <c r="E10" i="18"/>
  <c r="D10" i="18" s="1"/>
  <c r="G10" i="18" s="1"/>
  <c r="F11" i="18" s="1"/>
  <c r="H10" i="18"/>
  <c r="I9" i="18"/>
  <c r="H9" i="15"/>
  <c r="D9" i="15"/>
  <c r="G9" i="15" s="1"/>
  <c r="F10" i="15" s="1"/>
  <c r="E10" i="15" s="1"/>
  <c r="I8" i="15"/>
  <c r="E9" i="14"/>
  <c r="D9" i="14" s="1"/>
  <c r="G9" i="14" s="1"/>
  <c r="F10" i="14" s="1"/>
  <c r="H9" i="14"/>
  <c r="I8" i="14"/>
  <c r="H8" i="13"/>
  <c r="I8" i="13" s="1"/>
  <c r="I7" i="13"/>
  <c r="H9" i="13"/>
  <c r="E9" i="13"/>
  <c r="D9" i="13" s="1"/>
  <c r="G9" i="13" s="1"/>
  <c r="F10" i="13" s="1"/>
  <c r="E8" i="9"/>
  <c r="D8" i="9" s="1"/>
  <c r="G8" i="9" s="1"/>
  <c r="F9" i="9" s="1"/>
  <c r="H8" i="9"/>
  <c r="I7" i="9"/>
  <c r="H8" i="10"/>
  <c r="E8" i="10"/>
  <c r="D8" i="10" s="1"/>
  <c r="G8" i="10" s="1"/>
  <c r="F9" i="10" s="1"/>
  <c r="I7" i="10"/>
  <c r="H6" i="7"/>
  <c r="I6" i="7" s="1"/>
  <c r="D6" i="7"/>
  <c r="G6" i="7" s="1"/>
  <c r="F7" i="7" s="1"/>
  <c r="E7" i="7" s="1"/>
  <c r="H6" i="6"/>
  <c r="I6" i="6" s="1"/>
  <c r="H7" i="6"/>
  <c r="E7" i="6"/>
  <c r="D7" i="6" s="1"/>
  <c r="G7" i="6" s="1"/>
  <c r="F8" i="6" s="1"/>
  <c r="I151" i="54" l="1"/>
  <c r="E152" i="54"/>
  <c r="D152" i="54" s="1"/>
  <c r="G152" i="54" s="1"/>
  <c r="F153" i="54" s="1"/>
  <c r="H152" i="54"/>
  <c r="D289" i="40"/>
  <c r="G289" i="40" s="1"/>
  <c r="F290" i="40" s="1"/>
  <c r="E290" i="40" s="1"/>
  <c r="D58" i="40"/>
  <c r="G58" i="40" s="1"/>
  <c r="F59" i="40" s="1"/>
  <c r="E59" i="40" s="1"/>
  <c r="I281" i="31"/>
  <c r="E282" i="31"/>
  <c r="D282" i="31" s="1"/>
  <c r="G282" i="31" s="1"/>
  <c r="F283" i="31" s="1"/>
  <c r="H282" i="31"/>
  <c r="H48" i="31"/>
  <c r="E48" i="31"/>
  <c r="D48" i="31" s="1"/>
  <c r="G48" i="31" s="1"/>
  <c r="F49" i="31" s="1"/>
  <c r="I47" i="31"/>
  <c r="E11" i="18"/>
  <c r="D11" i="18" s="1"/>
  <c r="G11" i="18" s="1"/>
  <c r="F12" i="18" s="1"/>
  <c r="H11" i="18"/>
  <c r="I10" i="18"/>
  <c r="H10" i="15"/>
  <c r="D10" i="15"/>
  <c r="G10" i="15" s="1"/>
  <c r="F11" i="15" s="1"/>
  <c r="E11" i="15" s="1"/>
  <c r="I9" i="15"/>
  <c r="E10" i="14"/>
  <c r="D10" i="14" s="1"/>
  <c r="G10" i="14" s="1"/>
  <c r="F11" i="14" s="1"/>
  <c r="H10" i="14"/>
  <c r="I9" i="14"/>
  <c r="H10" i="13"/>
  <c r="E10" i="13"/>
  <c r="D10" i="13" s="1"/>
  <c r="G10" i="13" s="1"/>
  <c r="F11" i="13" s="1"/>
  <c r="I9" i="13"/>
  <c r="I8" i="9"/>
  <c r="E9" i="9"/>
  <c r="D9" i="9" s="1"/>
  <c r="G9" i="9" s="1"/>
  <c r="F10" i="9" s="1"/>
  <c r="H9" i="9"/>
  <c r="H9" i="10"/>
  <c r="E9" i="10"/>
  <c r="D9" i="10" s="1"/>
  <c r="G9" i="10" s="1"/>
  <c r="F10" i="10" s="1"/>
  <c r="I8" i="10"/>
  <c r="D7" i="7"/>
  <c r="G7" i="7" s="1"/>
  <c r="F8" i="7" s="1"/>
  <c r="E8" i="7" s="1"/>
  <c r="H7" i="7"/>
  <c r="H8" i="6"/>
  <c r="E8" i="6"/>
  <c r="D8" i="6" s="1"/>
  <c r="G8" i="6" s="1"/>
  <c r="F9" i="6" s="1"/>
  <c r="I7" i="6"/>
  <c r="I152" i="54" l="1"/>
  <c r="E153" i="54"/>
  <c r="D153" i="54" s="1"/>
  <c r="G153" i="54" s="1"/>
  <c r="F154" i="54" s="1"/>
  <c r="H153" i="54"/>
  <c r="I282" i="31"/>
  <c r="I58" i="40"/>
  <c r="D290" i="40"/>
  <c r="G290" i="40" s="1"/>
  <c r="F291" i="40" s="1"/>
  <c r="E291" i="40" s="1"/>
  <c r="D59" i="40"/>
  <c r="G59" i="40" s="1"/>
  <c r="F60" i="40" s="1"/>
  <c r="E60" i="40" s="1"/>
  <c r="E283" i="31"/>
  <c r="D283" i="31" s="1"/>
  <c r="G283" i="31" s="1"/>
  <c r="F284" i="31" s="1"/>
  <c r="H283" i="31"/>
  <c r="H49" i="31"/>
  <c r="E49" i="31"/>
  <c r="D49" i="31" s="1"/>
  <c r="G49" i="31" s="1"/>
  <c r="F50" i="31" s="1"/>
  <c r="I48" i="31"/>
  <c r="E12" i="18"/>
  <c r="D12" i="18" s="1"/>
  <c r="G12" i="18" s="1"/>
  <c r="F13" i="18" s="1"/>
  <c r="H12" i="18"/>
  <c r="I11" i="18"/>
  <c r="D11" i="15"/>
  <c r="G11" i="15" s="1"/>
  <c r="F12" i="15" s="1"/>
  <c r="E12" i="15" s="1"/>
  <c r="I10" i="15"/>
  <c r="H11" i="15"/>
  <c r="E11" i="14"/>
  <c r="D11" i="14" s="1"/>
  <c r="G11" i="14" s="1"/>
  <c r="F12" i="14" s="1"/>
  <c r="H11" i="14"/>
  <c r="I10" i="14"/>
  <c r="I10" i="13"/>
  <c r="H11" i="13"/>
  <c r="E11" i="13"/>
  <c r="D11" i="13" s="1"/>
  <c r="G11" i="13" s="1"/>
  <c r="F12" i="13" s="1"/>
  <c r="I9" i="9"/>
  <c r="H10" i="10"/>
  <c r="E10" i="10"/>
  <c r="D10" i="10" s="1"/>
  <c r="G10" i="10" s="1"/>
  <c r="F11" i="10" s="1"/>
  <c r="E10" i="9"/>
  <c r="D10" i="9" s="1"/>
  <c r="G10" i="9" s="1"/>
  <c r="F11" i="9" s="1"/>
  <c r="H10" i="9"/>
  <c r="I9" i="10"/>
  <c r="D8" i="7"/>
  <c r="G8" i="7" s="1"/>
  <c r="F9" i="7" s="1"/>
  <c r="H8" i="7"/>
  <c r="I7" i="7"/>
  <c r="I8" i="6"/>
  <c r="H9" i="6"/>
  <c r="E9" i="6"/>
  <c r="D9" i="6" s="1"/>
  <c r="G9" i="6" s="1"/>
  <c r="F10" i="6" s="1"/>
  <c r="I153" i="54" l="1"/>
  <c r="E154" i="54"/>
  <c r="D154" i="54" s="1"/>
  <c r="G154" i="54" s="1"/>
  <c r="F155" i="54" s="1"/>
  <c r="H154" i="54"/>
  <c r="D291" i="40"/>
  <c r="G291" i="40" s="1"/>
  <c r="F292" i="40" s="1"/>
  <c r="E292" i="40" s="1"/>
  <c r="D60" i="40"/>
  <c r="G60" i="40" s="1"/>
  <c r="F61" i="40" s="1"/>
  <c r="E61" i="40" s="1"/>
  <c r="I60" i="40"/>
  <c r="I59" i="40"/>
  <c r="I49" i="31"/>
  <c r="I283" i="31"/>
  <c r="E284" i="31"/>
  <c r="D284" i="31" s="1"/>
  <c r="G284" i="31" s="1"/>
  <c r="F285" i="31" s="1"/>
  <c r="H284" i="31"/>
  <c r="E50" i="31"/>
  <c r="D50" i="31" s="1"/>
  <c r="G50" i="31" s="1"/>
  <c r="F51" i="31" s="1"/>
  <c r="H50" i="31"/>
  <c r="I50" i="31" s="1"/>
  <c r="E13" i="18"/>
  <c r="D13" i="18" s="1"/>
  <c r="G13" i="18" s="1"/>
  <c r="H13" i="18"/>
  <c r="I12" i="18"/>
  <c r="I11" i="15"/>
  <c r="D12" i="15"/>
  <c r="G12" i="15" s="1"/>
  <c r="F13" i="15" s="1"/>
  <c r="E13" i="15" s="1"/>
  <c r="H12" i="15"/>
  <c r="E12" i="14"/>
  <c r="D12" i="14" s="1"/>
  <c r="G12" i="14" s="1"/>
  <c r="F13" i="14" s="1"/>
  <c r="H12" i="14"/>
  <c r="I11" i="14"/>
  <c r="I11" i="13"/>
  <c r="H12" i="13"/>
  <c r="E12" i="13"/>
  <c r="D12" i="13" s="1"/>
  <c r="G12" i="13" s="1"/>
  <c r="F13" i="13" s="1"/>
  <c r="H11" i="10"/>
  <c r="E11" i="10"/>
  <c r="D11" i="10" s="1"/>
  <c r="G11" i="10" s="1"/>
  <c r="F12" i="10" s="1"/>
  <c r="I10" i="10"/>
  <c r="I10" i="9"/>
  <c r="E11" i="9"/>
  <c r="D11" i="9" s="1"/>
  <c r="G11" i="9" s="1"/>
  <c r="F12" i="9" s="1"/>
  <c r="H11" i="9"/>
  <c r="E9" i="7"/>
  <c r="D9" i="7" s="1"/>
  <c r="G9" i="7" s="1"/>
  <c r="F10" i="7" s="1"/>
  <c r="E10" i="7" s="1"/>
  <c r="D10" i="7" s="1"/>
  <c r="G10" i="7" s="1"/>
  <c r="F11" i="7" s="1"/>
  <c r="E11" i="7" s="1"/>
  <c r="I8" i="7"/>
  <c r="H9" i="7"/>
  <c r="H10" i="6"/>
  <c r="E10" i="6"/>
  <c r="D10" i="6" s="1"/>
  <c r="G10" i="6" s="1"/>
  <c r="F11" i="6" s="1"/>
  <c r="I9" i="6"/>
  <c r="I154" i="54" l="1"/>
  <c r="E155" i="54"/>
  <c r="D155" i="54" s="1"/>
  <c r="G155" i="54" s="1"/>
  <c r="F156" i="54" s="1"/>
  <c r="H155" i="54"/>
  <c r="D292" i="40"/>
  <c r="G292" i="40" s="1"/>
  <c r="F293" i="40" s="1"/>
  <c r="E293" i="40" s="1"/>
  <c r="D61" i="40"/>
  <c r="G61" i="40" s="1"/>
  <c r="F62" i="40" s="1"/>
  <c r="E62" i="40" s="1"/>
  <c r="I284" i="31"/>
  <c r="E285" i="31"/>
  <c r="D285" i="31" s="1"/>
  <c r="G285" i="31" s="1"/>
  <c r="F286" i="31" s="1"/>
  <c r="H285" i="31"/>
  <c r="E51" i="31"/>
  <c r="D51" i="31" s="1"/>
  <c r="G51" i="31" s="1"/>
  <c r="F52" i="31" s="1"/>
  <c r="H51" i="31"/>
  <c r="F14" i="18"/>
  <c r="I13" i="18"/>
  <c r="H13" i="15"/>
  <c r="D13" i="15"/>
  <c r="G13" i="15" s="1"/>
  <c r="F14" i="15" s="1"/>
  <c r="E14" i="15" s="1"/>
  <c r="I12" i="15"/>
  <c r="E13" i="14"/>
  <c r="D13" i="14" s="1"/>
  <c r="G13" i="14" s="1"/>
  <c r="F14" i="14" s="1"/>
  <c r="H13" i="14"/>
  <c r="I12" i="14"/>
  <c r="H13" i="13"/>
  <c r="E13" i="13"/>
  <c r="D13" i="13" s="1"/>
  <c r="G13" i="13" s="1"/>
  <c r="F14" i="13" s="1"/>
  <c r="I12" i="13"/>
  <c r="I11" i="10"/>
  <c r="I11" i="9"/>
  <c r="H12" i="10"/>
  <c r="E12" i="10"/>
  <c r="D12" i="10" s="1"/>
  <c r="G12" i="10" s="1"/>
  <c r="F13" i="10" s="1"/>
  <c r="E12" i="9"/>
  <c r="D12" i="9" s="1"/>
  <c r="G12" i="9" s="1"/>
  <c r="F13" i="9" s="1"/>
  <c r="H12" i="9"/>
  <c r="I9" i="7"/>
  <c r="H10" i="7"/>
  <c r="I10" i="7" s="1"/>
  <c r="H11" i="7"/>
  <c r="D11" i="7"/>
  <c r="G11" i="7" s="1"/>
  <c r="F12" i="7" s="1"/>
  <c r="E12" i="7" s="1"/>
  <c r="H11" i="6"/>
  <c r="E11" i="6"/>
  <c r="D11" i="6" s="1"/>
  <c r="G11" i="6" s="1"/>
  <c r="F12" i="6" s="1"/>
  <c r="I10" i="6"/>
  <c r="I155" i="54" l="1"/>
  <c r="E156" i="54"/>
  <c r="D156" i="54" s="1"/>
  <c r="G156" i="54" s="1"/>
  <c r="F157" i="54" s="1"/>
  <c r="H156" i="54"/>
  <c r="I156" i="54" s="1"/>
  <c r="I285" i="31"/>
  <c r="D62" i="40"/>
  <c r="G62" i="40" s="1"/>
  <c r="F63" i="40" s="1"/>
  <c r="E63" i="40" s="1"/>
  <c r="D293" i="40"/>
  <c r="G293" i="40" s="1"/>
  <c r="F294" i="40" s="1"/>
  <c r="E294" i="40" s="1"/>
  <c r="I61" i="40"/>
  <c r="E286" i="31"/>
  <c r="D286" i="31" s="1"/>
  <c r="G286" i="31" s="1"/>
  <c r="F287" i="31" s="1"/>
  <c r="H286" i="31"/>
  <c r="E52" i="31"/>
  <c r="D52" i="31" s="1"/>
  <c r="G52" i="31" s="1"/>
  <c r="F53" i="31" s="1"/>
  <c r="H52" i="31"/>
  <c r="I51" i="31"/>
  <c r="E14" i="18"/>
  <c r="D14" i="18" s="1"/>
  <c r="G14" i="18" s="1"/>
  <c r="H14" i="18"/>
  <c r="H14" i="15"/>
  <c r="D14" i="15"/>
  <c r="G14" i="15" s="1"/>
  <c r="F15" i="15" s="1"/>
  <c r="E15" i="15" s="1"/>
  <c r="I13" i="15"/>
  <c r="I13" i="14"/>
  <c r="E14" i="14"/>
  <c r="D14" i="14" s="1"/>
  <c r="G14" i="14" s="1"/>
  <c r="F15" i="14" s="1"/>
  <c r="H14" i="14"/>
  <c r="H14" i="13"/>
  <c r="E14" i="13"/>
  <c r="D14" i="13" s="1"/>
  <c r="G14" i="13" s="1"/>
  <c r="F15" i="13" s="1"/>
  <c r="I13" i="13"/>
  <c r="I12" i="10"/>
  <c r="I12" i="9"/>
  <c r="H13" i="10"/>
  <c r="E13" i="10"/>
  <c r="D13" i="10" s="1"/>
  <c r="G13" i="10" s="1"/>
  <c r="F14" i="10" s="1"/>
  <c r="E13" i="9"/>
  <c r="D13" i="9" s="1"/>
  <c r="G13" i="9" s="1"/>
  <c r="F14" i="9" s="1"/>
  <c r="H13" i="9"/>
  <c r="H12" i="7"/>
  <c r="D12" i="7"/>
  <c r="G12" i="7" s="1"/>
  <c r="F13" i="7" s="1"/>
  <c r="E13" i="7" s="1"/>
  <c r="I11" i="7"/>
  <c r="I11" i="6"/>
  <c r="H12" i="6"/>
  <c r="E12" i="6"/>
  <c r="D12" i="6" s="1"/>
  <c r="G12" i="6" s="1"/>
  <c r="F13" i="6" s="1"/>
  <c r="E157" i="54" l="1"/>
  <c r="D157" i="54" s="1"/>
  <c r="G157" i="54" s="1"/>
  <c r="F158" i="54" s="1"/>
  <c r="H157" i="54"/>
  <c r="I52" i="31"/>
  <c r="I62" i="40"/>
  <c r="D294" i="40"/>
  <c r="G294" i="40" s="1"/>
  <c r="F295" i="40" s="1"/>
  <c r="E295" i="40" s="1"/>
  <c r="D63" i="40"/>
  <c r="G63" i="40" s="1"/>
  <c r="F64" i="40" s="1"/>
  <c r="E64" i="40" s="1"/>
  <c r="E287" i="31"/>
  <c r="D287" i="31" s="1"/>
  <c r="G287" i="31" s="1"/>
  <c r="F288" i="31" s="1"/>
  <c r="H287" i="31"/>
  <c r="I286" i="31"/>
  <c r="E53" i="31"/>
  <c r="D53" i="31" s="1"/>
  <c r="G53" i="31" s="1"/>
  <c r="F54" i="31" s="1"/>
  <c r="H53" i="31"/>
  <c r="F15" i="18"/>
  <c r="I14" i="18"/>
  <c r="D15" i="15"/>
  <c r="G15" i="15" s="1"/>
  <c r="F16" i="15" s="1"/>
  <c r="E16" i="15" s="1"/>
  <c r="H15" i="15"/>
  <c r="I14" i="15"/>
  <c r="I14" i="14"/>
  <c r="E15" i="14"/>
  <c r="D15" i="14" s="1"/>
  <c r="G15" i="14" s="1"/>
  <c r="F16" i="14" s="1"/>
  <c r="H15" i="14"/>
  <c r="I14" i="13"/>
  <c r="H15" i="13"/>
  <c r="E15" i="13"/>
  <c r="D15" i="13" s="1"/>
  <c r="G15" i="13" s="1"/>
  <c r="F16" i="13" s="1"/>
  <c r="I13" i="10"/>
  <c r="E14" i="9"/>
  <c r="D14" i="9" s="1"/>
  <c r="G14" i="9" s="1"/>
  <c r="F15" i="9" s="1"/>
  <c r="H14" i="9"/>
  <c r="I14" i="9" s="1"/>
  <c r="H14" i="10"/>
  <c r="E14" i="10"/>
  <c r="D14" i="10" s="1"/>
  <c r="G14" i="10" s="1"/>
  <c r="F15" i="10" s="1"/>
  <c r="I13" i="9"/>
  <c r="I12" i="7"/>
  <c r="H13" i="7"/>
  <c r="D13" i="7"/>
  <c r="G13" i="7" s="1"/>
  <c r="F14" i="7" s="1"/>
  <c r="E14" i="7" s="1"/>
  <c r="I12" i="6"/>
  <c r="H13" i="6"/>
  <c r="E13" i="6"/>
  <c r="D13" i="6" s="1"/>
  <c r="G13" i="6" s="1"/>
  <c r="I157" i="54" l="1"/>
  <c r="H158" i="54"/>
  <c r="E158" i="54"/>
  <c r="D158" i="54" s="1"/>
  <c r="G158" i="54" s="1"/>
  <c r="F159" i="54" s="1"/>
  <c r="I53" i="31"/>
  <c r="D295" i="40"/>
  <c r="G295" i="40" s="1"/>
  <c r="F296" i="40" s="1"/>
  <c r="E296" i="40" s="1"/>
  <c r="D64" i="40"/>
  <c r="G64" i="40" s="1"/>
  <c r="F65" i="40" s="1"/>
  <c r="E65" i="40" s="1"/>
  <c r="I63" i="40"/>
  <c r="E288" i="31"/>
  <c r="D288" i="31" s="1"/>
  <c r="G288" i="31" s="1"/>
  <c r="F289" i="31" s="1"/>
  <c r="H288" i="31"/>
  <c r="I287" i="31"/>
  <c r="E54" i="31"/>
  <c r="D54" i="31" s="1"/>
  <c r="G54" i="31" s="1"/>
  <c r="F55" i="31" s="1"/>
  <c r="H54" i="31"/>
  <c r="E15" i="18"/>
  <c r="D15" i="18" s="1"/>
  <c r="G15" i="18" s="1"/>
  <c r="F16" i="18" s="1"/>
  <c r="H15" i="18"/>
  <c r="D16" i="15"/>
  <c r="G16" i="15" s="1"/>
  <c r="F17" i="15" s="1"/>
  <c r="H16" i="15"/>
  <c r="I16" i="15" s="1"/>
  <c r="I15" i="15"/>
  <c r="I15" i="14"/>
  <c r="E16" i="14"/>
  <c r="D16" i="14" s="1"/>
  <c r="G16" i="14" s="1"/>
  <c r="F17" i="14" s="1"/>
  <c r="H16" i="14"/>
  <c r="I15" i="13"/>
  <c r="H16" i="13"/>
  <c r="E16" i="13"/>
  <c r="D16" i="13" s="1"/>
  <c r="G16" i="13" s="1"/>
  <c r="F17" i="13" s="1"/>
  <c r="H15" i="10"/>
  <c r="E15" i="10"/>
  <c r="D15" i="10" s="1"/>
  <c r="G15" i="10" s="1"/>
  <c r="F16" i="10" s="1"/>
  <c r="E15" i="9"/>
  <c r="D15" i="9" s="1"/>
  <c r="G15" i="9" s="1"/>
  <c r="F16" i="9" s="1"/>
  <c r="H15" i="9"/>
  <c r="I14" i="10"/>
  <c r="H14" i="7"/>
  <c r="D14" i="7"/>
  <c r="G14" i="7" s="1"/>
  <c r="F15" i="7" s="1"/>
  <c r="E15" i="7" s="1"/>
  <c r="I13" i="7"/>
  <c r="I13" i="6"/>
  <c r="F14" i="6"/>
  <c r="H159" i="54" l="1"/>
  <c r="E159" i="54"/>
  <c r="D159" i="54" s="1"/>
  <c r="G159" i="54" s="1"/>
  <c r="F160" i="54" s="1"/>
  <c r="I158" i="54"/>
  <c r="D296" i="40"/>
  <c r="G296" i="40" s="1"/>
  <c r="F297" i="40" s="1"/>
  <c r="E297" i="40" s="1"/>
  <c r="D65" i="40"/>
  <c r="G65" i="40" s="1"/>
  <c r="F66" i="40" s="1"/>
  <c r="E66" i="40" s="1"/>
  <c r="I64" i="40"/>
  <c r="E289" i="31"/>
  <c r="D289" i="31" s="1"/>
  <c r="G289" i="31" s="1"/>
  <c r="F290" i="31" s="1"/>
  <c r="H289" i="31"/>
  <c r="I54" i="31"/>
  <c r="I288" i="31"/>
  <c r="E55" i="31"/>
  <c r="D55" i="31" s="1"/>
  <c r="G55" i="31" s="1"/>
  <c r="F56" i="31" s="1"/>
  <c r="H55" i="31"/>
  <c r="I55" i="31" s="1"/>
  <c r="E16" i="18"/>
  <c r="D16" i="18" s="1"/>
  <c r="G16" i="18" s="1"/>
  <c r="F17" i="18" s="1"/>
  <c r="H16" i="18"/>
  <c r="I15" i="18"/>
  <c r="E17" i="15"/>
  <c r="D17" i="15" s="1"/>
  <c r="G17" i="15" s="1"/>
  <c r="F18" i="15" s="1"/>
  <c r="H17" i="15"/>
  <c r="I16" i="14"/>
  <c r="E17" i="14"/>
  <c r="D17" i="14" s="1"/>
  <c r="G17" i="14" s="1"/>
  <c r="F18" i="14" s="1"/>
  <c r="H17" i="14"/>
  <c r="H17" i="13"/>
  <c r="E17" i="13"/>
  <c r="D17" i="13" s="1"/>
  <c r="G17" i="13" s="1"/>
  <c r="F18" i="13" s="1"/>
  <c r="I16" i="13"/>
  <c r="I15" i="10"/>
  <c r="E16" i="9"/>
  <c r="D16" i="9" s="1"/>
  <c r="G16" i="9" s="1"/>
  <c r="F17" i="9" s="1"/>
  <c r="H16" i="9"/>
  <c r="H16" i="10"/>
  <c r="I16" i="10" s="1"/>
  <c r="E16" i="10"/>
  <c r="D16" i="10" s="1"/>
  <c r="G16" i="10" s="1"/>
  <c r="F17" i="10" s="1"/>
  <c r="I15" i="9"/>
  <c r="H15" i="7"/>
  <c r="D15" i="7"/>
  <c r="G15" i="7" s="1"/>
  <c r="F16" i="7" s="1"/>
  <c r="E16" i="7" s="1"/>
  <c r="I14" i="7"/>
  <c r="H14" i="6"/>
  <c r="E14" i="6"/>
  <c r="D14" i="6" s="1"/>
  <c r="G14" i="6" s="1"/>
  <c r="H160" i="54" l="1"/>
  <c r="E160" i="54"/>
  <c r="D160" i="54" s="1"/>
  <c r="G160" i="54" s="1"/>
  <c r="F161" i="54" s="1"/>
  <c r="I159" i="54"/>
  <c r="I65" i="40"/>
  <c r="D297" i="40"/>
  <c r="G297" i="40" s="1"/>
  <c r="F298" i="40" s="1"/>
  <c r="E298" i="40" s="1"/>
  <c r="D66" i="40"/>
  <c r="G66" i="40" s="1"/>
  <c r="F67" i="40" s="1"/>
  <c r="E67" i="40" s="1"/>
  <c r="E290" i="31"/>
  <c r="D290" i="31" s="1"/>
  <c r="G290" i="31" s="1"/>
  <c r="F291" i="31" s="1"/>
  <c r="H290" i="31"/>
  <c r="I289" i="31"/>
  <c r="H56" i="31"/>
  <c r="E56" i="31"/>
  <c r="D56" i="31" s="1"/>
  <c r="G56" i="31" s="1"/>
  <c r="F57" i="31" s="1"/>
  <c r="E17" i="18"/>
  <c r="D17" i="18" s="1"/>
  <c r="G17" i="18" s="1"/>
  <c r="F18" i="18" s="1"/>
  <c r="H17" i="18"/>
  <c r="I16" i="18"/>
  <c r="E18" i="15"/>
  <c r="D18" i="15" s="1"/>
  <c r="G18" i="15" s="1"/>
  <c r="F19" i="15" s="1"/>
  <c r="E19" i="15" s="1"/>
  <c r="D19" i="15" s="1"/>
  <c r="G19" i="15" s="1"/>
  <c r="F20" i="15" s="1"/>
  <c r="E20" i="15" s="1"/>
  <c r="H18" i="15"/>
  <c r="I17" i="15"/>
  <c r="E18" i="14"/>
  <c r="D18" i="14" s="1"/>
  <c r="G18" i="14" s="1"/>
  <c r="F19" i="14" s="1"/>
  <c r="H18" i="14"/>
  <c r="I17" i="14"/>
  <c r="I17" i="13"/>
  <c r="H18" i="13"/>
  <c r="E18" i="13"/>
  <c r="D18" i="13" s="1"/>
  <c r="G18" i="13" s="1"/>
  <c r="F19" i="13" s="1"/>
  <c r="I16" i="9"/>
  <c r="H17" i="10"/>
  <c r="E17" i="10"/>
  <c r="D17" i="10" s="1"/>
  <c r="G17" i="10" s="1"/>
  <c r="F18" i="10" s="1"/>
  <c r="E17" i="9"/>
  <c r="D17" i="9" s="1"/>
  <c r="G17" i="9" s="1"/>
  <c r="F18" i="9" s="1"/>
  <c r="H17" i="9"/>
  <c r="H16" i="7"/>
  <c r="D16" i="7"/>
  <c r="G16" i="7" s="1"/>
  <c r="F17" i="7" s="1"/>
  <c r="E17" i="7" s="1"/>
  <c r="I15" i="7"/>
  <c r="F15" i="6"/>
  <c r="I14" i="6"/>
  <c r="I18" i="15" l="1"/>
  <c r="H161" i="54"/>
  <c r="E161" i="54"/>
  <c r="D161" i="54" s="1"/>
  <c r="G161" i="54" s="1"/>
  <c r="F162" i="54" s="1"/>
  <c r="I160" i="54"/>
  <c r="I66" i="40"/>
  <c r="D298" i="40"/>
  <c r="G298" i="40" s="1"/>
  <c r="F299" i="40" s="1"/>
  <c r="E299" i="40" s="1"/>
  <c r="D67" i="40"/>
  <c r="G67" i="40" s="1"/>
  <c r="F68" i="40" s="1"/>
  <c r="E68" i="40" s="1"/>
  <c r="E291" i="31"/>
  <c r="D291" i="31" s="1"/>
  <c r="G291" i="31" s="1"/>
  <c r="F292" i="31" s="1"/>
  <c r="H291" i="31"/>
  <c r="I290" i="31"/>
  <c r="H57" i="31"/>
  <c r="E57" i="31"/>
  <c r="D57" i="31" s="1"/>
  <c r="G57" i="31" s="1"/>
  <c r="F58" i="31" s="1"/>
  <c r="I56" i="31"/>
  <c r="E18" i="18"/>
  <c r="D18" i="18" s="1"/>
  <c r="G18" i="18" s="1"/>
  <c r="F19" i="18" s="1"/>
  <c r="H18" i="18"/>
  <c r="I17" i="18"/>
  <c r="H19" i="15"/>
  <c r="I19" i="15" s="1"/>
  <c r="D20" i="15"/>
  <c r="G20" i="15" s="1"/>
  <c r="F21" i="15" s="1"/>
  <c r="E21" i="15" s="1"/>
  <c r="H20" i="15"/>
  <c r="I18" i="14"/>
  <c r="E19" i="14"/>
  <c r="D19" i="14" s="1"/>
  <c r="G19" i="14" s="1"/>
  <c r="F20" i="14" s="1"/>
  <c r="H19" i="14"/>
  <c r="H19" i="13"/>
  <c r="E19" i="13"/>
  <c r="D19" i="13" s="1"/>
  <c r="G19" i="13" s="1"/>
  <c r="F20" i="13" s="1"/>
  <c r="I18" i="13"/>
  <c r="I17" i="10"/>
  <c r="I17" i="9"/>
  <c r="E18" i="9"/>
  <c r="D18" i="9" s="1"/>
  <c r="G18" i="9" s="1"/>
  <c r="F19" i="9" s="1"/>
  <c r="H18" i="9"/>
  <c r="H18" i="10"/>
  <c r="E18" i="10"/>
  <c r="D18" i="10" s="1"/>
  <c r="G18" i="10" s="1"/>
  <c r="F19" i="10" s="1"/>
  <c r="H17" i="7"/>
  <c r="D17" i="7"/>
  <c r="G17" i="7" s="1"/>
  <c r="F18" i="7" s="1"/>
  <c r="E18" i="7" s="1"/>
  <c r="I16" i="7"/>
  <c r="H15" i="6"/>
  <c r="E15" i="6"/>
  <c r="D15" i="6" s="1"/>
  <c r="G15" i="6" s="1"/>
  <c r="F16" i="6" s="1"/>
  <c r="H162" i="54" l="1"/>
  <c r="E162" i="54"/>
  <c r="D162" i="54" s="1"/>
  <c r="G162" i="54" s="1"/>
  <c r="F163" i="54" s="1"/>
  <c r="I161" i="54"/>
  <c r="I67" i="40"/>
  <c r="D299" i="40"/>
  <c r="G299" i="40" s="1"/>
  <c r="F300" i="40" s="1"/>
  <c r="E300" i="40" s="1"/>
  <c r="D68" i="40"/>
  <c r="G68" i="40" s="1"/>
  <c r="F69" i="40" s="1"/>
  <c r="E69" i="40" s="1"/>
  <c r="E292" i="31"/>
  <c r="D292" i="31" s="1"/>
  <c r="G292" i="31" s="1"/>
  <c r="F293" i="31" s="1"/>
  <c r="H292" i="31"/>
  <c r="I291" i="31"/>
  <c r="E58" i="31"/>
  <c r="D58" i="31" s="1"/>
  <c r="G58" i="31" s="1"/>
  <c r="F59" i="31" s="1"/>
  <c r="H58" i="31"/>
  <c r="I57" i="31"/>
  <c r="I18" i="18"/>
  <c r="E19" i="18"/>
  <c r="D19" i="18" s="1"/>
  <c r="G19" i="18" s="1"/>
  <c r="H19" i="18"/>
  <c r="I20" i="15"/>
  <c r="D21" i="15"/>
  <c r="G21" i="15" s="1"/>
  <c r="F22" i="15" s="1"/>
  <c r="E22" i="15" s="1"/>
  <c r="H21" i="15"/>
  <c r="E20" i="14"/>
  <c r="D20" i="14" s="1"/>
  <c r="G20" i="14" s="1"/>
  <c r="F21" i="14" s="1"/>
  <c r="H20" i="14"/>
  <c r="I19" i="14"/>
  <c r="H20" i="13"/>
  <c r="E20" i="13"/>
  <c r="D20" i="13" s="1"/>
  <c r="G20" i="13" s="1"/>
  <c r="F21" i="13" s="1"/>
  <c r="I19" i="13"/>
  <c r="I18" i="9"/>
  <c r="H19" i="10"/>
  <c r="E19" i="10"/>
  <c r="D19" i="10" s="1"/>
  <c r="G19" i="10" s="1"/>
  <c r="F20" i="10" s="1"/>
  <c r="E19" i="9"/>
  <c r="D19" i="9" s="1"/>
  <c r="G19" i="9" s="1"/>
  <c r="F20" i="9" s="1"/>
  <c r="H19" i="9"/>
  <c r="I18" i="10"/>
  <c r="H18" i="7"/>
  <c r="D18" i="7"/>
  <c r="G18" i="7" s="1"/>
  <c r="F19" i="7" s="1"/>
  <c r="E19" i="7" s="1"/>
  <c r="I17" i="7"/>
  <c r="H16" i="6"/>
  <c r="E16" i="6"/>
  <c r="D16" i="6" s="1"/>
  <c r="G16" i="6" s="1"/>
  <c r="F17" i="6" s="1"/>
  <c r="I15" i="6"/>
  <c r="H163" i="54" l="1"/>
  <c r="E163" i="54"/>
  <c r="D163" i="54" s="1"/>
  <c r="G163" i="54" s="1"/>
  <c r="F164" i="54" s="1"/>
  <c r="I162" i="54"/>
  <c r="I292" i="31"/>
  <c r="I68" i="40"/>
  <c r="D69" i="40"/>
  <c r="G69" i="40" s="1"/>
  <c r="F70" i="40" s="1"/>
  <c r="E70" i="40" s="1"/>
  <c r="D300" i="40"/>
  <c r="G300" i="40" s="1"/>
  <c r="F301" i="40" s="1"/>
  <c r="E301" i="40" s="1"/>
  <c r="I58" i="31"/>
  <c r="E293" i="31"/>
  <c r="D293" i="31" s="1"/>
  <c r="G293" i="31" s="1"/>
  <c r="F294" i="31" s="1"/>
  <c r="H293" i="31"/>
  <c r="E59" i="31"/>
  <c r="D59" i="31" s="1"/>
  <c r="G59" i="31" s="1"/>
  <c r="F60" i="31" s="1"/>
  <c r="H59" i="31"/>
  <c r="I59" i="31" s="1"/>
  <c r="F20" i="18"/>
  <c r="E20" i="18" s="1"/>
  <c r="D20" i="18" s="1"/>
  <c r="G20" i="18" s="1"/>
  <c r="F40" i="18"/>
  <c r="I19" i="18"/>
  <c r="I21" i="15"/>
  <c r="H22" i="15"/>
  <c r="D22" i="15"/>
  <c r="G22" i="15" s="1"/>
  <c r="F23" i="15" s="1"/>
  <c r="E23" i="15" s="1"/>
  <c r="I20" i="14"/>
  <c r="E21" i="14"/>
  <c r="D21" i="14" s="1"/>
  <c r="G21" i="14" s="1"/>
  <c r="F22" i="14" s="1"/>
  <c r="H21" i="14"/>
  <c r="I20" i="13"/>
  <c r="H21" i="13"/>
  <c r="E21" i="13"/>
  <c r="D21" i="13" s="1"/>
  <c r="G21" i="13" s="1"/>
  <c r="F22" i="13" s="1"/>
  <c r="E20" i="9"/>
  <c r="D20" i="9" s="1"/>
  <c r="G20" i="9" s="1"/>
  <c r="F21" i="9" s="1"/>
  <c r="H20" i="9"/>
  <c r="H20" i="10"/>
  <c r="E20" i="10"/>
  <c r="D20" i="10" s="1"/>
  <c r="G20" i="10" s="1"/>
  <c r="F21" i="10" s="1"/>
  <c r="I19" i="9"/>
  <c r="I19" i="10"/>
  <c r="H19" i="7"/>
  <c r="D19" i="7"/>
  <c r="G19" i="7" s="1"/>
  <c r="F20" i="7" s="1"/>
  <c r="E20" i="7" s="1"/>
  <c r="I18" i="7"/>
  <c r="H17" i="6"/>
  <c r="E17" i="6"/>
  <c r="D17" i="6" s="1"/>
  <c r="G17" i="6" s="1"/>
  <c r="F18" i="6" s="1"/>
  <c r="I16" i="6"/>
  <c r="H164" i="54" l="1"/>
  <c r="E164" i="54"/>
  <c r="D164" i="54" s="1"/>
  <c r="G164" i="54" s="1"/>
  <c r="F165" i="54" s="1"/>
  <c r="I163" i="54"/>
  <c r="I69" i="40"/>
  <c r="D301" i="40"/>
  <c r="G301" i="40" s="1"/>
  <c r="F302" i="40" s="1"/>
  <c r="E302" i="40" s="1"/>
  <c r="D70" i="40"/>
  <c r="G70" i="40" s="1"/>
  <c r="F71" i="40" s="1"/>
  <c r="E71" i="40" s="1"/>
  <c r="I293" i="31"/>
  <c r="E294" i="31"/>
  <c r="D294" i="31" s="1"/>
  <c r="G294" i="31" s="1"/>
  <c r="F295" i="31" s="1"/>
  <c r="H294" i="31"/>
  <c r="H60" i="31"/>
  <c r="E60" i="31"/>
  <c r="D60" i="31" s="1"/>
  <c r="G60" i="31" s="1"/>
  <c r="F61" i="31" s="1"/>
  <c r="F21" i="18"/>
  <c r="F41" i="18"/>
  <c r="H20" i="18"/>
  <c r="I20" i="18" s="1"/>
  <c r="G40" i="18"/>
  <c r="E41" i="18" s="1"/>
  <c r="D41" i="18" s="1"/>
  <c r="G41" i="18" s="1"/>
  <c r="F42" i="18" s="1"/>
  <c r="E42" i="18" s="1"/>
  <c r="D42" i="18" s="1"/>
  <c r="G42" i="18" s="1"/>
  <c r="F43" i="18" s="1"/>
  <c r="E43" i="18" s="1"/>
  <c r="D43" i="18" s="1"/>
  <c r="G43" i="18" s="1"/>
  <c r="F44" i="18" s="1"/>
  <c r="E44" i="18" s="1"/>
  <c r="D44" i="18" s="1"/>
  <c r="G44" i="18" s="1"/>
  <c r="F45" i="18" s="1"/>
  <c r="E45" i="18" s="1"/>
  <c r="D45" i="18" s="1"/>
  <c r="G45" i="18" s="1"/>
  <c r="F46" i="18" s="1"/>
  <c r="E46" i="18" s="1"/>
  <c r="D46" i="18" s="1"/>
  <c r="G46" i="18" s="1"/>
  <c r="F47" i="18" s="1"/>
  <c r="E47" i="18" s="1"/>
  <c r="D47" i="18" s="1"/>
  <c r="G47" i="18" s="1"/>
  <c r="F48" i="18" s="1"/>
  <c r="E48" i="18" s="1"/>
  <c r="E40" i="18"/>
  <c r="D40" i="18" s="1"/>
  <c r="E21" i="18"/>
  <c r="D21" i="18" s="1"/>
  <c r="G21" i="18" s="1"/>
  <c r="F22" i="18" s="1"/>
  <c r="H21" i="18"/>
  <c r="D23" i="15"/>
  <c r="G23" i="15" s="1"/>
  <c r="F24" i="15" s="1"/>
  <c r="E24" i="15" s="1"/>
  <c r="H23" i="15"/>
  <c r="I22" i="15"/>
  <c r="I21" i="14"/>
  <c r="E22" i="14"/>
  <c r="D22" i="14" s="1"/>
  <c r="G22" i="14" s="1"/>
  <c r="F23" i="14" s="1"/>
  <c r="H22" i="14"/>
  <c r="H22" i="13"/>
  <c r="E22" i="13"/>
  <c r="D22" i="13" s="1"/>
  <c r="G22" i="13" s="1"/>
  <c r="F23" i="13" s="1"/>
  <c r="I21" i="13"/>
  <c r="I20" i="9"/>
  <c r="H21" i="10"/>
  <c r="E21" i="10"/>
  <c r="D21" i="10" s="1"/>
  <c r="G21" i="10" s="1"/>
  <c r="F22" i="10" s="1"/>
  <c r="E21" i="9"/>
  <c r="D21" i="9" s="1"/>
  <c r="G21" i="9" s="1"/>
  <c r="F22" i="9" s="1"/>
  <c r="H21" i="9"/>
  <c r="I20" i="10"/>
  <c r="H20" i="7"/>
  <c r="D20" i="7"/>
  <c r="G20" i="7" s="1"/>
  <c r="F21" i="7" s="1"/>
  <c r="E21" i="7" s="1"/>
  <c r="I19" i="7"/>
  <c r="H18" i="6"/>
  <c r="E18" i="6"/>
  <c r="D18" i="6" s="1"/>
  <c r="G18" i="6" s="1"/>
  <c r="F19" i="6" s="1"/>
  <c r="I17" i="6"/>
  <c r="E165" i="54" l="1"/>
  <c r="D165" i="54" s="1"/>
  <c r="G165" i="54" s="1"/>
  <c r="F166" i="54" s="1"/>
  <c r="H165" i="54"/>
  <c r="I165" i="54" s="1"/>
  <c r="I164" i="54"/>
  <c r="I294" i="31"/>
  <c r="I70" i="40"/>
  <c r="D302" i="40"/>
  <c r="G302" i="40" s="1"/>
  <c r="F303" i="40" s="1"/>
  <c r="E303" i="40" s="1"/>
  <c r="D71" i="40"/>
  <c r="G71" i="40" s="1"/>
  <c r="F72" i="40" s="1"/>
  <c r="E72" i="40" s="1"/>
  <c r="E295" i="31"/>
  <c r="D295" i="31" s="1"/>
  <c r="G295" i="31" s="1"/>
  <c r="F296" i="31" s="1"/>
  <c r="H295" i="31"/>
  <c r="E61" i="31"/>
  <c r="D61" i="31" s="1"/>
  <c r="G61" i="31" s="1"/>
  <c r="F62" i="31" s="1"/>
  <c r="H61" i="31"/>
  <c r="I60" i="31"/>
  <c r="I21" i="18"/>
  <c r="D48" i="18"/>
  <c r="G48" i="18" s="1"/>
  <c r="F49" i="18" s="1"/>
  <c r="E49" i="18" s="1"/>
  <c r="E22" i="18"/>
  <c r="D22" i="18" s="1"/>
  <c r="G22" i="18" s="1"/>
  <c r="F23" i="18" s="1"/>
  <c r="H22" i="18"/>
  <c r="D24" i="15"/>
  <c r="G24" i="15" s="1"/>
  <c r="F25" i="15" s="1"/>
  <c r="E25" i="15" s="1"/>
  <c r="H24" i="15"/>
  <c r="I23" i="15"/>
  <c r="I22" i="14"/>
  <c r="E23" i="14"/>
  <c r="D23" i="14" s="1"/>
  <c r="G23" i="14" s="1"/>
  <c r="F24" i="14" s="1"/>
  <c r="H23" i="14"/>
  <c r="H23" i="13"/>
  <c r="E23" i="13"/>
  <c r="D23" i="13" s="1"/>
  <c r="G23" i="13" s="1"/>
  <c r="F24" i="13" s="1"/>
  <c r="I22" i="13"/>
  <c r="I21" i="10"/>
  <c r="E22" i="9"/>
  <c r="D22" i="9" s="1"/>
  <c r="G22" i="9" s="1"/>
  <c r="F23" i="9" s="1"/>
  <c r="H22" i="9"/>
  <c r="H22" i="10"/>
  <c r="E22" i="10"/>
  <c r="D22" i="10" s="1"/>
  <c r="G22" i="10" s="1"/>
  <c r="F23" i="10" s="1"/>
  <c r="I21" i="9"/>
  <c r="H21" i="7"/>
  <c r="D21" i="7"/>
  <c r="G21" i="7" s="1"/>
  <c r="F22" i="7" s="1"/>
  <c r="E22" i="7" s="1"/>
  <c r="I20" i="7"/>
  <c r="I18" i="6"/>
  <c r="H19" i="6"/>
  <c r="E19" i="6"/>
  <c r="D19" i="6" s="1"/>
  <c r="G19" i="6" s="1"/>
  <c r="F20" i="6" s="1"/>
  <c r="E166" i="54" l="1"/>
  <c r="D166" i="54" s="1"/>
  <c r="G166" i="54" s="1"/>
  <c r="F167" i="54" s="1"/>
  <c r="H166" i="54"/>
  <c r="I61" i="31"/>
  <c r="I71" i="40"/>
  <c r="D303" i="40"/>
  <c r="G303" i="40" s="1"/>
  <c r="F304" i="40" s="1"/>
  <c r="E304" i="40" s="1"/>
  <c r="D72" i="40"/>
  <c r="G72" i="40" s="1"/>
  <c r="F73" i="40" s="1"/>
  <c r="E73" i="40" s="1"/>
  <c r="E296" i="31"/>
  <c r="D296" i="31" s="1"/>
  <c r="G296" i="31" s="1"/>
  <c r="F297" i="31" s="1"/>
  <c r="H296" i="31"/>
  <c r="I295" i="31"/>
  <c r="E62" i="31"/>
  <c r="D62" i="31" s="1"/>
  <c r="G62" i="31" s="1"/>
  <c r="F63" i="31" s="1"/>
  <c r="H62" i="31"/>
  <c r="D49" i="18"/>
  <c r="G49" i="18" s="1"/>
  <c r="F50" i="18" s="1"/>
  <c r="E50" i="18" s="1"/>
  <c r="E23" i="18"/>
  <c r="D23" i="18" s="1"/>
  <c r="G23" i="18" s="1"/>
  <c r="F24" i="18" s="1"/>
  <c r="H23" i="18"/>
  <c r="I22" i="18"/>
  <c r="D25" i="15"/>
  <c r="G25" i="15" s="1"/>
  <c r="F26" i="15" s="1"/>
  <c r="E26" i="15" s="1"/>
  <c r="H25" i="15"/>
  <c r="I24" i="15"/>
  <c r="E24" i="14"/>
  <c r="D24" i="14" s="1"/>
  <c r="G24" i="14" s="1"/>
  <c r="F25" i="14" s="1"/>
  <c r="H24" i="14"/>
  <c r="I23" i="14"/>
  <c r="H24" i="13"/>
  <c r="E24" i="13"/>
  <c r="D24" i="13" s="1"/>
  <c r="G24" i="13" s="1"/>
  <c r="F25" i="13" s="1"/>
  <c r="I23" i="13"/>
  <c r="I22" i="10"/>
  <c r="I22" i="9"/>
  <c r="H23" i="10"/>
  <c r="E23" i="10"/>
  <c r="D23" i="10" s="1"/>
  <c r="G23" i="10" s="1"/>
  <c r="F24" i="10" s="1"/>
  <c r="E23" i="9"/>
  <c r="D23" i="9" s="1"/>
  <c r="G23" i="9" s="1"/>
  <c r="F24" i="9" s="1"/>
  <c r="H23" i="9"/>
  <c r="H22" i="7"/>
  <c r="D22" i="7"/>
  <c r="G22" i="7" s="1"/>
  <c r="F23" i="7" s="1"/>
  <c r="E23" i="7" s="1"/>
  <c r="I21" i="7"/>
  <c r="I19" i="6"/>
  <c r="H20" i="6"/>
  <c r="E20" i="6"/>
  <c r="D20" i="6" s="1"/>
  <c r="G20" i="6" s="1"/>
  <c r="F21" i="6" s="1"/>
  <c r="E167" i="54" l="1"/>
  <c r="D167" i="54" s="1"/>
  <c r="G167" i="54" s="1"/>
  <c r="F168" i="54" s="1"/>
  <c r="H167" i="54"/>
  <c r="I167" i="54" s="1"/>
  <c r="I166" i="54"/>
  <c r="I72" i="40"/>
  <c r="D73" i="40"/>
  <c r="G73" i="40" s="1"/>
  <c r="F74" i="40" s="1"/>
  <c r="E74" i="40" s="1"/>
  <c r="D304" i="40"/>
  <c r="G304" i="40" s="1"/>
  <c r="F305" i="40" s="1"/>
  <c r="E305" i="40" s="1"/>
  <c r="I296" i="31"/>
  <c r="E297" i="31"/>
  <c r="D297" i="31" s="1"/>
  <c r="G297" i="31" s="1"/>
  <c r="F298" i="31" s="1"/>
  <c r="H297" i="31"/>
  <c r="I62" i="31"/>
  <c r="H63" i="31"/>
  <c r="E63" i="31"/>
  <c r="D63" i="31" s="1"/>
  <c r="G63" i="31" s="1"/>
  <c r="F64" i="31" s="1"/>
  <c r="D50" i="18"/>
  <c r="G50" i="18" s="1"/>
  <c r="F51" i="18" s="1"/>
  <c r="E51" i="18" s="1"/>
  <c r="E24" i="18"/>
  <c r="D24" i="18" s="1"/>
  <c r="G24" i="18" s="1"/>
  <c r="F25" i="18" s="1"/>
  <c r="H24" i="18"/>
  <c r="I23" i="18"/>
  <c r="I25" i="15"/>
  <c r="D26" i="15"/>
  <c r="G26" i="15" s="1"/>
  <c r="F27" i="15" s="1"/>
  <c r="E27" i="15" s="1"/>
  <c r="H26" i="15"/>
  <c r="I24" i="14"/>
  <c r="E25" i="14"/>
  <c r="D25" i="14" s="1"/>
  <c r="G25" i="14" s="1"/>
  <c r="F26" i="14" s="1"/>
  <c r="H25" i="14"/>
  <c r="I24" i="13"/>
  <c r="H25" i="13"/>
  <c r="E25" i="13"/>
  <c r="D25" i="13" s="1"/>
  <c r="G25" i="13" s="1"/>
  <c r="F26" i="13" s="1"/>
  <c r="I23" i="9"/>
  <c r="E24" i="9"/>
  <c r="D24" i="9" s="1"/>
  <c r="G24" i="9" s="1"/>
  <c r="F25" i="9" s="1"/>
  <c r="H24" i="9"/>
  <c r="H24" i="10"/>
  <c r="E24" i="10"/>
  <c r="D24" i="10" s="1"/>
  <c r="G24" i="10" s="1"/>
  <c r="F25" i="10" s="1"/>
  <c r="I23" i="10"/>
  <c r="H23" i="7"/>
  <c r="D23" i="7"/>
  <c r="G23" i="7" s="1"/>
  <c r="F24" i="7" s="1"/>
  <c r="E24" i="7" s="1"/>
  <c r="I22" i="7"/>
  <c r="I20" i="6"/>
  <c r="H21" i="6"/>
  <c r="E21" i="6"/>
  <c r="D21" i="6" s="1"/>
  <c r="G21" i="6" s="1"/>
  <c r="F22" i="6" s="1"/>
  <c r="H168" i="54" l="1"/>
  <c r="E168" i="54"/>
  <c r="D168" i="54" s="1"/>
  <c r="G168" i="54" s="1"/>
  <c r="F169" i="54" s="1"/>
  <c r="I297" i="31"/>
  <c r="D305" i="40"/>
  <c r="G305" i="40" s="1"/>
  <c r="F306" i="40" s="1"/>
  <c r="E306" i="40" s="1"/>
  <c r="D74" i="40"/>
  <c r="G74" i="40" s="1"/>
  <c r="F75" i="40" s="1"/>
  <c r="E75" i="40" s="1"/>
  <c r="I74" i="40"/>
  <c r="I73" i="40"/>
  <c r="E298" i="31"/>
  <c r="D298" i="31" s="1"/>
  <c r="G298" i="31" s="1"/>
  <c r="F299" i="31" s="1"/>
  <c r="H298" i="31"/>
  <c r="E64" i="31"/>
  <c r="D64" i="31" s="1"/>
  <c r="G64" i="31" s="1"/>
  <c r="F65" i="31" s="1"/>
  <c r="H64" i="31"/>
  <c r="I63" i="31"/>
  <c r="D51" i="18"/>
  <c r="G51" i="18" s="1"/>
  <c r="F52" i="18" s="1"/>
  <c r="E52" i="18" s="1"/>
  <c r="E25" i="18"/>
  <c r="D25" i="18" s="1"/>
  <c r="G25" i="18" s="1"/>
  <c r="F26" i="18" s="1"/>
  <c r="H25" i="18"/>
  <c r="I24" i="18"/>
  <c r="H27" i="15"/>
  <c r="D27" i="15"/>
  <c r="G27" i="15" s="1"/>
  <c r="F28" i="15" s="1"/>
  <c r="E28" i="15" s="1"/>
  <c r="I26" i="15"/>
  <c r="E26" i="14"/>
  <c r="D26" i="14" s="1"/>
  <c r="H26" i="14"/>
  <c r="I26" i="14" s="1"/>
  <c r="G26" i="14"/>
  <c r="F27" i="14" s="1"/>
  <c r="I25" i="14"/>
  <c r="H26" i="13"/>
  <c r="E26" i="13"/>
  <c r="D26" i="13" s="1"/>
  <c r="G26" i="13" s="1"/>
  <c r="F27" i="13" s="1"/>
  <c r="I25" i="13"/>
  <c r="I24" i="9"/>
  <c r="H25" i="10"/>
  <c r="E25" i="10"/>
  <c r="D25" i="10" s="1"/>
  <c r="G25" i="10" s="1"/>
  <c r="F26" i="10" s="1"/>
  <c r="E25" i="9"/>
  <c r="D25" i="9" s="1"/>
  <c r="G25" i="9" s="1"/>
  <c r="F26" i="9" s="1"/>
  <c r="H25" i="9"/>
  <c r="I24" i="10"/>
  <c r="H24" i="7"/>
  <c r="D24" i="7"/>
  <c r="G24" i="7" s="1"/>
  <c r="F25" i="7" s="1"/>
  <c r="E25" i="7" s="1"/>
  <c r="I23" i="7"/>
  <c r="H22" i="6"/>
  <c r="E22" i="6"/>
  <c r="D22" i="6" s="1"/>
  <c r="G22" i="6" s="1"/>
  <c r="F23" i="6" s="1"/>
  <c r="I21" i="6"/>
  <c r="E169" i="54" l="1"/>
  <c r="D169" i="54" s="1"/>
  <c r="G169" i="54" s="1"/>
  <c r="F170" i="54" s="1"/>
  <c r="H169" i="54"/>
  <c r="I169" i="54" s="1"/>
  <c r="I168" i="54"/>
  <c r="I64" i="31"/>
  <c r="D75" i="40"/>
  <c r="G75" i="40" s="1"/>
  <c r="F76" i="40" s="1"/>
  <c r="E76" i="40" s="1"/>
  <c r="I75" i="40"/>
  <c r="D306" i="40"/>
  <c r="G306" i="40" s="1"/>
  <c r="F307" i="40" s="1"/>
  <c r="E307" i="40" s="1"/>
  <c r="I298" i="31"/>
  <c r="E299" i="31"/>
  <c r="D299" i="31" s="1"/>
  <c r="G299" i="31" s="1"/>
  <c r="F300" i="31" s="1"/>
  <c r="H299" i="31"/>
  <c r="E65" i="31"/>
  <c r="D65" i="31" s="1"/>
  <c r="G65" i="31" s="1"/>
  <c r="F66" i="31" s="1"/>
  <c r="H65" i="31"/>
  <c r="I25" i="18"/>
  <c r="E26" i="18"/>
  <c r="D26" i="18" s="1"/>
  <c r="G26" i="18" s="1"/>
  <c r="F27" i="18" s="1"/>
  <c r="H26" i="18"/>
  <c r="D52" i="18"/>
  <c r="G52" i="18" s="1"/>
  <c r="F53" i="18" s="1"/>
  <c r="E53" i="18" s="1"/>
  <c r="D28" i="15"/>
  <c r="G28" i="15" s="1"/>
  <c r="F29" i="15" s="1"/>
  <c r="E29" i="15" s="1"/>
  <c r="H28" i="15"/>
  <c r="I27" i="15"/>
  <c r="E27" i="14"/>
  <c r="D27" i="14" s="1"/>
  <c r="G27" i="14" s="1"/>
  <c r="F28" i="14" s="1"/>
  <c r="H27" i="14"/>
  <c r="I26" i="13"/>
  <c r="H27" i="13"/>
  <c r="E27" i="13"/>
  <c r="D27" i="13" s="1"/>
  <c r="G27" i="13" s="1"/>
  <c r="F28" i="13" s="1"/>
  <c r="I25" i="10"/>
  <c r="I25" i="9"/>
  <c r="E26" i="9"/>
  <c r="D26" i="9" s="1"/>
  <c r="G26" i="9" s="1"/>
  <c r="F27" i="9" s="1"/>
  <c r="H26" i="9"/>
  <c r="H26" i="10"/>
  <c r="E26" i="10"/>
  <c r="D26" i="10" s="1"/>
  <c r="G26" i="10" s="1"/>
  <c r="F27" i="10" s="1"/>
  <c r="H25" i="7"/>
  <c r="D25" i="7"/>
  <c r="G25" i="7" s="1"/>
  <c r="F26" i="7" s="1"/>
  <c r="E26" i="7" s="1"/>
  <c r="I24" i="7"/>
  <c r="H23" i="6"/>
  <c r="E23" i="6"/>
  <c r="D23" i="6" s="1"/>
  <c r="G23" i="6" s="1"/>
  <c r="F24" i="6" s="1"/>
  <c r="I22" i="6"/>
  <c r="H170" i="54" l="1"/>
  <c r="E170" i="54"/>
  <c r="D170" i="54" s="1"/>
  <c r="G170" i="54" s="1"/>
  <c r="F171" i="54" s="1"/>
  <c r="I65" i="31"/>
  <c r="D307" i="40"/>
  <c r="G307" i="40" s="1"/>
  <c r="F308" i="40" s="1"/>
  <c r="E308" i="40" s="1"/>
  <c r="D76" i="40"/>
  <c r="G76" i="40" s="1"/>
  <c r="F77" i="40" s="1"/>
  <c r="E77" i="40" s="1"/>
  <c r="I76" i="40"/>
  <c r="I299" i="31"/>
  <c r="E300" i="31"/>
  <c r="D300" i="31" s="1"/>
  <c r="G300" i="31" s="1"/>
  <c r="F301" i="31" s="1"/>
  <c r="H300" i="31"/>
  <c r="H66" i="31"/>
  <c r="E66" i="31"/>
  <c r="D66" i="31" s="1"/>
  <c r="G66" i="31" s="1"/>
  <c r="F67" i="31" s="1"/>
  <c r="D53" i="18"/>
  <c r="G53" i="18" s="1"/>
  <c r="F54" i="18" s="1"/>
  <c r="E54" i="18" s="1"/>
  <c r="E27" i="18"/>
  <c r="D27" i="18" s="1"/>
  <c r="G27" i="18" s="1"/>
  <c r="F28" i="18" s="1"/>
  <c r="H27" i="18"/>
  <c r="I26" i="18"/>
  <c r="D29" i="15"/>
  <c r="G29" i="15" s="1"/>
  <c r="F30" i="15" s="1"/>
  <c r="E30" i="15" s="1"/>
  <c r="H29" i="15"/>
  <c r="I28" i="15"/>
  <c r="I27" i="14"/>
  <c r="E28" i="14"/>
  <c r="D28" i="14" s="1"/>
  <c r="G28" i="14" s="1"/>
  <c r="F29" i="14" s="1"/>
  <c r="H28" i="14"/>
  <c r="I27" i="13"/>
  <c r="H28" i="13"/>
  <c r="E28" i="13"/>
  <c r="D28" i="13" s="1"/>
  <c r="G28" i="13" s="1"/>
  <c r="F29" i="13" s="1"/>
  <c r="I26" i="9"/>
  <c r="H27" i="10"/>
  <c r="E27" i="10"/>
  <c r="D27" i="10" s="1"/>
  <c r="G27" i="10" s="1"/>
  <c r="F28" i="10" s="1"/>
  <c r="E27" i="9"/>
  <c r="D27" i="9" s="1"/>
  <c r="G27" i="9" s="1"/>
  <c r="F28" i="9" s="1"/>
  <c r="H27" i="9"/>
  <c r="I26" i="10"/>
  <c r="H26" i="7"/>
  <c r="D26" i="7"/>
  <c r="G26" i="7" s="1"/>
  <c r="F27" i="7" s="1"/>
  <c r="E27" i="7" s="1"/>
  <c r="I25" i="7"/>
  <c r="H24" i="6"/>
  <c r="E24" i="6"/>
  <c r="D24" i="6" s="1"/>
  <c r="G24" i="6" s="1"/>
  <c r="F25" i="6" s="1"/>
  <c r="I23" i="6"/>
  <c r="E171" i="54" l="1"/>
  <c r="D171" i="54" s="1"/>
  <c r="G171" i="54" s="1"/>
  <c r="F172" i="54" s="1"/>
  <c r="H171" i="54"/>
  <c r="I171" i="54" s="1"/>
  <c r="I170" i="54"/>
  <c r="I300" i="31"/>
  <c r="D77" i="40"/>
  <c r="G77" i="40" s="1"/>
  <c r="F78" i="40" s="1"/>
  <c r="E78" i="40" s="1"/>
  <c r="D308" i="40"/>
  <c r="G308" i="40" s="1"/>
  <c r="F309" i="40" s="1"/>
  <c r="E309" i="40" s="1"/>
  <c r="I66" i="31"/>
  <c r="E301" i="31"/>
  <c r="D301" i="31" s="1"/>
  <c r="G301" i="31" s="1"/>
  <c r="F302" i="31" s="1"/>
  <c r="H301" i="31"/>
  <c r="H67" i="31"/>
  <c r="E67" i="31"/>
  <c r="D67" i="31" s="1"/>
  <c r="G67" i="31" s="1"/>
  <c r="F68" i="31" s="1"/>
  <c r="E28" i="18"/>
  <c r="D28" i="18" s="1"/>
  <c r="G28" i="18" s="1"/>
  <c r="F29" i="18" s="1"/>
  <c r="H28" i="18"/>
  <c r="D54" i="18"/>
  <c r="G54" i="18" s="1"/>
  <c r="F55" i="18" s="1"/>
  <c r="E55" i="18" s="1"/>
  <c r="I27" i="18"/>
  <c r="I29" i="15"/>
  <c r="D30" i="15"/>
  <c r="G30" i="15" s="1"/>
  <c r="F31" i="15" s="1"/>
  <c r="E31" i="15" s="1"/>
  <c r="H30" i="15"/>
  <c r="I28" i="14"/>
  <c r="E29" i="14"/>
  <c r="D29" i="14" s="1"/>
  <c r="G29" i="14" s="1"/>
  <c r="F30" i="14" s="1"/>
  <c r="H29" i="14"/>
  <c r="I28" i="13"/>
  <c r="H29" i="13"/>
  <c r="E29" i="13"/>
  <c r="D29" i="13" s="1"/>
  <c r="G29" i="13" s="1"/>
  <c r="F30" i="13" s="1"/>
  <c r="I27" i="9"/>
  <c r="E28" i="9"/>
  <c r="D28" i="9" s="1"/>
  <c r="G28" i="9" s="1"/>
  <c r="F29" i="9" s="1"/>
  <c r="H28" i="9"/>
  <c r="H28" i="10"/>
  <c r="E28" i="10"/>
  <c r="D28" i="10" s="1"/>
  <c r="G28" i="10" s="1"/>
  <c r="F29" i="10" s="1"/>
  <c r="I27" i="10"/>
  <c r="H27" i="7"/>
  <c r="D27" i="7"/>
  <c r="G27" i="7" s="1"/>
  <c r="F28" i="7" s="1"/>
  <c r="E28" i="7" s="1"/>
  <c r="I26" i="7"/>
  <c r="H25" i="6"/>
  <c r="E25" i="6"/>
  <c r="D25" i="6" s="1"/>
  <c r="G25" i="6" s="1"/>
  <c r="F26" i="6" s="1"/>
  <c r="I24" i="6"/>
  <c r="E172" i="54" l="1"/>
  <c r="D172" i="54" s="1"/>
  <c r="H172" i="54"/>
  <c r="G172" i="54"/>
  <c r="F173" i="54" s="1"/>
  <c r="D309" i="40"/>
  <c r="G309" i="40" s="1"/>
  <c r="F310" i="40" s="1"/>
  <c r="E310" i="40" s="1"/>
  <c r="D78" i="40"/>
  <c r="G78" i="40" s="1"/>
  <c r="F79" i="40" s="1"/>
  <c r="E79" i="40" s="1"/>
  <c r="I78" i="40"/>
  <c r="I77" i="40"/>
  <c r="I67" i="31"/>
  <c r="I301" i="31"/>
  <c r="E302" i="31"/>
  <c r="D302" i="31" s="1"/>
  <c r="G302" i="31" s="1"/>
  <c r="F303" i="31" s="1"/>
  <c r="H302" i="31"/>
  <c r="E68" i="31"/>
  <c r="D68" i="31" s="1"/>
  <c r="G68" i="31" s="1"/>
  <c r="F69" i="31" s="1"/>
  <c r="H68" i="31"/>
  <c r="I28" i="18"/>
  <c r="D55" i="18"/>
  <c r="G55" i="18" s="1"/>
  <c r="F56" i="18" s="1"/>
  <c r="E56" i="18" s="1"/>
  <c r="E29" i="18"/>
  <c r="D29" i="18" s="1"/>
  <c r="G29" i="18" s="1"/>
  <c r="F30" i="18" s="1"/>
  <c r="H29" i="18"/>
  <c r="I30" i="15"/>
  <c r="D31" i="15"/>
  <c r="G31" i="15" s="1"/>
  <c r="F32" i="15" s="1"/>
  <c r="E32" i="15" s="1"/>
  <c r="H31" i="15"/>
  <c r="I29" i="14"/>
  <c r="E30" i="14"/>
  <c r="D30" i="14" s="1"/>
  <c r="G30" i="14" s="1"/>
  <c r="F31" i="14" s="1"/>
  <c r="H30" i="14"/>
  <c r="I30" i="14" s="1"/>
  <c r="H30" i="13"/>
  <c r="E30" i="13"/>
  <c r="D30" i="13" s="1"/>
  <c r="G30" i="13" s="1"/>
  <c r="F31" i="13" s="1"/>
  <c r="I29" i="13"/>
  <c r="I28" i="9"/>
  <c r="H29" i="10"/>
  <c r="E29" i="10"/>
  <c r="D29" i="10" s="1"/>
  <c r="G29" i="10" s="1"/>
  <c r="F30" i="10" s="1"/>
  <c r="E29" i="9"/>
  <c r="D29" i="9" s="1"/>
  <c r="G29" i="9" s="1"/>
  <c r="F30" i="9" s="1"/>
  <c r="H29" i="9"/>
  <c r="I28" i="10"/>
  <c r="H28" i="7"/>
  <c r="D28" i="7"/>
  <c r="G28" i="7" s="1"/>
  <c r="F29" i="7" s="1"/>
  <c r="E29" i="7" s="1"/>
  <c r="I27" i="7"/>
  <c r="H26" i="6"/>
  <c r="E26" i="6"/>
  <c r="D26" i="6" s="1"/>
  <c r="G26" i="6" s="1"/>
  <c r="F27" i="6" s="1"/>
  <c r="I25" i="6"/>
  <c r="E173" i="54" l="1"/>
  <c r="D173" i="54" s="1"/>
  <c r="G173" i="54" s="1"/>
  <c r="F174" i="54" s="1"/>
  <c r="H173" i="54"/>
  <c r="I173" i="54" s="1"/>
  <c r="I172" i="54"/>
  <c r="I302" i="31"/>
  <c r="D310" i="40"/>
  <c r="G310" i="40" s="1"/>
  <c r="F311" i="40" s="1"/>
  <c r="E311" i="40" s="1"/>
  <c r="D79" i="40"/>
  <c r="G79" i="40" s="1"/>
  <c r="F80" i="40" s="1"/>
  <c r="E80" i="40" s="1"/>
  <c r="I79" i="40"/>
  <c r="E303" i="31"/>
  <c r="D303" i="31" s="1"/>
  <c r="G303" i="31" s="1"/>
  <c r="F304" i="31" s="1"/>
  <c r="H303" i="31"/>
  <c r="E69" i="31"/>
  <c r="D69" i="31" s="1"/>
  <c r="G69" i="31" s="1"/>
  <c r="F70" i="31" s="1"/>
  <c r="H69" i="31"/>
  <c r="I68" i="31"/>
  <c r="D56" i="18"/>
  <c r="G56" i="18" s="1"/>
  <c r="F57" i="18" s="1"/>
  <c r="E57" i="18" s="1"/>
  <c r="E30" i="18"/>
  <c r="D30" i="18" s="1"/>
  <c r="G30" i="18" s="1"/>
  <c r="F31" i="18" s="1"/>
  <c r="H30" i="18"/>
  <c r="I29" i="18"/>
  <c r="D32" i="15"/>
  <c r="G32" i="15" s="1"/>
  <c r="F33" i="15" s="1"/>
  <c r="E33" i="15" s="1"/>
  <c r="H32" i="15"/>
  <c r="I31" i="15"/>
  <c r="E31" i="14"/>
  <c r="D31" i="14" s="1"/>
  <c r="G31" i="14" s="1"/>
  <c r="F32" i="14" s="1"/>
  <c r="H31" i="14"/>
  <c r="H31" i="13"/>
  <c r="E31" i="13"/>
  <c r="D31" i="13" s="1"/>
  <c r="G31" i="13" s="1"/>
  <c r="F32" i="13" s="1"/>
  <c r="I30" i="13"/>
  <c r="E30" i="9"/>
  <c r="D30" i="9" s="1"/>
  <c r="G30" i="9" s="1"/>
  <c r="F31" i="9" s="1"/>
  <c r="H30" i="9"/>
  <c r="I30" i="9" s="1"/>
  <c r="H30" i="10"/>
  <c r="E30" i="10"/>
  <c r="D30" i="10" s="1"/>
  <c r="G30" i="10" s="1"/>
  <c r="F31" i="10" s="1"/>
  <c r="I29" i="9"/>
  <c r="I29" i="10"/>
  <c r="H29" i="7"/>
  <c r="D29" i="7"/>
  <c r="G29" i="7" s="1"/>
  <c r="F30" i="7" s="1"/>
  <c r="E30" i="7" s="1"/>
  <c r="I28" i="7"/>
  <c r="H27" i="6"/>
  <c r="E27" i="6"/>
  <c r="D27" i="6" s="1"/>
  <c r="G27" i="6" s="1"/>
  <c r="F28" i="6" s="1"/>
  <c r="I26" i="6"/>
  <c r="E174" i="54" l="1"/>
  <c r="D174" i="54" s="1"/>
  <c r="G174" i="54" s="1"/>
  <c r="F175" i="54" s="1"/>
  <c r="H174" i="54"/>
  <c r="D311" i="40"/>
  <c r="G311" i="40" s="1"/>
  <c r="F312" i="40" s="1"/>
  <c r="E312" i="40" s="1"/>
  <c r="D80" i="40"/>
  <c r="G80" i="40" s="1"/>
  <c r="F81" i="40" s="1"/>
  <c r="E81" i="40" s="1"/>
  <c r="I80" i="40"/>
  <c r="E304" i="31"/>
  <c r="D304" i="31" s="1"/>
  <c r="G304" i="31" s="1"/>
  <c r="F305" i="31" s="1"/>
  <c r="H304" i="31"/>
  <c r="I303" i="31"/>
  <c r="H70" i="31"/>
  <c r="E70" i="31"/>
  <c r="D70" i="31" s="1"/>
  <c r="G70" i="31" s="1"/>
  <c r="F71" i="31" s="1"/>
  <c r="I69" i="31"/>
  <c r="E31" i="18"/>
  <c r="D31" i="18" s="1"/>
  <c r="G31" i="18" s="1"/>
  <c r="F32" i="18" s="1"/>
  <c r="H31" i="18"/>
  <c r="I30" i="18"/>
  <c r="D57" i="18"/>
  <c r="G57" i="18" s="1"/>
  <c r="F58" i="18" s="1"/>
  <c r="E58" i="18" s="1"/>
  <c r="H33" i="15"/>
  <c r="D33" i="15"/>
  <c r="G33" i="15" s="1"/>
  <c r="F34" i="15" s="1"/>
  <c r="E34" i="15" s="1"/>
  <c r="I32" i="15"/>
  <c r="E32" i="14"/>
  <c r="D32" i="14" s="1"/>
  <c r="G32" i="14" s="1"/>
  <c r="F33" i="14" s="1"/>
  <c r="H32" i="14"/>
  <c r="I31" i="14"/>
  <c r="H32" i="13"/>
  <c r="E32" i="13"/>
  <c r="D32" i="13" s="1"/>
  <c r="G32" i="13" s="1"/>
  <c r="F33" i="13" s="1"/>
  <c r="I31" i="13"/>
  <c r="H31" i="10"/>
  <c r="E31" i="10"/>
  <c r="D31" i="10" s="1"/>
  <c r="G31" i="10" s="1"/>
  <c r="F32" i="10" s="1"/>
  <c r="E31" i="9"/>
  <c r="D31" i="9" s="1"/>
  <c r="G31" i="9" s="1"/>
  <c r="F32" i="9" s="1"/>
  <c r="H31" i="9"/>
  <c r="I30" i="10"/>
  <c r="H30" i="7"/>
  <c r="D30" i="7"/>
  <c r="G30" i="7" s="1"/>
  <c r="F31" i="7" s="1"/>
  <c r="E31" i="7" s="1"/>
  <c r="I29" i="7"/>
  <c r="I27" i="6"/>
  <c r="H28" i="6"/>
  <c r="E28" i="6"/>
  <c r="D28" i="6" s="1"/>
  <c r="G28" i="6" s="1"/>
  <c r="F29" i="6" s="1"/>
  <c r="I174" i="54" l="1"/>
  <c r="H175" i="54"/>
  <c r="E175" i="54"/>
  <c r="D175" i="54" s="1"/>
  <c r="G175" i="54" s="1"/>
  <c r="F176" i="54" s="1"/>
  <c r="D312" i="40"/>
  <c r="G312" i="40" s="1"/>
  <c r="F313" i="40" s="1"/>
  <c r="E313" i="40" s="1"/>
  <c r="D81" i="40"/>
  <c r="G81" i="40" s="1"/>
  <c r="F82" i="40" s="1"/>
  <c r="E82" i="40" s="1"/>
  <c r="I81" i="40"/>
  <c r="I70" i="31"/>
  <c r="E305" i="31"/>
  <c r="D305" i="31" s="1"/>
  <c r="G305" i="31" s="1"/>
  <c r="F306" i="31" s="1"/>
  <c r="H305" i="31"/>
  <c r="I305" i="31" s="1"/>
  <c r="I304" i="31"/>
  <c r="H71" i="31"/>
  <c r="E71" i="31"/>
  <c r="D71" i="31" s="1"/>
  <c r="G71" i="31" s="1"/>
  <c r="F72" i="31" s="1"/>
  <c r="D58" i="18"/>
  <c r="G58" i="18" s="1"/>
  <c r="F59" i="18" s="1"/>
  <c r="E32" i="18"/>
  <c r="D32" i="18" s="1"/>
  <c r="G32" i="18" s="1"/>
  <c r="F33" i="18" s="1"/>
  <c r="H32" i="18"/>
  <c r="I31" i="18"/>
  <c r="D34" i="15"/>
  <c r="G34" i="15" s="1"/>
  <c r="F35" i="15" s="1"/>
  <c r="E35" i="15" s="1"/>
  <c r="I33" i="15"/>
  <c r="I32" i="14"/>
  <c r="E33" i="14"/>
  <c r="D33" i="14" s="1"/>
  <c r="G33" i="14" s="1"/>
  <c r="H33" i="14"/>
  <c r="I33" i="14" s="1"/>
  <c r="I32" i="13"/>
  <c r="H33" i="13"/>
  <c r="E33" i="13"/>
  <c r="D33" i="13" s="1"/>
  <c r="G33" i="13" s="1"/>
  <c r="E32" i="9"/>
  <c r="D32" i="9" s="1"/>
  <c r="G32" i="9" s="1"/>
  <c r="F33" i="9" s="1"/>
  <c r="H32" i="9"/>
  <c r="H32" i="10"/>
  <c r="E32" i="10"/>
  <c r="D32" i="10" s="1"/>
  <c r="G32" i="10" s="1"/>
  <c r="F33" i="10" s="1"/>
  <c r="I31" i="9"/>
  <c r="I31" i="10"/>
  <c r="H31" i="7"/>
  <c r="D31" i="7"/>
  <c r="G31" i="7" s="1"/>
  <c r="F32" i="7" s="1"/>
  <c r="E32" i="7" s="1"/>
  <c r="I30" i="7"/>
  <c r="H29" i="6"/>
  <c r="E29" i="6"/>
  <c r="D29" i="6" s="1"/>
  <c r="G29" i="6" s="1"/>
  <c r="F30" i="6" s="1"/>
  <c r="I28" i="6"/>
  <c r="E176" i="54" l="1"/>
  <c r="D176" i="54" s="1"/>
  <c r="G176" i="54" s="1"/>
  <c r="F177" i="54" s="1"/>
  <c r="H176" i="54"/>
  <c r="I175" i="54"/>
  <c r="D82" i="40"/>
  <c r="G82" i="40" s="1"/>
  <c r="F83" i="40" s="1"/>
  <c r="E83" i="40" s="1"/>
  <c r="D313" i="40"/>
  <c r="G313" i="40" s="1"/>
  <c r="F314" i="40" s="1"/>
  <c r="E314" i="40" s="1"/>
  <c r="E306" i="31"/>
  <c r="D306" i="31" s="1"/>
  <c r="G306" i="31" s="1"/>
  <c r="F307" i="31" s="1"/>
  <c r="H306" i="31"/>
  <c r="E72" i="31"/>
  <c r="D72" i="31" s="1"/>
  <c r="G72" i="31" s="1"/>
  <c r="F73" i="31" s="1"/>
  <c r="H72" i="31"/>
  <c r="I71" i="31"/>
  <c r="I32" i="18"/>
  <c r="E33" i="18"/>
  <c r="D33" i="18" s="1"/>
  <c r="G33" i="18" s="1"/>
  <c r="F34" i="18" s="1"/>
  <c r="H33" i="18"/>
  <c r="D59" i="18"/>
  <c r="G59" i="18" s="1"/>
  <c r="D35" i="15"/>
  <c r="G35" i="15" s="1"/>
  <c r="F36" i="15" s="1"/>
  <c r="E36" i="15" s="1"/>
  <c r="F34" i="14"/>
  <c r="E41" i="14" s="1"/>
  <c r="F41" i="14"/>
  <c r="I33" i="13"/>
  <c r="F34" i="13"/>
  <c r="I32" i="9"/>
  <c r="H33" i="10"/>
  <c r="E33" i="10"/>
  <c r="D33" i="10" s="1"/>
  <c r="G33" i="10" s="1"/>
  <c r="I32" i="10"/>
  <c r="E33" i="9"/>
  <c r="D33" i="9" s="1"/>
  <c r="G33" i="9" s="1"/>
  <c r="H33" i="9"/>
  <c r="H32" i="7"/>
  <c r="D32" i="7"/>
  <c r="G32" i="7" s="1"/>
  <c r="F33" i="7" s="1"/>
  <c r="E33" i="7" s="1"/>
  <c r="I31" i="7"/>
  <c r="I29" i="6"/>
  <c r="H30" i="6"/>
  <c r="E30" i="6"/>
  <c r="D30" i="6" s="1"/>
  <c r="G30" i="6" s="1"/>
  <c r="F31" i="6" s="1"/>
  <c r="I176" i="54" l="1"/>
  <c r="H177" i="54"/>
  <c r="E177" i="54"/>
  <c r="D177" i="54" s="1"/>
  <c r="G177" i="54" s="1"/>
  <c r="F178" i="54" s="1"/>
  <c r="I72" i="31"/>
  <c r="I82" i="40"/>
  <c r="D83" i="40"/>
  <c r="G83" i="40" s="1"/>
  <c r="F84" i="40" s="1"/>
  <c r="E84" i="40" s="1"/>
  <c r="D314" i="40"/>
  <c r="G314" i="40" s="1"/>
  <c r="F315" i="40" s="1"/>
  <c r="E315" i="40" s="1"/>
  <c r="E307" i="31"/>
  <c r="D307" i="31" s="1"/>
  <c r="G307" i="31" s="1"/>
  <c r="F308" i="31" s="1"/>
  <c r="H307" i="31"/>
  <c r="I306" i="31"/>
  <c r="E73" i="31"/>
  <c r="D73" i="31" s="1"/>
  <c r="G73" i="31" s="1"/>
  <c r="F74" i="31" s="1"/>
  <c r="H73" i="31"/>
  <c r="I33" i="18"/>
  <c r="E34" i="18"/>
  <c r="D34" i="18" s="1"/>
  <c r="G34" i="18" s="1"/>
  <c r="F35" i="18" s="1"/>
  <c r="D36" i="15"/>
  <c r="G36" i="15" s="1"/>
  <c r="F37" i="15" s="1"/>
  <c r="E37" i="15" s="1"/>
  <c r="E34" i="14"/>
  <c r="D34" i="14" s="1"/>
  <c r="G34" i="14" s="1"/>
  <c r="F35" i="14" s="1"/>
  <c r="E35" i="14" s="1"/>
  <c r="D35" i="14" s="1"/>
  <c r="G35" i="14" s="1"/>
  <c r="F36" i="14" s="1"/>
  <c r="E34" i="13"/>
  <c r="D34" i="13" s="1"/>
  <c r="G34" i="13" s="1"/>
  <c r="F35" i="13" s="1"/>
  <c r="I33" i="10"/>
  <c r="I33" i="9"/>
  <c r="F41" i="9"/>
  <c r="F34" i="9"/>
  <c r="F41" i="10"/>
  <c r="F34" i="10"/>
  <c r="H33" i="7"/>
  <c r="D33" i="7"/>
  <c r="G33" i="7" s="1"/>
  <c r="I32" i="7"/>
  <c r="H31" i="6"/>
  <c r="E31" i="6"/>
  <c r="D31" i="6" s="1"/>
  <c r="G31" i="6" s="1"/>
  <c r="F32" i="6" s="1"/>
  <c r="I30" i="6"/>
  <c r="H178" i="54" l="1"/>
  <c r="E178" i="54"/>
  <c r="D178" i="54" s="1"/>
  <c r="G178" i="54" s="1"/>
  <c r="F179" i="54" s="1"/>
  <c r="I177" i="54"/>
  <c r="I83" i="40"/>
  <c r="D315" i="40"/>
  <c r="G315" i="40" s="1"/>
  <c r="F316" i="40" s="1"/>
  <c r="E316" i="40" s="1"/>
  <c r="D84" i="40"/>
  <c r="G84" i="40" s="1"/>
  <c r="F85" i="40" s="1"/>
  <c r="E85" i="40" s="1"/>
  <c r="E308" i="31"/>
  <c r="D308" i="31" s="1"/>
  <c r="G308" i="31" s="1"/>
  <c r="F309" i="31" s="1"/>
  <c r="H308" i="31"/>
  <c r="I73" i="31"/>
  <c r="I307" i="31"/>
  <c r="H74" i="31"/>
  <c r="E74" i="31"/>
  <c r="D74" i="31" s="1"/>
  <c r="G74" i="31" s="1"/>
  <c r="F75" i="31" s="1"/>
  <c r="E35" i="18"/>
  <c r="D35" i="18" s="1"/>
  <c r="G35" i="18" s="1"/>
  <c r="F36" i="18" s="1"/>
  <c r="D37" i="15"/>
  <c r="G37" i="15" s="1"/>
  <c r="F38" i="15" s="1"/>
  <c r="E38" i="15" s="1"/>
  <c r="E36" i="14"/>
  <c r="D36" i="14" s="1"/>
  <c r="G36" i="14" s="1"/>
  <c r="F37" i="14" s="1"/>
  <c r="E35" i="13"/>
  <c r="D35" i="13" s="1"/>
  <c r="G35" i="13" s="1"/>
  <c r="F36" i="13" s="1"/>
  <c r="E41" i="9"/>
  <c r="D41" i="9" s="1"/>
  <c r="G41" i="9" s="1"/>
  <c r="E34" i="10"/>
  <c r="D34" i="10" s="1"/>
  <c r="G34" i="10" s="1"/>
  <c r="F35" i="10" s="1"/>
  <c r="E41" i="10"/>
  <c r="D41" i="10" s="1"/>
  <c r="G41" i="10" s="1"/>
  <c r="E34" i="9"/>
  <c r="D34" i="9" s="1"/>
  <c r="G34" i="9" s="1"/>
  <c r="F35" i="9" s="1"/>
  <c r="F41" i="7"/>
  <c r="E41" i="7" s="1"/>
  <c r="F34" i="7"/>
  <c r="E34" i="7" s="1"/>
  <c r="I33" i="7"/>
  <c r="H32" i="6"/>
  <c r="E32" i="6"/>
  <c r="D32" i="6" s="1"/>
  <c r="G32" i="6" s="1"/>
  <c r="F33" i="6" s="1"/>
  <c r="I31" i="6"/>
  <c r="H179" i="54" l="1"/>
  <c r="E179" i="54"/>
  <c r="D179" i="54" s="1"/>
  <c r="G179" i="54" s="1"/>
  <c r="F180" i="54" s="1"/>
  <c r="I178" i="54"/>
  <c r="I84" i="40"/>
  <c r="D316" i="40"/>
  <c r="G316" i="40" s="1"/>
  <c r="F317" i="40" s="1"/>
  <c r="E317" i="40" s="1"/>
  <c r="D85" i="40"/>
  <c r="G85" i="40" s="1"/>
  <c r="F86" i="40" s="1"/>
  <c r="E86" i="40" s="1"/>
  <c r="I74" i="31"/>
  <c r="I308" i="31"/>
  <c r="E309" i="31"/>
  <c r="D309" i="31" s="1"/>
  <c r="G309" i="31" s="1"/>
  <c r="F310" i="31" s="1"/>
  <c r="H309" i="31"/>
  <c r="H75" i="31"/>
  <c r="E75" i="31"/>
  <c r="D75" i="31" s="1"/>
  <c r="G75" i="31" s="1"/>
  <c r="F76" i="31" s="1"/>
  <c r="E36" i="18"/>
  <c r="D36" i="18" s="1"/>
  <c r="G36" i="18" s="1"/>
  <c r="F37" i="18" s="1"/>
  <c r="D38" i="15"/>
  <c r="G38" i="15" s="1"/>
  <c r="F39" i="15" s="1"/>
  <c r="E39" i="15" s="1"/>
  <c r="E37" i="14"/>
  <c r="D37" i="14" s="1"/>
  <c r="G37" i="14" s="1"/>
  <c r="F38" i="14" s="1"/>
  <c r="E36" i="13"/>
  <c r="D36" i="13" s="1"/>
  <c r="G36" i="13" s="1"/>
  <c r="F37" i="13" s="1"/>
  <c r="F42" i="9"/>
  <c r="F42" i="10"/>
  <c r="E42" i="10" s="1"/>
  <c r="D42" i="10" s="1"/>
  <c r="E35" i="9"/>
  <c r="D35" i="9" s="1"/>
  <c r="G35" i="9" s="1"/>
  <c r="F36" i="9" s="1"/>
  <c r="E35" i="10"/>
  <c r="D35" i="10" s="1"/>
  <c r="G35" i="10" s="1"/>
  <c r="F36" i="10" s="1"/>
  <c r="D34" i="7"/>
  <c r="G34" i="7" s="1"/>
  <c r="F35" i="7" s="1"/>
  <c r="E35" i="7" s="1"/>
  <c r="D41" i="7"/>
  <c r="G41" i="7" s="1"/>
  <c r="H33" i="6"/>
  <c r="E33" i="6"/>
  <c r="D33" i="6" s="1"/>
  <c r="G33" i="6" s="1"/>
  <c r="I32" i="6"/>
  <c r="E180" i="54" l="1"/>
  <c r="D180" i="54" s="1"/>
  <c r="H180" i="54"/>
  <c r="I180" i="54" s="1"/>
  <c r="G180" i="54"/>
  <c r="F181" i="54" s="1"/>
  <c r="I179" i="54"/>
  <c r="I85" i="40"/>
  <c r="D317" i="40"/>
  <c r="G317" i="40" s="1"/>
  <c r="F318" i="40" s="1"/>
  <c r="E318" i="40" s="1"/>
  <c r="D86" i="40"/>
  <c r="G86" i="40" s="1"/>
  <c r="F87" i="40" s="1"/>
  <c r="E87" i="40" s="1"/>
  <c r="E310" i="31"/>
  <c r="D310" i="31" s="1"/>
  <c r="G310" i="31" s="1"/>
  <c r="F311" i="31" s="1"/>
  <c r="H310" i="31"/>
  <c r="I309" i="31"/>
  <c r="E76" i="31"/>
  <c r="D76" i="31" s="1"/>
  <c r="G76" i="31" s="1"/>
  <c r="F77" i="31" s="1"/>
  <c r="H76" i="31"/>
  <c r="I75" i="31"/>
  <c r="E37" i="18"/>
  <c r="D37" i="18" s="1"/>
  <c r="G37" i="18" s="1"/>
  <c r="F38" i="18" s="1"/>
  <c r="D39" i="15"/>
  <c r="G39" i="15" s="1"/>
  <c r="E38" i="14"/>
  <c r="D38" i="14" s="1"/>
  <c r="G38" i="14" s="1"/>
  <c r="E37" i="13"/>
  <c r="D37" i="13" s="1"/>
  <c r="G37" i="13" s="1"/>
  <c r="F38" i="13" s="1"/>
  <c r="E36" i="10"/>
  <c r="D36" i="10" s="1"/>
  <c r="G36" i="10" s="1"/>
  <c r="F37" i="10" s="1"/>
  <c r="E36" i="9"/>
  <c r="D36" i="9" s="1"/>
  <c r="G36" i="9" s="1"/>
  <c r="F37" i="9" s="1"/>
  <c r="G42" i="10"/>
  <c r="F43" i="10" s="1"/>
  <c r="E42" i="9"/>
  <c r="D42" i="9" s="1"/>
  <c r="G42" i="9" s="1"/>
  <c r="F43" i="9" s="1"/>
  <c r="F42" i="7"/>
  <c r="E42" i="7" s="1"/>
  <c r="D35" i="7"/>
  <c r="G35" i="7" s="1"/>
  <c r="F36" i="7" s="1"/>
  <c r="E36" i="7" s="1"/>
  <c r="F34" i="6"/>
  <c r="E34" i="6" s="1"/>
  <c r="D34" i="6" s="1"/>
  <c r="G34" i="6" s="1"/>
  <c r="F35" i="6" s="1"/>
  <c r="F41" i="6"/>
  <c r="E41" i="6" s="1"/>
  <c r="D41" i="6" s="1"/>
  <c r="G41" i="6" s="1"/>
  <c r="F42" i="6" s="1"/>
  <c r="E42" i="6" s="1"/>
  <c r="I33" i="6"/>
  <c r="E181" i="54" l="1"/>
  <c r="D181" i="54" s="1"/>
  <c r="G181" i="54" s="1"/>
  <c r="F182" i="54" s="1"/>
  <c r="H181" i="54"/>
  <c r="I181" i="54" s="1"/>
  <c r="D87" i="40"/>
  <c r="G87" i="40" s="1"/>
  <c r="F88" i="40" s="1"/>
  <c r="E88" i="40" s="1"/>
  <c r="D318" i="40"/>
  <c r="G318" i="40" s="1"/>
  <c r="F319" i="40" s="1"/>
  <c r="E319" i="40" s="1"/>
  <c r="I86" i="40"/>
  <c r="I310" i="31"/>
  <c r="E311" i="31"/>
  <c r="D311" i="31" s="1"/>
  <c r="G311" i="31" s="1"/>
  <c r="F312" i="31" s="1"/>
  <c r="H311" i="31"/>
  <c r="E77" i="31"/>
  <c r="D77" i="31" s="1"/>
  <c r="G77" i="31" s="1"/>
  <c r="F78" i="31" s="1"/>
  <c r="H77" i="31"/>
  <c r="I76" i="31"/>
  <c r="E38" i="18"/>
  <c r="D38" i="18" s="1"/>
  <c r="G38" i="18" s="1"/>
  <c r="F39" i="18" s="1"/>
  <c r="F40" i="15"/>
  <c r="E40" i="15" s="1"/>
  <c r="F41" i="15"/>
  <c r="E41" i="15" s="1"/>
  <c r="F39" i="14"/>
  <c r="E38" i="13"/>
  <c r="D38" i="13" s="1"/>
  <c r="G38" i="13" s="1"/>
  <c r="E43" i="9"/>
  <c r="D43" i="9" s="1"/>
  <c r="G43" i="9" s="1"/>
  <c r="F44" i="9" s="1"/>
  <c r="E37" i="9"/>
  <c r="D37" i="9" s="1"/>
  <c r="G37" i="9" s="1"/>
  <c r="F38" i="9" s="1"/>
  <c r="E37" i="10"/>
  <c r="D37" i="10" s="1"/>
  <c r="G37" i="10" s="1"/>
  <c r="F38" i="10" s="1"/>
  <c r="E43" i="10"/>
  <c r="D43" i="10" s="1"/>
  <c r="G43" i="10" s="1"/>
  <c r="F44" i="10" s="1"/>
  <c r="D36" i="7"/>
  <c r="G36" i="7" s="1"/>
  <c r="F37" i="7" s="1"/>
  <c r="E37" i="7" s="1"/>
  <c r="D42" i="7"/>
  <c r="G42" i="7" s="1"/>
  <c r="F43" i="7" s="1"/>
  <c r="E43" i="7" s="1"/>
  <c r="E35" i="6"/>
  <c r="D35" i="6" s="1"/>
  <c r="G35" i="6" s="1"/>
  <c r="F36" i="6" s="1"/>
  <c r="D42" i="6"/>
  <c r="G42" i="6" s="1"/>
  <c r="F43" i="6" s="1"/>
  <c r="E182" i="54" l="1"/>
  <c r="D182" i="54" s="1"/>
  <c r="G182" i="54" s="1"/>
  <c r="F183" i="54" s="1"/>
  <c r="H182" i="54"/>
  <c r="I182" i="54" s="1"/>
  <c r="I77" i="31"/>
  <c r="D319" i="40"/>
  <c r="G319" i="40" s="1"/>
  <c r="F320" i="40" s="1"/>
  <c r="E320" i="40" s="1"/>
  <c r="D88" i="40"/>
  <c r="G88" i="40" s="1"/>
  <c r="F89" i="40" s="1"/>
  <c r="E89" i="40" s="1"/>
  <c r="I87" i="40"/>
  <c r="I311" i="31"/>
  <c r="E312" i="31"/>
  <c r="D312" i="31" s="1"/>
  <c r="G312" i="31" s="1"/>
  <c r="F313" i="31" s="1"/>
  <c r="H312" i="31"/>
  <c r="H78" i="31"/>
  <c r="E78" i="31"/>
  <c r="D78" i="31" s="1"/>
  <c r="G78" i="31" s="1"/>
  <c r="F79" i="31" s="1"/>
  <c r="D41" i="15"/>
  <c r="G41" i="15" s="1"/>
  <c r="F43" i="15" s="1"/>
  <c r="E43" i="15" s="1"/>
  <c r="D40" i="15"/>
  <c r="G40" i="15" s="1"/>
  <c r="F42" i="15" s="1"/>
  <c r="E42" i="15" s="1"/>
  <c r="E39" i="14"/>
  <c r="D39" i="14" s="1"/>
  <c r="G39" i="14" s="1"/>
  <c r="F40" i="14" s="1"/>
  <c r="G40" i="14" s="1"/>
  <c r="D41" i="14" s="1"/>
  <c r="G41" i="14" s="1"/>
  <c r="F39" i="13"/>
  <c r="E44" i="10"/>
  <c r="D44" i="10" s="1"/>
  <c r="G44" i="10" s="1"/>
  <c r="F45" i="10" s="1"/>
  <c r="E38" i="10"/>
  <c r="D38" i="10" s="1"/>
  <c r="G38" i="10" s="1"/>
  <c r="F39" i="10" s="1"/>
  <c r="E38" i="9"/>
  <c r="D38" i="9" s="1"/>
  <c r="G38" i="9" s="1"/>
  <c r="F39" i="9" s="1"/>
  <c r="E44" i="9"/>
  <c r="D44" i="9" s="1"/>
  <c r="G44" i="9" s="1"/>
  <c r="F45" i="9" s="1"/>
  <c r="D43" i="7"/>
  <c r="G43" i="7" s="1"/>
  <c r="F44" i="7" s="1"/>
  <c r="E44" i="7" s="1"/>
  <c r="D37" i="7"/>
  <c r="G37" i="7" s="1"/>
  <c r="F38" i="7" s="1"/>
  <c r="E38" i="7" s="1"/>
  <c r="E43" i="6"/>
  <c r="D43" i="6" s="1"/>
  <c r="G43" i="6" s="1"/>
  <c r="F44" i="6" s="1"/>
  <c r="E36" i="6"/>
  <c r="D36" i="6" s="1"/>
  <c r="G36" i="6" s="1"/>
  <c r="F37" i="6" s="1"/>
  <c r="H183" i="54" l="1"/>
  <c r="E183" i="54"/>
  <c r="D183" i="54" s="1"/>
  <c r="G183" i="54" s="1"/>
  <c r="F184" i="54" s="1"/>
  <c r="D320" i="40"/>
  <c r="G320" i="40" s="1"/>
  <c r="F321" i="40" s="1"/>
  <c r="E321" i="40" s="1"/>
  <c r="D89" i="40"/>
  <c r="G89" i="40" s="1"/>
  <c r="F90" i="40" s="1"/>
  <c r="E90" i="40" s="1"/>
  <c r="I88" i="40"/>
  <c r="I312" i="31"/>
  <c r="E313" i="31"/>
  <c r="D313" i="31" s="1"/>
  <c r="G313" i="31" s="1"/>
  <c r="F314" i="31" s="1"/>
  <c r="H313" i="31"/>
  <c r="I313" i="31" s="1"/>
  <c r="H79" i="31"/>
  <c r="E79" i="31"/>
  <c r="D79" i="31" s="1"/>
  <c r="G79" i="31" s="1"/>
  <c r="F80" i="31" s="1"/>
  <c r="I78" i="31"/>
  <c r="D42" i="15"/>
  <c r="G42" i="15" s="1"/>
  <c r="F44" i="15" s="1"/>
  <c r="E44" i="15" s="1"/>
  <c r="D43" i="15"/>
  <c r="G43" i="15" s="1"/>
  <c r="F45" i="15" s="1"/>
  <c r="E45" i="15" s="1"/>
  <c r="E39" i="13"/>
  <c r="D39" i="13" s="1"/>
  <c r="G39" i="13" s="1"/>
  <c r="F42" i="14"/>
  <c r="E42" i="14" s="1"/>
  <c r="D42" i="14" s="1"/>
  <c r="G42" i="14" s="1"/>
  <c r="F43" i="14" s="1"/>
  <c r="E43" i="14" s="1"/>
  <c r="D43" i="14" s="1"/>
  <c r="G43" i="14" s="1"/>
  <c r="F44" i="14" s="1"/>
  <c r="E44" i="14" s="1"/>
  <c r="D44" i="14" s="1"/>
  <c r="G44" i="14" s="1"/>
  <c r="F45" i="14" s="1"/>
  <c r="E45" i="14" s="1"/>
  <c r="D45" i="14" s="1"/>
  <c r="G45" i="14" s="1"/>
  <c r="F46" i="14" s="1"/>
  <c r="E46" i="14" s="1"/>
  <c r="D46" i="14" s="1"/>
  <c r="G46" i="14" s="1"/>
  <c r="F47" i="14" s="1"/>
  <c r="G47" i="14" s="1"/>
  <c r="E45" i="9"/>
  <c r="D45" i="9" s="1"/>
  <c r="G45" i="9" s="1"/>
  <c r="F46" i="9" s="1"/>
  <c r="E39" i="9"/>
  <c r="D39" i="9" s="1"/>
  <c r="G39" i="9" s="1"/>
  <c r="F40" i="9" s="1"/>
  <c r="G40" i="9" s="1"/>
  <c r="E39" i="10"/>
  <c r="D39" i="10" s="1"/>
  <c r="G39" i="10" s="1"/>
  <c r="F40" i="10" s="1"/>
  <c r="G40" i="10" s="1"/>
  <c r="E45" i="10"/>
  <c r="D45" i="10" s="1"/>
  <c r="G45" i="10" s="1"/>
  <c r="F46" i="10" s="1"/>
  <c r="D38" i="7"/>
  <c r="G38" i="7" s="1"/>
  <c r="F39" i="7" s="1"/>
  <c r="E39" i="7" s="1"/>
  <c r="D44" i="7"/>
  <c r="G44" i="7" s="1"/>
  <c r="F45" i="7" s="1"/>
  <c r="E45" i="7" s="1"/>
  <c r="E37" i="6"/>
  <c r="D37" i="6" s="1"/>
  <c r="G37" i="6" s="1"/>
  <c r="F38" i="6" s="1"/>
  <c r="E44" i="6"/>
  <c r="D44" i="6" s="1"/>
  <c r="G44" i="6" s="1"/>
  <c r="F45" i="6" s="1"/>
  <c r="H184" i="54" l="1"/>
  <c r="E184" i="54"/>
  <c r="D184" i="54" s="1"/>
  <c r="G184" i="54" s="1"/>
  <c r="F185" i="54" s="1"/>
  <c r="I183" i="54"/>
  <c r="D90" i="40"/>
  <c r="G90" i="40" s="1"/>
  <c r="F91" i="40" s="1"/>
  <c r="E91" i="40" s="1"/>
  <c r="D321" i="40"/>
  <c r="G321" i="40" s="1"/>
  <c r="F322" i="40" s="1"/>
  <c r="E322" i="40" s="1"/>
  <c r="I89" i="40"/>
  <c r="E314" i="31"/>
  <c r="D314" i="31" s="1"/>
  <c r="G314" i="31" s="1"/>
  <c r="F315" i="31" s="1"/>
  <c r="H314" i="31"/>
  <c r="E80" i="31"/>
  <c r="D80" i="31" s="1"/>
  <c r="G80" i="31" s="1"/>
  <c r="F81" i="31" s="1"/>
  <c r="H80" i="31"/>
  <c r="I79" i="31"/>
  <c r="D45" i="15"/>
  <c r="G45" i="15" s="1"/>
  <c r="F47" i="15" s="1"/>
  <c r="E47" i="15" s="1"/>
  <c r="D44" i="15"/>
  <c r="G44" i="15" s="1"/>
  <c r="F46" i="15" s="1"/>
  <c r="E46" i="15" s="1"/>
  <c r="F40" i="13"/>
  <c r="G40" i="13" s="1"/>
  <c r="F41" i="13"/>
  <c r="D41" i="13"/>
  <c r="E46" i="10"/>
  <c r="D46" i="10" s="1"/>
  <c r="G46" i="10" s="1"/>
  <c r="F47" i="10" s="1"/>
  <c r="G47" i="10" s="1"/>
  <c r="E46" i="9"/>
  <c r="D46" i="9" s="1"/>
  <c r="G46" i="9" s="1"/>
  <c r="F47" i="9" s="1"/>
  <c r="G47" i="9" s="1"/>
  <c r="D45" i="7"/>
  <c r="G45" i="7" s="1"/>
  <c r="F46" i="7" s="1"/>
  <c r="E46" i="7" s="1"/>
  <c r="D39" i="7"/>
  <c r="G39" i="7" s="1"/>
  <c r="F40" i="7" s="1"/>
  <c r="E45" i="6"/>
  <c r="D45" i="6" s="1"/>
  <c r="G45" i="6" s="1"/>
  <c r="F46" i="6" s="1"/>
  <c r="E38" i="6"/>
  <c r="D38" i="6" s="1"/>
  <c r="G38" i="6" s="1"/>
  <c r="F39" i="6" s="1"/>
  <c r="E185" i="54" l="1"/>
  <c r="D185" i="54" s="1"/>
  <c r="G185" i="54" s="1"/>
  <c r="F186" i="54" s="1"/>
  <c r="H185" i="54"/>
  <c r="I185" i="54" s="1"/>
  <c r="I184" i="54"/>
  <c r="D322" i="40"/>
  <c r="G322" i="40" s="1"/>
  <c r="F323" i="40" s="1"/>
  <c r="E323" i="40" s="1"/>
  <c r="D91" i="40"/>
  <c r="G91" i="40" s="1"/>
  <c r="F92" i="40" s="1"/>
  <c r="E92" i="40" s="1"/>
  <c r="I90" i="40"/>
  <c r="E315" i="31"/>
  <c r="D315" i="31" s="1"/>
  <c r="G315" i="31" s="1"/>
  <c r="F316" i="31" s="1"/>
  <c r="H315" i="31"/>
  <c r="I314" i="31"/>
  <c r="H81" i="31"/>
  <c r="E81" i="31"/>
  <c r="D81" i="31" s="1"/>
  <c r="G81" i="31" s="1"/>
  <c r="F82" i="31" s="1"/>
  <c r="I80" i="31"/>
  <c r="D46" i="15"/>
  <c r="G46" i="15" s="1"/>
  <c r="F48" i="15" s="1"/>
  <c r="E48" i="15" s="1"/>
  <c r="D47" i="15"/>
  <c r="G47" i="15" s="1"/>
  <c r="F49" i="15" s="1"/>
  <c r="E49" i="15" s="1"/>
  <c r="D40" i="7"/>
  <c r="G40" i="7" s="1"/>
  <c r="D46" i="7"/>
  <c r="G46" i="7" s="1"/>
  <c r="F47" i="7" s="1"/>
  <c r="E39" i="6"/>
  <c r="D39" i="6" s="1"/>
  <c r="G39" i="6" s="1"/>
  <c r="F40" i="6" s="1"/>
  <c r="G40" i="6" s="1"/>
  <c r="E46" i="6"/>
  <c r="D46" i="6" s="1"/>
  <c r="G46" i="6" s="1"/>
  <c r="F47" i="6" s="1"/>
  <c r="G47" i="6" s="1"/>
  <c r="H186" i="54" l="1"/>
  <c r="E186" i="54"/>
  <c r="D186" i="54" s="1"/>
  <c r="G186" i="54" s="1"/>
  <c r="F187" i="54" s="1"/>
  <c r="D92" i="40"/>
  <c r="G92" i="40" s="1"/>
  <c r="F93" i="40" s="1"/>
  <c r="E93" i="40" s="1"/>
  <c r="I92" i="40"/>
  <c r="D323" i="40"/>
  <c r="G323" i="40" s="1"/>
  <c r="F324" i="40" s="1"/>
  <c r="E324" i="40" s="1"/>
  <c r="I91" i="40"/>
  <c r="E316" i="31"/>
  <c r="D316" i="31" s="1"/>
  <c r="G316" i="31" s="1"/>
  <c r="F317" i="31" s="1"/>
  <c r="H316" i="31"/>
  <c r="I315" i="31"/>
  <c r="I81" i="31"/>
  <c r="H82" i="31"/>
  <c r="E82" i="31"/>
  <c r="D82" i="31" s="1"/>
  <c r="G82" i="31" s="1"/>
  <c r="F83" i="31" s="1"/>
  <c r="D49" i="15"/>
  <c r="G49" i="15" s="1"/>
  <c r="F51" i="15" s="1"/>
  <c r="E51" i="15" s="1"/>
  <c r="D48" i="15"/>
  <c r="G48" i="15" s="1"/>
  <c r="F50" i="15" s="1"/>
  <c r="E50" i="15" s="1"/>
  <c r="D47" i="7"/>
  <c r="G47" i="7" s="1"/>
  <c r="H187" i="54" l="1"/>
  <c r="E187" i="54"/>
  <c r="D187" i="54" s="1"/>
  <c r="G187" i="54" s="1"/>
  <c r="F188" i="54" s="1"/>
  <c r="I186" i="54"/>
  <c r="D324" i="40"/>
  <c r="G324" i="40" s="1"/>
  <c r="F325" i="40" s="1"/>
  <c r="E325" i="40" s="1"/>
  <c r="D93" i="40"/>
  <c r="G93" i="40" s="1"/>
  <c r="F94" i="40" s="1"/>
  <c r="E94" i="40" s="1"/>
  <c r="E317" i="31"/>
  <c r="D317" i="31" s="1"/>
  <c r="G317" i="31" s="1"/>
  <c r="F318" i="31" s="1"/>
  <c r="H317" i="31"/>
  <c r="I316" i="31"/>
  <c r="I82" i="31"/>
  <c r="H83" i="31"/>
  <c r="E83" i="31"/>
  <c r="D83" i="31" s="1"/>
  <c r="G83" i="31" s="1"/>
  <c r="F84" i="31" s="1"/>
  <c r="D50" i="15"/>
  <c r="G50" i="15" s="1"/>
  <c r="F52" i="15" s="1"/>
  <c r="E52" i="15" s="1"/>
  <c r="D51" i="15"/>
  <c r="G51" i="15" s="1"/>
  <c r="F53" i="15" s="1"/>
  <c r="E53" i="15" s="1"/>
  <c r="F1" i="4"/>
  <c r="C66" i="4" s="1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42" i="4"/>
  <c r="D1" i="4"/>
  <c r="C36" i="4" s="1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5" i="4"/>
  <c r="B4" i="4"/>
  <c r="G4" i="4"/>
  <c r="F5" i="4" s="1"/>
  <c r="F1" i="3"/>
  <c r="C46" i="3" s="1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D1" i="3"/>
  <c r="C13" i="3" s="1"/>
  <c r="E188" i="54" l="1"/>
  <c r="D188" i="54" s="1"/>
  <c r="H188" i="54"/>
  <c r="G188" i="54"/>
  <c r="F189" i="54" s="1"/>
  <c r="I187" i="54"/>
  <c r="I93" i="40"/>
  <c r="D325" i="40"/>
  <c r="G325" i="40" s="1"/>
  <c r="F326" i="40" s="1"/>
  <c r="E326" i="40" s="1"/>
  <c r="D94" i="40"/>
  <c r="G94" i="40" s="1"/>
  <c r="F95" i="40" s="1"/>
  <c r="E95" i="40" s="1"/>
  <c r="I317" i="31"/>
  <c r="E318" i="31"/>
  <c r="D318" i="31" s="1"/>
  <c r="G318" i="31" s="1"/>
  <c r="F319" i="31" s="1"/>
  <c r="H318" i="31"/>
  <c r="E84" i="31"/>
  <c r="D84" i="31" s="1"/>
  <c r="G84" i="31" s="1"/>
  <c r="F85" i="31" s="1"/>
  <c r="H84" i="31"/>
  <c r="I83" i="31"/>
  <c r="D53" i="15"/>
  <c r="G53" i="15" s="1"/>
  <c r="F55" i="15" s="1"/>
  <c r="E55" i="15" s="1"/>
  <c r="D52" i="15"/>
  <c r="G52" i="15" s="1"/>
  <c r="F54" i="15" s="1"/>
  <c r="E54" i="15" s="1"/>
  <c r="E5" i="4"/>
  <c r="C60" i="4"/>
  <c r="C48" i="4"/>
  <c r="C56" i="4"/>
  <c r="C44" i="4"/>
  <c r="C64" i="4"/>
  <c r="C52" i="4"/>
  <c r="C40" i="4"/>
  <c r="C39" i="4"/>
  <c r="C37" i="4"/>
  <c r="H4" i="4"/>
  <c r="E4" i="4"/>
  <c r="H5" i="4"/>
  <c r="C5" i="4"/>
  <c r="C6" i="4"/>
  <c r="C7" i="4"/>
  <c r="C8" i="4"/>
  <c r="C9" i="4"/>
  <c r="C10" i="4"/>
  <c r="C11" i="4"/>
  <c r="C12" i="4"/>
  <c r="C13" i="4"/>
  <c r="C14" i="4"/>
  <c r="C15" i="4"/>
  <c r="C16" i="4"/>
  <c r="C17" i="4"/>
  <c r="C18" i="4"/>
  <c r="C19" i="4"/>
  <c r="C20" i="4"/>
  <c r="C21" i="4"/>
  <c r="C22" i="4"/>
  <c r="C23" i="4"/>
  <c r="C24" i="4"/>
  <c r="C25" i="4"/>
  <c r="C26" i="4"/>
  <c r="C27" i="4"/>
  <c r="C28" i="4"/>
  <c r="C29" i="4"/>
  <c r="C30" i="4"/>
  <c r="C31" i="4"/>
  <c r="C32" i="4"/>
  <c r="C33" i="4"/>
  <c r="C34" i="4"/>
  <c r="C38" i="4"/>
  <c r="C41" i="4"/>
  <c r="C45" i="4"/>
  <c r="C49" i="4"/>
  <c r="C53" i="4"/>
  <c r="C57" i="4"/>
  <c r="C61" i="4"/>
  <c r="C65" i="4"/>
  <c r="C67" i="4"/>
  <c r="C43" i="4"/>
  <c r="C51" i="4"/>
  <c r="C63" i="4"/>
  <c r="C47" i="4"/>
  <c r="C55" i="4"/>
  <c r="C59" i="4"/>
  <c r="C35" i="4"/>
  <c r="C42" i="4"/>
  <c r="C46" i="4"/>
  <c r="C50" i="4"/>
  <c r="C54" i="4"/>
  <c r="C58" i="4"/>
  <c r="C62" i="4"/>
  <c r="C26" i="3"/>
  <c r="C42" i="3"/>
  <c r="C61" i="3"/>
  <c r="C53" i="3"/>
  <c r="C45" i="3"/>
  <c r="C40" i="3"/>
  <c r="D40" i="3" s="1"/>
  <c r="C24" i="3"/>
  <c r="C60" i="3"/>
  <c r="C52" i="3"/>
  <c r="C44" i="3"/>
  <c r="C39" i="3"/>
  <c r="C23" i="3"/>
  <c r="C67" i="3"/>
  <c r="C59" i="3"/>
  <c r="C51" i="3"/>
  <c r="C35" i="3"/>
  <c r="C19" i="3"/>
  <c r="C66" i="3"/>
  <c r="C58" i="3"/>
  <c r="C50" i="3"/>
  <c r="C43" i="3"/>
  <c r="C34" i="3"/>
  <c r="C18" i="3"/>
  <c r="C65" i="3"/>
  <c r="C57" i="3"/>
  <c r="C49" i="3"/>
  <c r="C32" i="3"/>
  <c r="C16" i="3"/>
  <c r="C64" i="3"/>
  <c r="C56" i="3"/>
  <c r="C48" i="3"/>
  <c r="C31" i="3"/>
  <c r="C15" i="3"/>
  <c r="C63" i="3"/>
  <c r="C55" i="3"/>
  <c r="C47" i="3"/>
  <c r="C27" i="3"/>
  <c r="C62" i="3"/>
  <c r="C54" i="3"/>
  <c r="C41" i="3"/>
  <c r="C33" i="3"/>
  <c r="C25" i="3"/>
  <c r="C17" i="3"/>
  <c r="C30" i="3"/>
  <c r="C38" i="3"/>
  <c r="C22" i="3"/>
  <c r="C37" i="3"/>
  <c r="C29" i="3"/>
  <c r="C21" i="3"/>
  <c r="C36" i="3"/>
  <c r="C28" i="3"/>
  <c r="C20" i="3"/>
  <c r="C10" i="3"/>
  <c r="C9" i="3"/>
  <c r="C8" i="3"/>
  <c r="C12" i="3"/>
  <c r="C7" i="3"/>
  <c r="C14" i="3"/>
  <c r="C6" i="3"/>
  <c r="C11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5" i="3"/>
  <c r="B4" i="3"/>
  <c r="E189" i="54" l="1"/>
  <c r="D189" i="54" s="1"/>
  <c r="H189" i="54"/>
  <c r="I189" i="54" s="1"/>
  <c r="G189" i="54"/>
  <c r="F190" i="54" s="1"/>
  <c r="I188" i="54"/>
  <c r="I84" i="31"/>
  <c r="I94" i="40"/>
  <c r="D95" i="40"/>
  <c r="G95" i="40" s="1"/>
  <c r="F96" i="40" s="1"/>
  <c r="E96" i="40" s="1"/>
  <c r="I95" i="40"/>
  <c r="D326" i="40"/>
  <c r="G326" i="40" s="1"/>
  <c r="F327" i="40" s="1"/>
  <c r="E327" i="40" s="1"/>
  <c r="I318" i="31"/>
  <c r="E319" i="31"/>
  <c r="D319" i="31" s="1"/>
  <c r="G319" i="31" s="1"/>
  <c r="F320" i="31" s="1"/>
  <c r="H319" i="31"/>
  <c r="E85" i="31"/>
  <c r="D85" i="31" s="1"/>
  <c r="G85" i="31" s="1"/>
  <c r="F86" i="31" s="1"/>
  <c r="H85" i="31"/>
  <c r="D54" i="15"/>
  <c r="G54" i="15" s="1"/>
  <c r="F56" i="15" s="1"/>
  <c r="E56" i="15" s="1"/>
  <c r="D55" i="15"/>
  <c r="G55" i="15" s="1"/>
  <c r="F57" i="15" s="1"/>
  <c r="E57" i="15" s="1"/>
  <c r="I4" i="4"/>
  <c r="D5" i="4"/>
  <c r="G5" i="4" s="1"/>
  <c r="F6" i="4" s="1"/>
  <c r="E6" i="4" s="1"/>
  <c r="I5" i="4"/>
  <c r="H4" i="3"/>
  <c r="E4" i="3"/>
  <c r="C5" i="3"/>
  <c r="E190" i="54" l="1"/>
  <c r="D190" i="54" s="1"/>
  <c r="G190" i="54" s="1"/>
  <c r="F191" i="54" s="1"/>
  <c r="H190" i="54"/>
  <c r="I190" i="54" s="1"/>
  <c r="I319" i="31"/>
  <c r="D96" i="40"/>
  <c r="G96" i="40" s="1"/>
  <c r="F97" i="40" s="1"/>
  <c r="E97" i="40" s="1"/>
  <c r="D327" i="40"/>
  <c r="G327" i="40" s="1"/>
  <c r="F328" i="40" s="1"/>
  <c r="E328" i="40" s="1"/>
  <c r="E320" i="31"/>
  <c r="D320" i="31" s="1"/>
  <c r="G320" i="31" s="1"/>
  <c r="F321" i="31" s="1"/>
  <c r="H320" i="31"/>
  <c r="I85" i="31"/>
  <c r="H86" i="31"/>
  <c r="E86" i="31"/>
  <c r="D86" i="31" s="1"/>
  <c r="G86" i="31" s="1"/>
  <c r="F87" i="31" s="1"/>
  <c r="D57" i="15"/>
  <c r="G57" i="15" s="1"/>
  <c r="F59" i="15" s="1"/>
  <c r="E59" i="15" s="1"/>
  <c r="D56" i="15"/>
  <c r="G56" i="15" s="1"/>
  <c r="F58" i="15" s="1"/>
  <c r="E58" i="15" s="1"/>
  <c r="H6" i="4"/>
  <c r="D6" i="4"/>
  <c r="G6" i="4" s="1"/>
  <c r="F7" i="4" s="1"/>
  <c r="E7" i="4" s="1"/>
  <c r="I4" i="3"/>
  <c r="H191" i="54" l="1"/>
  <c r="E191" i="54"/>
  <c r="D191" i="54" s="1"/>
  <c r="G191" i="54" s="1"/>
  <c r="F192" i="54" s="1"/>
  <c r="D97" i="40"/>
  <c r="G97" i="40" s="1"/>
  <c r="F98" i="40" s="1"/>
  <c r="E98" i="40" s="1"/>
  <c r="D328" i="40"/>
  <c r="G328" i="40" s="1"/>
  <c r="F329" i="40" s="1"/>
  <c r="E329" i="40" s="1"/>
  <c r="I96" i="40"/>
  <c r="I320" i="31"/>
  <c r="E321" i="31"/>
  <c r="D321" i="31" s="1"/>
  <c r="G321" i="31" s="1"/>
  <c r="F322" i="31" s="1"/>
  <c r="H321" i="31"/>
  <c r="H87" i="31"/>
  <c r="E87" i="31"/>
  <c r="D87" i="31" s="1"/>
  <c r="G87" i="31" s="1"/>
  <c r="F88" i="31" s="1"/>
  <c r="I86" i="31"/>
  <c r="D58" i="15"/>
  <c r="G58" i="15" s="1"/>
  <c r="F60" i="15" s="1"/>
  <c r="E60" i="15" s="1"/>
  <c r="D59" i="15"/>
  <c r="G59" i="15" s="1"/>
  <c r="F61" i="15" s="1"/>
  <c r="E61" i="15" s="1"/>
  <c r="H7" i="4"/>
  <c r="D7" i="4"/>
  <c r="G7" i="4" s="1"/>
  <c r="F8" i="4" s="1"/>
  <c r="E8" i="4" s="1"/>
  <c r="I6" i="4"/>
  <c r="G4" i="3"/>
  <c r="F5" i="3" s="1"/>
  <c r="E5" i="3" s="1"/>
  <c r="D5" i="3" s="1"/>
  <c r="H192" i="54" l="1"/>
  <c r="E192" i="54"/>
  <c r="D192" i="54" s="1"/>
  <c r="G192" i="54" s="1"/>
  <c r="F193" i="54" s="1"/>
  <c r="I191" i="54"/>
  <c r="I321" i="31"/>
  <c r="I97" i="40"/>
  <c r="D329" i="40"/>
  <c r="G329" i="40" s="1"/>
  <c r="F330" i="40" s="1"/>
  <c r="E330" i="40" s="1"/>
  <c r="D98" i="40"/>
  <c r="G98" i="40" s="1"/>
  <c r="F99" i="40" s="1"/>
  <c r="E99" i="40" s="1"/>
  <c r="E322" i="31"/>
  <c r="D322" i="31" s="1"/>
  <c r="G322" i="31" s="1"/>
  <c r="F323" i="31" s="1"/>
  <c r="H322" i="31"/>
  <c r="H88" i="31"/>
  <c r="E88" i="31"/>
  <c r="D88" i="31" s="1"/>
  <c r="G88" i="31" s="1"/>
  <c r="F89" i="31" s="1"/>
  <c r="I87" i="31"/>
  <c r="D61" i="15"/>
  <c r="G61" i="15" s="1"/>
  <c r="F63" i="15" s="1"/>
  <c r="E63" i="15" s="1"/>
  <c r="D60" i="15"/>
  <c r="G60" i="15" s="1"/>
  <c r="F62" i="15" s="1"/>
  <c r="E62" i="15" s="1"/>
  <c r="H8" i="4"/>
  <c r="D8" i="4"/>
  <c r="G8" i="4" s="1"/>
  <c r="F9" i="4" s="1"/>
  <c r="E9" i="4" s="1"/>
  <c r="I7" i="4"/>
  <c r="G5" i="3"/>
  <c r="F6" i="3" s="1"/>
  <c r="E6" i="3" s="1"/>
  <c r="D6" i="3" s="1"/>
  <c r="H5" i="3"/>
  <c r="I5" i="3" s="1"/>
  <c r="H193" i="54" l="1"/>
  <c r="E193" i="54"/>
  <c r="D193" i="54" s="1"/>
  <c r="G193" i="54" s="1"/>
  <c r="F194" i="54" s="1"/>
  <c r="I192" i="54"/>
  <c r="D99" i="40"/>
  <c r="G99" i="40" s="1"/>
  <c r="F100" i="40" s="1"/>
  <c r="E100" i="40" s="1"/>
  <c r="D330" i="40"/>
  <c r="G330" i="40" s="1"/>
  <c r="F331" i="40" s="1"/>
  <c r="E331" i="40" s="1"/>
  <c r="I98" i="40"/>
  <c r="I322" i="31"/>
  <c r="E323" i="31"/>
  <c r="D323" i="31" s="1"/>
  <c r="G323" i="31" s="1"/>
  <c r="F324" i="31" s="1"/>
  <c r="H323" i="31"/>
  <c r="E89" i="31"/>
  <c r="D89" i="31" s="1"/>
  <c r="G89" i="31" s="1"/>
  <c r="F90" i="31" s="1"/>
  <c r="H89" i="31"/>
  <c r="I88" i="31"/>
  <c r="D62" i="15"/>
  <c r="G62" i="15" s="1"/>
  <c r="F64" i="15" s="1"/>
  <c r="E64" i="15" s="1"/>
  <c r="D63" i="15"/>
  <c r="G63" i="15" s="1"/>
  <c r="F65" i="15" s="1"/>
  <c r="E65" i="15" s="1"/>
  <c r="H9" i="4"/>
  <c r="D9" i="4"/>
  <c r="G9" i="4" s="1"/>
  <c r="F10" i="4" s="1"/>
  <c r="E10" i="4" s="1"/>
  <c r="I8" i="4"/>
  <c r="G6" i="3"/>
  <c r="F7" i="3" s="1"/>
  <c r="E7" i="3" s="1"/>
  <c r="H194" i="54" l="1"/>
  <c r="E194" i="54"/>
  <c r="D194" i="54" s="1"/>
  <c r="G194" i="54" s="1"/>
  <c r="F195" i="54" s="1"/>
  <c r="I193" i="54"/>
  <c r="I323" i="31"/>
  <c r="I89" i="31"/>
  <c r="I99" i="40"/>
  <c r="D331" i="40"/>
  <c r="G331" i="40" s="1"/>
  <c r="F332" i="40" s="1"/>
  <c r="E332" i="40" s="1"/>
  <c r="D100" i="40"/>
  <c r="G100" i="40" s="1"/>
  <c r="F101" i="40" s="1"/>
  <c r="E101" i="40" s="1"/>
  <c r="E324" i="31"/>
  <c r="D324" i="31" s="1"/>
  <c r="G324" i="31" s="1"/>
  <c r="F325" i="31" s="1"/>
  <c r="H324" i="31"/>
  <c r="H90" i="31"/>
  <c r="E90" i="31"/>
  <c r="D90" i="31" s="1"/>
  <c r="G90" i="31" s="1"/>
  <c r="F91" i="31" s="1"/>
  <c r="D65" i="15"/>
  <c r="G65" i="15" s="1"/>
  <c r="F67" i="15" s="1"/>
  <c r="E67" i="15" s="1"/>
  <c r="D64" i="15"/>
  <c r="G64" i="15" s="1"/>
  <c r="F66" i="15" s="1"/>
  <c r="E66" i="15" s="1"/>
  <c r="H10" i="4"/>
  <c r="D10" i="4"/>
  <c r="G10" i="4" s="1"/>
  <c r="F11" i="4" s="1"/>
  <c r="E11" i="4" s="1"/>
  <c r="I9" i="4"/>
  <c r="H6" i="3"/>
  <c r="I6" i="3" s="1"/>
  <c r="H195" i="54" l="1"/>
  <c r="E195" i="54"/>
  <c r="D195" i="54" s="1"/>
  <c r="G195" i="54" s="1"/>
  <c r="F196" i="54" s="1"/>
  <c r="I194" i="54"/>
  <c r="D101" i="40"/>
  <c r="G101" i="40" s="1"/>
  <c r="F102" i="40" s="1"/>
  <c r="E102" i="40" s="1"/>
  <c r="D332" i="40"/>
  <c r="G332" i="40" s="1"/>
  <c r="F333" i="40" s="1"/>
  <c r="E333" i="40" s="1"/>
  <c r="I100" i="40"/>
  <c r="I324" i="31"/>
  <c r="E325" i="31"/>
  <c r="D325" i="31" s="1"/>
  <c r="G325" i="31" s="1"/>
  <c r="F326" i="31" s="1"/>
  <c r="H325" i="31"/>
  <c r="H91" i="31"/>
  <c r="E91" i="31"/>
  <c r="D91" i="31" s="1"/>
  <c r="G91" i="31" s="1"/>
  <c r="F92" i="31" s="1"/>
  <c r="I90" i="31"/>
  <c r="D66" i="15"/>
  <c r="G66" i="15" s="1"/>
  <c r="F68" i="15" s="1"/>
  <c r="E68" i="15" s="1"/>
  <c r="D67" i="15"/>
  <c r="G67" i="15" s="1"/>
  <c r="F69" i="15" s="1"/>
  <c r="E69" i="15" s="1"/>
  <c r="H11" i="4"/>
  <c r="D11" i="4"/>
  <c r="G11" i="4" s="1"/>
  <c r="F12" i="4" s="1"/>
  <c r="E12" i="4" s="1"/>
  <c r="I10" i="4"/>
  <c r="D7" i="3"/>
  <c r="G7" i="3" s="1"/>
  <c r="F8" i="3" s="1"/>
  <c r="E8" i="3" s="1"/>
  <c r="H7" i="3"/>
  <c r="I7" i="3" s="1"/>
  <c r="E196" i="54" l="1"/>
  <c r="D196" i="54" s="1"/>
  <c r="G196" i="54" s="1"/>
  <c r="F197" i="54" s="1"/>
  <c r="H196" i="54"/>
  <c r="I195" i="54"/>
  <c r="I101" i="40"/>
  <c r="D333" i="40"/>
  <c r="G333" i="40" s="1"/>
  <c r="F334" i="40" s="1"/>
  <c r="E334" i="40" s="1"/>
  <c r="D102" i="40"/>
  <c r="G102" i="40" s="1"/>
  <c r="F103" i="40" s="1"/>
  <c r="E103" i="40" s="1"/>
  <c r="E326" i="31"/>
  <c r="D326" i="31" s="1"/>
  <c r="G326" i="31" s="1"/>
  <c r="F327" i="31" s="1"/>
  <c r="H326" i="31"/>
  <c r="I325" i="31"/>
  <c r="E92" i="31"/>
  <c r="D92" i="31" s="1"/>
  <c r="G92" i="31" s="1"/>
  <c r="F93" i="31" s="1"/>
  <c r="H92" i="31"/>
  <c r="I91" i="31"/>
  <c r="D69" i="15"/>
  <c r="G69" i="15" s="1"/>
  <c r="F71" i="15" s="1"/>
  <c r="E71" i="15" s="1"/>
  <c r="D68" i="15"/>
  <c r="G68" i="15" s="1"/>
  <c r="F70" i="15" s="1"/>
  <c r="E70" i="15" s="1"/>
  <c r="H12" i="4"/>
  <c r="D12" i="4"/>
  <c r="G12" i="4" s="1"/>
  <c r="F13" i="4" s="1"/>
  <c r="E13" i="4" s="1"/>
  <c r="I11" i="4"/>
  <c r="H8" i="3"/>
  <c r="E197" i="54" l="1"/>
  <c r="D197" i="54" s="1"/>
  <c r="G197" i="54" s="1"/>
  <c r="F198" i="54" s="1"/>
  <c r="H197" i="54"/>
  <c r="I197" i="54" s="1"/>
  <c r="I196" i="54"/>
  <c r="D103" i="40"/>
  <c r="G103" i="40" s="1"/>
  <c r="F104" i="40" s="1"/>
  <c r="E104" i="40" s="1"/>
  <c r="I103" i="40"/>
  <c r="D334" i="40"/>
  <c r="G334" i="40" s="1"/>
  <c r="F335" i="40" s="1"/>
  <c r="E335" i="40" s="1"/>
  <c r="I102" i="40"/>
  <c r="I92" i="31"/>
  <c r="I326" i="31"/>
  <c r="E327" i="31"/>
  <c r="D327" i="31" s="1"/>
  <c r="G327" i="31" s="1"/>
  <c r="F328" i="31" s="1"/>
  <c r="H327" i="31"/>
  <c r="H93" i="31"/>
  <c r="E93" i="31"/>
  <c r="D93" i="31" s="1"/>
  <c r="G93" i="31" s="1"/>
  <c r="F94" i="31" s="1"/>
  <c r="D70" i="15"/>
  <c r="G70" i="15" s="1"/>
  <c r="F72" i="15" s="1"/>
  <c r="E72" i="15" s="1"/>
  <c r="D71" i="15"/>
  <c r="G71" i="15" s="1"/>
  <c r="F73" i="15" s="1"/>
  <c r="E73" i="15" s="1"/>
  <c r="H13" i="4"/>
  <c r="D13" i="4"/>
  <c r="G13" i="4" s="1"/>
  <c r="I12" i="4"/>
  <c r="I8" i="3"/>
  <c r="D8" i="3"/>
  <c r="G8" i="3" s="1"/>
  <c r="F9" i="3" s="1"/>
  <c r="E9" i="3" s="1"/>
  <c r="E198" i="54" l="1"/>
  <c r="D198" i="54" s="1"/>
  <c r="G198" i="54" s="1"/>
  <c r="F199" i="54" s="1"/>
  <c r="H198" i="54"/>
  <c r="D335" i="40"/>
  <c r="G335" i="40" s="1"/>
  <c r="F336" i="40" s="1"/>
  <c r="E336" i="40" s="1"/>
  <c r="D104" i="40"/>
  <c r="G104" i="40" s="1"/>
  <c r="F105" i="40" s="1"/>
  <c r="E105" i="40" s="1"/>
  <c r="E328" i="31"/>
  <c r="D328" i="31" s="1"/>
  <c r="G328" i="31" s="1"/>
  <c r="F329" i="31" s="1"/>
  <c r="H328" i="31"/>
  <c r="I327" i="31"/>
  <c r="E94" i="31"/>
  <c r="D94" i="31" s="1"/>
  <c r="G94" i="31" s="1"/>
  <c r="F95" i="31" s="1"/>
  <c r="H94" i="31"/>
  <c r="I93" i="31"/>
  <c r="D73" i="15"/>
  <c r="G73" i="15" s="1"/>
  <c r="F75" i="15" s="1"/>
  <c r="E75" i="15" s="1"/>
  <c r="D72" i="15"/>
  <c r="G72" i="15" s="1"/>
  <c r="F74" i="15" s="1"/>
  <c r="E74" i="15" s="1"/>
  <c r="F41" i="4"/>
  <c r="F14" i="4"/>
  <c r="I13" i="4"/>
  <c r="H9" i="3"/>
  <c r="I9" i="3" s="1"/>
  <c r="I198" i="54" l="1"/>
  <c r="H199" i="54"/>
  <c r="E199" i="54"/>
  <c r="D199" i="54" s="1"/>
  <c r="G199" i="54" s="1"/>
  <c r="F200" i="54" s="1"/>
  <c r="D105" i="40"/>
  <c r="G105" i="40" s="1"/>
  <c r="F106" i="40" s="1"/>
  <c r="E106" i="40" s="1"/>
  <c r="D336" i="40"/>
  <c r="G336" i="40" s="1"/>
  <c r="F337" i="40" s="1"/>
  <c r="E337" i="40" s="1"/>
  <c r="I104" i="40"/>
  <c r="I94" i="31"/>
  <c r="I328" i="31"/>
  <c r="E329" i="31"/>
  <c r="D329" i="31" s="1"/>
  <c r="G329" i="31" s="1"/>
  <c r="F330" i="31" s="1"/>
  <c r="H329" i="31"/>
  <c r="H95" i="31"/>
  <c r="E95" i="31"/>
  <c r="D95" i="31" s="1"/>
  <c r="G95" i="31" s="1"/>
  <c r="F96" i="31" s="1"/>
  <c r="D74" i="15"/>
  <c r="G74" i="15" s="1"/>
  <c r="F76" i="15" s="1"/>
  <c r="E76" i="15" s="1"/>
  <c r="D75" i="15"/>
  <c r="G75" i="15" s="1"/>
  <c r="F77" i="15" s="1"/>
  <c r="E77" i="15" s="1"/>
  <c r="E14" i="4"/>
  <c r="D14" i="4" s="1"/>
  <c r="G41" i="4" s="1"/>
  <c r="E41" i="4"/>
  <c r="D41" i="4" s="1"/>
  <c r="H14" i="4"/>
  <c r="D9" i="3"/>
  <c r="G9" i="3" s="1"/>
  <c r="F10" i="3" s="1"/>
  <c r="E10" i="3" s="1"/>
  <c r="H200" i="54" l="1"/>
  <c r="E200" i="54"/>
  <c r="D200" i="54" s="1"/>
  <c r="G200" i="54" s="1"/>
  <c r="F201" i="54" s="1"/>
  <c r="I199" i="54"/>
  <c r="D337" i="40"/>
  <c r="G337" i="40" s="1"/>
  <c r="F338" i="40" s="1"/>
  <c r="E338" i="40" s="1"/>
  <c r="D106" i="40"/>
  <c r="G106" i="40" s="1"/>
  <c r="F107" i="40" s="1"/>
  <c r="E107" i="40" s="1"/>
  <c r="I105" i="40"/>
  <c r="E330" i="31"/>
  <c r="D330" i="31" s="1"/>
  <c r="G330" i="31" s="1"/>
  <c r="F331" i="31" s="1"/>
  <c r="H330" i="31"/>
  <c r="I329" i="31"/>
  <c r="E96" i="31"/>
  <c r="D96" i="31" s="1"/>
  <c r="G96" i="31" s="1"/>
  <c r="F97" i="31" s="1"/>
  <c r="H96" i="31"/>
  <c r="I95" i="31"/>
  <c r="D77" i="15"/>
  <c r="G77" i="15" s="1"/>
  <c r="F79" i="15" s="1"/>
  <c r="E79" i="15" s="1"/>
  <c r="D76" i="15"/>
  <c r="G76" i="15" s="1"/>
  <c r="F78" i="15" s="1"/>
  <c r="E78" i="15" s="1"/>
  <c r="G14" i="4"/>
  <c r="I14" i="4"/>
  <c r="H10" i="3"/>
  <c r="I10" i="3" s="1"/>
  <c r="H201" i="54" l="1"/>
  <c r="E201" i="54"/>
  <c r="D201" i="54" s="1"/>
  <c r="G201" i="54" s="1"/>
  <c r="F202" i="54" s="1"/>
  <c r="I200" i="54"/>
  <c r="D338" i="40"/>
  <c r="G338" i="40" s="1"/>
  <c r="F339" i="40" s="1"/>
  <c r="E339" i="40" s="1"/>
  <c r="D107" i="40"/>
  <c r="G107" i="40" s="1"/>
  <c r="F108" i="40" s="1"/>
  <c r="E108" i="40" s="1"/>
  <c r="I106" i="40"/>
  <c r="I330" i="31"/>
  <c r="E331" i="31"/>
  <c r="D331" i="31" s="1"/>
  <c r="G331" i="31" s="1"/>
  <c r="F332" i="31" s="1"/>
  <c r="H331" i="31"/>
  <c r="I96" i="31"/>
  <c r="E97" i="31"/>
  <c r="D97" i="31" s="1"/>
  <c r="G97" i="31" s="1"/>
  <c r="F98" i="31" s="1"/>
  <c r="H97" i="31"/>
  <c r="D79" i="15"/>
  <c r="G79" i="15" s="1"/>
  <c r="F81" i="15" s="1"/>
  <c r="E81" i="15" s="1"/>
  <c r="D78" i="15"/>
  <c r="G78" i="15" s="1"/>
  <c r="F80" i="15" s="1"/>
  <c r="E80" i="15" s="1"/>
  <c r="F42" i="4"/>
  <c r="E42" i="4" s="1"/>
  <c r="F15" i="4"/>
  <c r="E15" i="4" s="1"/>
  <c r="D10" i="3"/>
  <c r="G10" i="3" s="1"/>
  <c r="F11" i="3" s="1"/>
  <c r="E11" i="3" s="1"/>
  <c r="H202" i="54" l="1"/>
  <c r="E202" i="54"/>
  <c r="D202" i="54" s="1"/>
  <c r="G202" i="54" s="1"/>
  <c r="F203" i="54" s="1"/>
  <c r="I201" i="54"/>
  <c r="D108" i="40"/>
  <c r="G108" i="40" s="1"/>
  <c r="F109" i="40" s="1"/>
  <c r="E109" i="40" s="1"/>
  <c r="D339" i="40"/>
  <c r="G339" i="40" s="1"/>
  <c r="F340" i="40" s="1"/>
  <c r="E340" i="40" s="1"/>
  <c r="I107" i="40"/>
  <c r="E332" i="31"/>
  <c r="D332" i="31" s="1"/>
  <c r="G332" i="31" s="1"/>
  <c r="F333" i="31" s="1"/>
  <c r="H332" i="31"/>
  <c r="I331" i="31"/>
  <c r="I97" i="31"/>
  <c r="E98" i="31"/>
  <c r="D98" i="31" s="1"/>
  <c r="G98" i="31" s="1"/>
  <c r="F99" i="31" s="1"/>
  <c r="H98" i="31"/>
  <c r="D80" i="15"/>
  <c r="G80" i="15" s="1"/>
  <c r="F82" i="15" s="1"/>
  <c r="E82" i="15" s="1"/>
  <c r="D81" i="15"/>
  <c r="G81" i="15" s="1"/>
  <c r="F83" i="15" s="1"/>
  <c r="E83" i="15" s="1"/>
  <c r="H15" i="4"/>
  <c r="D15" i="4"/>
  <c r="G15" i="4" s="1"/>
  <c r="F16" i="4" s="1"/>
  <c r="E16" i="4" s="1"/>
  <c r="D42" i="4"/>
  <c r="G42" i="4" s="1"/>
  <c r="F43" i="4" s="1"/>
  <c r="E43" i="4" s="1"/>
  <c r="H11" i="3"/>
  <c r="H203" i="54" l="1"/>
  <c r="E203" i="54"/>
  <c r="D203" i="54" s="1"/>
  <c r="G203" i="54" s="1"/>
  <c r="F204" i="54" s="1"/>
  <c r="I202" i="54"/>
  <c r="D340" i="40"/>
  <c r="G340" i="40" s="1"/>
  <c r="F341" i="40" s="1"/>
  <c r="E341" i="40" s="1"/>
  <c r="D109" i="40"/>
  <c r="G109" i="40" s="1"/>
  <c r="F110" i="40" s="1"/>
  <c r="E110" i="40" s="1"/>
  <c r="I108" i="40"/>
  <c r="E333" i="31"/>
  <c r="D333" i="31" s="1"/>
  <c r="G333" i="31" s="1"/>
  <c r="F334" i="31" s="1"/>
  <c r="H333" i="31"/>
  <c r="I98" i="31"/>
  <c r="I332" i="31"/>
  <c r="E99" i="31"/>
  <c r="D99" i="31" s="1"/>
  <c r="G99" i="31" s="1"/>
  <c r="F100" i="31" s="1"/>
  <c r="H99" i="31"/>
  <c r="D83" i="15"/>
  <c r="G83" i="15" s="1"/>
  <c r="F85" i="15" s="1"/>
  <c r="E85" i="15" s="1"/>
  <c r="D82" i="15"/>
  <c r="G82" i="15" s="1"/>
  <c r="F84" i="15" s="1"/>
  <c r="E84" i="15" s="1"/>
  <c r="H16" i="4"/>
  <c r="D16" i="4"/>
  <c r="G16" i="4" s="1"/>
  <c r="F17" i="4" s="1"/>
  <c r="E17" i="4" s="1"/>
  <c r="I15" i="4"/>
  <c r="D43" i="4"/>
  <c r="G43" i="4" s="1"/>
  <c r="F44" i="4" s="1"/>
  <c r="E44" i="4" s="1"/>
  <c r="I11" i="3"/>
  <c r="D11" i="3"/>
  <c r="G11" i="3" s="1"/>
  <c r="F12" i="3" s="1"/>
  <c r="E12" i="3" s="1"/>
  <c r="E204" i="54" l="1"/>
  <c r="D204" i="54" s="1"/>
  <c r="H204" i="54"/>
  <c r="I204" i="54" s="1"/>
  <c r="G204" i="54"/>
  <c r="F205" i="54" s="1"/>
  <c r="I203" i="54"/>
  <c r="D110" i="40"/>
  <c r="G110" i="40" s="1"/>
  <c r="F111" i="40" s="1"/>
  <c r="E111" i="40" s="1"/>
  <c r="D341" i="40"/>
  <c r="G341" i="40" s="1"/>
  <c r="F342" i="40" s="1"/>
  <c r="E342" i="40" s="1"/>
  <c r="I109" i="40"/>
  <c r="E334" i="31"/>
  <c r="D334" i="31" s="1"/>
  <c r="G334" i="31" s="1"/>
  <c r="F335" i="31" s="1"/>
  <c r="H334" i="31"/>
  <c r="I99" i="31"/>
  <c r="I333" i="31"/>
  <c r="H100" i="31"/>
  <c r="E100" i="31"/>
  <c r="D100" i="31" s="1"/>
  <c r="G100" i="31" s="1"/>
  <c r="F101" i="31" s="1"/>
  <c r="D84" i="15"/>
  <c r="G84" i="15" s="1"/>
  <c r="F86" i="15" s="1"/>
  <c r="E86" i="15" s="1"/>
  <c r="D85" i="15"/>
  <c r="G85" i="15" s="1"/>
  <c r="F87" i="15" s="1"/>
  <c r="E87" i="15" s="1"/>
  <c r="D44" i="4"/>
  <c r="G44" i="4" s="1"/>
  <c r="F45" i="4" s="1"/>
  <c r="E45" i="4" s="1"/>
  <c r="H17" i="4"/>
  <c r="D17" i="4"/>
  <c r="G17" i="4" s="1"/>
  <c r="F18" i="4" s="1"/>
  <c r="E18" i="4" s="1"/>
  <c r="I16" i="4"/>
  <c r="H12" i="3"/>
  <c r="E205" i="54" l="1"/>
  <c r="D205" i="54" s="1"/>
  <c r="H205" i="54"/>
  <c r="I205" i="54" s="1"/>
  <c r="G205" i="54"/>
  <c r="F206" i="54" s="1"/>
  <c r="D342" i="40"/>
  <c r="G342" i="40" s="1"/>
  <c r="F343" i="40" s="1"/>
  <c r="E343" i="40" s="1"/>
  <c r="D111" i="40"/>
  <c r="G111" i="40" s="1"/>
  <c r="F112" i="40" s="1"/>
  <c r="E112" i="40" s="1"/>
  <c r="I110" i="40"/>
  <c r="I334" i="31"/>
  <c r="E335" i="31"/>
  <c r="D335" i="31" s="1"/>
  <c r="G335" i="31" s="1"/>
  <c r="F336" i="31" s="1"/>
  <c r="H335" i="31"/>
  <c r="H101" i="31"/>
  <c r="E101" i="31"/>
  <c r="D101" i="31" s="1"/>
  <c r="G101" i="31" s="1"/>
  <c r="F102" i="31" s="1"/>
  <c r="I100" i="31"/>
  <c r="D87" i="15"/>
  <c r="G87" i="15" s="1"/>
  <c r="F89" i="15" s="1"/>
  <c r="E89" i="15" s="1"/>
  <c r="D86" i="15"/>
  <c r="G86" i="15" s="1"/>
  <c r="F88" i="15" s="1"/>
  <c r="E88" i="15" s="1"/>
  <c r="H18" i="4"/>
  <c r="D18" i="4"/>
  <c r="G18" i="4" s="1"/>
  <c r="F19" i="4" s="1"/>
  <c r="E19" i="4" s="1"/>
  <c r="D45" i="4"/>
  <c r="G45" i="4" s="1"/>
  <c r="F46" i="4" s="1"/>
  <c r="E46" i="4" s="1"/>
  <c r="I17" i="4"/>
  <c r="I12" i="3"/>
  <c r="D12" i="3"/>
  <c r="G12" i="3" s="1"/>
  <c r="F13" i="3" s="1"/>
  <c r="E206" i="54" l="1"/>
  <c r="D206" i="54" s="1"/>
  <c r="G206" i="54" s="1"/>
  <c r="F207" i="54" s="1"/>
  <c r="H206" i="54"/>
  <c r="D112" i="40"/>
  <c r="G112" i="40" s="1"/>
  <c r="F113" i="40" s="1"/>
  <c r="E113" i="40" s="1"/>
  <c r="D343" i="40"/>
  <c r="G343" i="40" s="1"/>
  <c r="F344" i="40" s="1"/>
  <c r="E344" i="40" s="1"/>
  <c r="I111" i="40"/>
  <c r="I335" i="31"/>
  <c r="E336" i="31"/>
  <c r="D336" i="31" s="1"/>
  <c r="G336" i="31" s="1"/>
  <c r="F337" i="31" s="1"/>
  <c r="H336" i="31"/>
  <c r="H102" i="31"/>
  <c r="E102" i="31"/>
  <c r="D102" i="31" s="1"/>
  <c r="G102" i="31" s="1"/>
  <c r="F103" i="31" s="1"/>
  <c r="I101" i="31"/>
  <c r="D88" i="15"/>
  <c r="G88" i="15" s="1"/>
  <c r="F90" i="15" s="1"/>
  <c r="E90" i="15" s="1"/>
  <c r="D89" i="15"/>
  <c r="G89" i="15" s="1"/>
  <c r="F91" i="15" s="1"/>
  <c r="E91" i="15" s="1"/>
  <c r="H19" i="4"/>
  <c r="D19" i="4"/>
  <c r="G19" i="4" s="1"/>
  <c r="F20" i="4" s="1"/>
  <c r="E20" i="4" s="1"/>
  <c r="D46" i="4"/>
  <c r="G46" i="4" s="1"/>
  <c r="F47" i="4" s="1"/>
  <c r="E47" i="4" s="1"/>
  <c r="I18" i="4"/>
  <c r="E13" i="3"/>
  <c r="D13" i="3" s="1"/>
  <c r="G13" i="3" s="1"/>
  <c r="H13" i="3"/>
  <c r="I206" i="54" l="1"/>
  <c r="H207" i="54"/>
  <c r="E207" i="54"/>
  <c r="D207" i="54" s="1"/>
  <c r="G207" i="54" s="1"/>
  <c r="F208" i="54" s="1"/>
  <c r="I336" i="31"/>
  <c r="I112" i="40"/>
  <c r="D344" i="40"/>
  <c r="G344" i="40" s="1"/>
  <c r="F345" i="40" s="1"/>
  <c r="E345" i="40" s="1"/>
  <c r="D113" i="40"/>
  <c r="G113" i="40" s="1"/>
  <c r="F114" i="40" s="1"/>
  <c r="E114" i="40" s="1"/>
  <c r="E337" i="31"/>
  <c r="D337" i="31" s="1"/>
  <c r="G337" i="31" s="1"/>
  <c r="F338" i="31" s="1"/>
  <c r="H337" i="31"/>
  <c r="H103" i="31"/>
  <c r="E103" i="31"/>
  <c r="D103" i="31" s="1"/>
  <c r="G103" i="31" s="1"/>
  <c r="F104" i="31" s="1"/>
  <c r="I102" i="31"/>
  <c r="D91" i="15"/>
  <c r="G91" i="15" s="1"/>
  <c r="F93" i="15" s="1"/>
  <c r="E93" i="15" s="1"/>
  <c r="D90" i="15"/>
  <c r="G90" i="15" s="1"/>
  <c r="F92" i="15" s="1"/>
  <c r="E92" i="15" s="1"/>
  <c r="D47" i="4"/>
  <c r="G47" i="4" s="1"/>
  <c r="F48" i="4" s="1"/>
  <c r="E48" i="4" s="1"/>
  <c r="H20" i="4"/>
  <c r="D20" i="4"/>
  <c r="G20" i="4" s="1"/>
  <c r="F21" i="4" s="1"/>
  <c r="E21" i="4" s="1"/>
  <c r="I19" i="4"/>
  <c r="F14" i="3"/>
  <c r="F41" i="3"/>
  <c r="I13" i="3"/>
  <c r="H14" i="3"/>
  <c r="E208" i="54" l="1"/>
  <c r="D208" i="54" s="1"/>
  <c r="G208" i="54" s="1"/>
  <c r="F209" i="54" s="1"/>
  <c r="H208" i="54"/>
  <c r="I207" i="54"/>
  <c r="D114" i="40"/>
  <c r="G114" i="40" s="1"/>
  <c r="F115" i="40" s="1"/>
  <c r="E115" i="40" s="1"/>
  <c r="D345" i="40"/>
  <c r="G345" i="40" s="1"/>
  <c r="F346" i="40" s="1"/>
  <c r="E346" i="40" s="1"/>
  <c r="I113" i="40"/>
  <c r="E338" i="31"/>
  <c r="D338" i="31" s="1"/>
  <c r="G338" i="31" s="1"/>
  <c r="F339" i="31" s="1"/>
  <c r="H338" i="31"/>
  <c r="I337" i="31"/>
  <c r="H104" i="31"/>
  <c r="E104" i="31"/>
  <c r="D104" i="31" s="1"/>
  <c r="G104" i="31" s="1"/>
  <c r="F105" i="31" s="1"/>
  <c r="I103" i="31"/>
  <c r="D92" i="15"/>
  <c r="G92" i="15" s="1"/>
  <c r="F94" i="15" s="1"/>
  <c r="E94" i="15" s="1"/>
  <c r="D93" i="15"/>
  <c r="G93" i="15" s="1"/>
  <c r="F95" i="15" s="1"/>
  <c r="E95" i="15" s="1"/>
  <c r="H21" i="4"/>
  <c r="D21" i="4"/>
  <c r="G21" i="4" s="1"/>
  <c r="F22" i="4" s="1"/>
  <c r="E22" i="4" s="1"/>
  <c r="D48" i="4"/>
  <c r="G48" i="4" s="1"/>
  <c r="F49" i="4" s="1"/>
  <c r="E49" i="4" s="1"/>
  <c r="I20" i="4"/>
  <c r="E14" i="3"/>
  <c r="E41" i="3"/>
  <c r="D41" i="3" s="1"/>
  <c r="D14" i="3"/>
  <c r="G14" i="3" s="1"/>
  <c r="F42" i="3" s="1"/>
  <c r="I14" i="3"/>
  <c r="I208" i="54" l="1"/>
  <c r="E209" i="54"/>
  <c r="D209" i="54" s="1"/>
  <c r="G209" i="54" s="1"/>
  <c r="F210" i="54" s="1"/>
  <c r="H209" i="54"/>
  <c r="I114" i="40"/>
  <c r="D346" i="40"/>
  <c r="G346" i="40" s="1"/>
  <c r="F347" i="40" s="1"/>
  <c r="E347" i="40" s="1"/>
  <c r="D115" i="40"/>
  <c r="G115" i="40" s="1"/>
  <c r="F116" i="40" s="1"/>
  <c r="E116" i="40" s="1"/>
  <c r="E339" i="31"/>
  <c r="D339" i="31" s="1"/>
  <c r="G339" i="31" s="1"/>
  <c r="F340" i="31" s="1"/>
  <c r="H339" i="31"/>
  <c r="I104" i="31"/>
  <c r="I338" i="31"/>
  <c r="H105" i="31"/>
  <c r="E105" i="31"/>
  <c r="D105" i="31" s="1"/>
  <c r="G105" i="31" s="1"/>
  <c r="F106" i="31" s="1"/>
  <c r="D95" i="15"/>
  <c r="G95" i="15" s="1"/>
  <c r="F97" i="15" s="1"/>
  <c r="E97" i="15" s="1"/>
  <c r="D94" i="15"/>
  <c r="G94" i="15" s="1"/>
  <c r="F96" i="15" s="1"/>
  <c r="E96" i="15" s="1"/>
  <c r="D49" i="4"/>
  <c r="G49" i="4" s="1"/>
  <c r="F50" i="4" s="1"/>
  <c r="E50" i="4" s="1"/>
  <c r="H22" i="4"/>
  <c r="D22" i="4"/>
  <c r="G22" i="4" s="1"/>
  <c r="F23" i="4" s="1"/>
  <c r="E23" i="4" s="1"/>
  <c r="I21" i="4"/>
  <c r="E42" i="3"/>
  <c r="G41" i="3"/>
  <c r="F15" i="3"/>
  <c r="H15" i="3"/>
  <c r="I209" i="54" l="1"/>
  <c r="E210" i="54"/>
  <c r="D210" i="54" s="1"/>
  <c r="G210" i="54" s="1"/>
  <c r="F211" i="54" s="1"/>
  <c r="H210" i="54"/>
  <c r="D347" i="40"/>
  <c r="G347" i="40" s="1"/>
  <c r="F348" i="40" s="1"/>
  <c r="E348" i="40" s="1"/>
  <c r="D116" i="40"/>
  <c r="G116" i="40" s="1"/>
  <c r="F117" i="40" s="1"/>
  <c r="E117" i="40" s="1"/>
  <c r="I115" i="40"/>
  <c r="E340" i="31"/>
  <c r="D340" i="31" s="1"/>
  <c r="G340" i="31" s="1"/>
  <c r="F341" i="31" s="1"/>
  <c r="H340" i="31"/>
  <c r="I339" i="31"/>
  <c r="H106" i="31"/>
  <c r="E106" i="31"/>
  <c r="D106" i="31" s="1"/>
  <c r="G106" i="31" s="1"/>
  <c r="F107" i="31" s="1"/>
  <c r="I105" i="31"/>
  <c r="D96" i="15"/>
  <c r="G96" i="15" s="1"/>
  <c r="F98" i="15" s="1"/>
  <c r="E98" i="15" s="1"/>
  <c r="D97" i="15"/>
  <c r="G97" i="15" s="1"/>
  <c r="F99" i="15" s="1"/>
  <c r="E99" i="15" s="1"/>
  <c r="H23" i="4"/>
  <c r="D23" i="4"/>
  <c r="G23" i="4" s="1"/>
  <c r="F24" i="4" s="1"/>
  <c r="E24" i="4" s="1"/>
  <c r="D50" i="4"/>
  <c r="G50" i="4" s="1"/>
  <c r="F51" i="4" s="1"/>
  <c r="E51" i="4" s="1"/>
  <c r="I22" i="4"/>
  <c r="E15" i="3"/>
  <c r="D15" i="3" s="1"/>
  <c r="G15" i="3" s="1"/>
  <c r="F16" i="3" s="1"/>
  <c r="H16" i="3" s="1"/>
  <c r="D42" i="3"/>
  <c r="G42" i="3" s="1"/>
  <c r="F43" i="3" s="1"/>
  <c r="E43" i="3" s="1"/>
  <c r="D43" i="3" s="1"/>
  <c r="G43" i="3" s="1"/>
  <c r="F44" i="3" s="1"/>
  <c r="I210" i="54" l="1"/>
  <c r="E211" i="54"/>
  <c r="D211" i="54" s="1"/>
  <c r="H211" i="54"/>
  <c r="G211" i="54"/>
  <c r="F212" i="54" s="1"/>
  <c r="D117" i="40"/>
  <c r="G117" i="40" s="1"/>
  <c r="F118" i="40" s="1"/>
  <c r="E118" i="40" s="1"/>
  <c r="D348" i="40"/>
  <c r="G348" i="40" s="1"/>
  <c r="F349" i="40" s="1"/>
  <c r="E349" i="40" s="1"/>
  <c r="I116" i="40"/>
  <c r="E341" i="31"/>
  <c r="D341" i="31" s="1"/>
  <c r="G341" i="31" s="1"/>
  <c r="F342" i="31" s="1"/>
  <c r="H341" i="31"/>
  <c r="I340" i="31"/>
  <c r="H107" i="31"/>
  <c r="E107" i="31"/>
  <c r="D107" i="31" s="1"/>
  <c r="G107" i="31" s="1"/>
  <c r="F108" i="31" s="1"/>
  <c r="I106" i="31"/>
  <c r="D98" i="15"/>
  <c r="G98" i="15" s="1"/>
  <c r="F100" i="15" s="1"/>
  <c r="E100" i="15" s="1"/>
  <c r="D99" i="15"/>
  <c r="G99" i="15" s="1"/>
  <c r="F101" i="15" s="1"/>
  <c r="E101" i="15" s="1"/>
  <c r="H24" i="4"/>
  <c r="D24" i="4"/>
  <c r="G24" i="4" s="1"/>
  <c r="F25" i="4" s="1"/>
  <c r="E25" i="4" s="1"/>
  <c r="D51" i="4"/>
  <c r="G51" i="4" s="1"/>
  <c r="F52" i="4" s="1"/>
  <c r="E52" i="4" s="1"/>
  <c r="I23" i="4"/>
  <c r="E44" i="3"/>
  <c r="D44" i="3" s="1"/>
  <c r="G44" i="3" s="1"/>
  <c r="F45" i="3" s="1"/>
  <c r="E16" i="3"/>
  <c r="D16" i="3" s="1"/>
  <c r="G16" i="3" s="1"/>
  <c r="F17" i="3" s="1"/>
  <c r="I15" i="3"/>
  <c r="I16" i="3"/>
  <c r="H17" i="3"/>
  <c r="E17" i="3"/>
  <c r="D17" i="3" s="1"/>
  <c r="G17" i="3" s="1"/>
  <c r="F18" i="3" s="1"/>
  <c r="I211" i="54" l="1"/>
  <c r="E212" i="54"/>
  <c r="D212" i="54" s="1"/>
  <c r="G212" i="54" s="1"/>
  <c r="F213" i="54" s="1"/>
  <c r="H212" i="54"/>
  <c r="D349" i="40"/>
  <c r="G349" i="40" s="1"/>
  <c r="F350" i="40" s="1"/>
  <c r="E350" i="40" s="1"/>
  <c r="D118" i="40"/>
  <c r="G118" i="40" s="1"/>
  <c r="F119" i="40" s="1"/>
  <c r="E119" i="40" s="1"/>
  <c r="I117" i="40"/>
  <c r="E342" i="31"/>
  <c r="D342" i="31" s="1"/>
  <c r="G342" i="31" s="1"/>
  <c r="F343" i="31" s="1"/>
  <c r="H342" i="31"/>
  <c r="I341" i="31"/>
  <c r="E108" i="31"/>
  <c r="D108" i="31" s="1"/>
  <c r="G108" i="31" s="1"/>
  <c r="F109" i="31" s="1"/>
  <c r="H108" i="31"/>
  <c r="I107" i="31"/>
  <c r="D101" i="15"/>
  <c r="G101" i="15" s="1"/>
  <c r="F103" i="15" s="1"/>
  <c r="E103" i="15" s="1"/>
  <c r="D100" i="15"/>
  <c r="G100" i="15" s="1"/>
  <c r="F102" i="15" s="1"/>
  <c r="E102" i="15" s="1"/>
  <c r="D52" i="4"/>
  <c r="G52" i="4" s="1"/>
  <c r="F53" i="4" s="1"/>
  <c r="E53" i="4" s="1"/>
  <c r="H25" i="4"/>
  <c r="D25" i="4"/>
  <c r="G25" i="4" s="1"/>
  <c r="F26" i="4" s="1"/>
  <c r="E26" i="4" s="1"/>
  <c r="I24" i="4"/>
  <c r="E45" i="3"/>
  <c r="D45" i="3" s="1"/>
  <c r="G45" i="3" s="1"/>
  <c r="F46" i="3" s="1"/>
  <c r="E46" i="3" s="1"/>
  <c r="D46" i="3" s="1"/>
  <c r="G46" i="3" s="1"/>
  <c r="F47" i="3" s="1"/>
  <c r="E47" i="3" s="1"/>
  <c r="D47" i="3" s="1"/>
  <c r="G47" i="3" s="1"/>
  <c r="F48" i="3" s="1"/>
  <c r="E48" i="3" s="1"/>
  <c r="D48" i="3" s="1"/>
  <c r="G48" i="3" s="1"/>
  <c r="F49" i="3" s="1"/>
  <c r="E49" i="3" s="1"/>
  <c r="D49" i="3" s="1"/>
  <c r="G49" i="3" s="1"/>
  <c r="F50" i="3" s="1"/>
  <c r="E50" i="3" s="1"/>
  <c r="D50" i="3" s="1"/>
  <c r="G50" i="3" s="1"/>
  <c r="F51" i="3" s="1"/>
  <c r="E51" i="3" s="1"/>
  <c r="D51" i="3" s="1"/>
  <c r="G51" i="3" s="1"/>
  <c r="F52" i="3" s="1"/>
  <c r="E52" i="3" s="1"/>
  <c r="D52" i="3" s="1"/>
  <c r="G52" i="3" s="1"/>
  <c r="F53" i="3" s="1"/>
  <c r="E53" i="3" s="1"/>
  <c r="D53" i="3" s="1"/>
  <c r="G53" i="3" s="1"/>
  <c r="F54" i="3" s="1"/>
  <c r="E54" i="3" s="1"/>
  <c r="D54" i="3" s="1"/>
  <c r="G54" i="3" s="1"/>
  <c r="F55" i="3" s="1"/>
  <c r="E55" i="3" s="1"/>
  <c r="D55" i="3" s="1"/>
  <c r="G55" i="3" s="1"/>
  <c r="F56" i="3" s="1"/>
  <c r="E56" i="3" s="1"/>
  <c r="D56" i="3" s="1"/>
  <c r="G56" i="3" s="1"/>
  <c r="F57" i="3" s="1"/>
  <c r="E57" i="3" s="1"/>
  <c r="D57" i="3" s="1"/>
  <c r="G57" i="3" s="1"/>
  <c r="F58" i="3" s="1"/>
  <c r="E58" i="3" s="1"/>
  <c r="D58" i="3" s="1"/>
  <c r="G58" i="3" s="1"/>
  <c r="F59" i="3" s="1"/>
  <c r="H18" i="3"/>
  <c r="E18" i="3"/>
  <c r="D18" i="3" s="1"/>
  <c r="G18" i="3" s="1"/>
  <c r="F19" i="3" s="1"/>
  <c r="I17" i="3"/>
  <c r="I212" i="54" l="1"/>
  <c r="E213" i="54"/>
  <c r="D213" i="54" s="1"/>
  <c r="G213" i="54" s="1"/>
  <c r="F214" i="54" s="1"/>
  <c r="H213" i="54"/>
  <c r="D350" i="40"/>
  <c r="G350" i="40" s="1"/>
  <c r="F351" i="40" s="1"/>
  <c r="E351" i="40" s="1"/>
  <c r="D119" i="40"/>
  <c r="G119" i="40" s="1"/>
  <c r="F120" i="40" s="1"/>
  <c r="E120" i="40" s="1"/>
  <c r="I118" i="40"/>
  <c r="I108" i="31"/>
  <c r="I342" i="31"/>
  <c r="E343" i="31"/>
  <c r="D343" i="31" s="1"/>
  <c r="G343" i="31" s="1"/>
  <c r="F344" i="31" s="1"/>
  <c r="H343" i="31"/>
  <c r="E109" i="31"/>
  <c r="D109" i="31" s="1"/>
  <c r="G109" i="31" s="1"/>
  <c r="F110" i="31" s="1"/>
  <c r="H109" i="31"/>
  <c r="D102" i="15"/>
  <c r="G102" i="15" s="1"/>
  <c r="F104" i="15" s="1"/>
  <c r="E104" i="15" s="1"/>
  <c r="D103" i="15"/>
  <c r="G103" i="15" s="1"/>
  <c r="F105" i="15" s="1"/>
  <c r="E105" i="15" s="1"/>
  <c r="H26" i="4"/>
  <c r="D26" i="4"/>
  <c r="G26" i="4" s="1"/>
  <c r="F27" i="4" s="1"/>
  <c r="E27" i="4" s="1"/>
  <c r="D53" i="4"/>
  <c r="G53" i="4" s="1"/>
  <c r="F54" i="4" s="1"/>
  <c r="E54" i="4" s="1"/>
  <c r="I25" i="4"/>
  <c r="E59" i="3"/>
  <c r="D59" i="3" s="1"/>
  <c r="G59" i="3"/>
  <c r="F60" i="3" s="1"/>
  <c r="E60" i="3" s="1"/>
  <c r="D60" i="3" s="1"/>
  <c r="G60" i="3" s="1"/>
  <c r="F61" i="3" s="1"/>
  <c r="E19" i="3"/>
  <c r="D19" i="3" s="1"/>
  <c r="G19" i="3" s="1"/>
  <c r="F20" i="3" s="1"/>
  <c r="H19" i="3"/>
  <c r="I18" i="3"/>
  <c r="I213" i="54" l="1"/>
  <c r="E214" i="54"/>
  <c r="D214" i="54" s="1"/>
  <c r="G214" i="54" s="1"/>
  <c r="F215" i="54" s="1"/>
  <c r="H214" i="54"/>
  <c r="D120" i="40"/>
  <c r="G120" i="40" s="1"/>
  <c r="F121" i="40" s="1"/>
  <c r="E121" i="40" s="1"/>
  <c r="I120" i="40"/>
  <c r="D351" i="40"/>
  <c r="G351" i="40" s="1"/>
  <c r="F352" i="40" s="1"/>
  <c r="E352" i="40" s="1"/>
  <c r="I119" i="40"/>
  <c r="E344" i="31"/>
  <c r="D344" i="31" s="1"/>
  <c r="G344" i="31" s="1"/>
  <c r="F345" i="31" s="1"/>
  <c r="H344" i="31"/>
  <c r="I109" i="31"/>
  <c r="I343" i="31"/>
  <c r="E110" i="31"/>
  <c r="D110" i="31" s="1"/>
  <c r="G110" i="31" s="1"/>
  <c r="F111" i="31" s="1"/>
  <c r="H110" i="31"/>
  <c r="D105" i="15"/>
  <c r="G105" i="15" s="1"/>
  <c r="F107" i="15" s="1"/>
  <c r="E107" i="15" s="1"/>
  <c r="D104" i="15"/>
  <c r="G104" i="15" s="1"/>
  <c r="F106" i="15" s="1"/>
  <c r="E106" i="15" s="1"/>
  <c r="D54" i="4"/>
  <c r="G54" i="4" s="1"/>
  <c r="F55" i="4" s="1"/>
  <c r="E55" i="4" s="1"/>
  <c r="H27" i="4"/>
  <c r="D27" i="4"/>
  <c r="G27" i="4" s="1"/>
  <c r="F28" i="4" s="1"/>
  <c r="E28" i="4" s="1"/>
  <c r="I26" i="4"/>
  <c r="E61" i="3"/>
  <c r="D61" i="3" s="1"/>
  <c r="G61" i="3"/>
  <c r="F62" i="3" s="1"/>
  <c r="E62" i="3" s="1"/>
  <c r="D62" i="3" s="1"/>
  <c r="G62" i="3" s="1"/>
  <c r="F63" i="3" s="1"/>
  <c r="E63" i="3" s="1"/>
  <c r="D63" i="3" s="1"/>
  <c r="G63" i="3" s="1"/>
  <c r="F64" i="3" s="1"/>
  <c r="E64" i="3" s="1"/>
  <c r="D64" i="3" s="1"/>
  <c r="G64" i="3" s="1"/>
  <c r="F65" i="3" s="1"/>
  <c r="E65" i="3" s="1"/>
  <c r="D65" i="3" s="1"/>
  <c r="G65" i="3" s="1"/>
  <c r="F66" i="3" s="1"/>
  <c r="E66" i="3" s="1"/>
  <c r="D66" i="3" s="1"/>
  <c r="G66" i="3" s="1"/>
  <c r="F67" i="3" s="1"/>
  <c r="D67" i="3" s="1"/>
  <c r="G67" i="3" s="1"/>
  <c r="I19" i="3"/>
  <c r="E20" i="3"/>
  <c r="D20" i="3" s="1"/>
  <c r="G20" i="3" s="1"/>
  <c r="F21" i="3" s="1"/>
  <c r="H20" i="3"/>
  <c r="I214" i="54" l="1"/>
  <c r="E215" i="54"/>
  <c r="D215" i="54" s="1"/>
  <c r="G215" i="54" s="1"/>
  <c r="F216" i="54" s="1"/>
  <c r="H215" i="54"/>
  <c r="D352" i="40"/>
  <c r="G352" i="40" s="1"/>
  <c r="F353" i="40" s="1"/>
  <c r="E353" i="40" s="1"/>
  <c r="D121" i="40"/>
  <c r="G121" i="40" s="1"/>
  <c r="F122" i="40" s="1"/>
  <c r="E122" i="40" s="1"/>
  <c r="E345" i="31"/>
  <c r="D345" i="31" s="1"/>
  <c r="G345" i="31" s="1"/>
  <c r="F346" i="31" s="1"/>
  <c r="H345" i="31"/>
  <c r="I110" i="31"/>
  <c r="I344" i="31"/>
  <c r="H111" i="31"/>
  <c r="E111" i="31"/>
  <c r="D111" i="31" s="1"/>
  <c r="G111" i="31" s="1"/>
  <c r="F112" i="31" s="1"/>
  <c r="D106" i="15"/>
  <c r="G106" i="15" s="1"/>
  <c r="F108" i="15" s="1"/>
  <c r="E108" i="15" s="1"/>
  <c r="D107" i="15"/>
  <c r="G107" i="15" s="1"/>
  <c r="F109" i="15" s="1"/>
  <c r="E109" i="15" s="1"/>
  <c r="I27" i="4"/>
  <c r="H28" i="4"/>
  <c r="D28" i="4"/>
  <c r="G28" i="4" s="1"/>
  <c r="F29" i="4" s="1"/>
  <c r="E29" i="4" s="1"/>
  <c r="D55" i="4"/>
  <c r="G55" i="4" s="1"/>
  <c r="F56" i="4" s="1"/>
  <c r="E56" i="4" s="1"/>
  <c r="I20" i="3"/>
  <c r="E21" i="3"/>
  <c r="D21" i="3" s="1"/>
  <c r="G21" i="3" s="1"/>
  <c r="F22" i="3" s="1"/>
  <c r="H21" i="3"/>
  <c r="I215" i="54" l="1"/>
  <c r="E216" i="54"/>
  <c r="D216" i="54" s="1"/>
  <c r="H216" i="54"/>
  <c r="G216" i="54"/>
  <c r="F217" i="54" s="1"/>
  <c r="I345" i="31"/>
  <c r="D122" i="40"/>
  <c r="G122" i="40" s="1"/>
  <c r="F123" i="40" s="1"/>
  <c r="E123" i="40" s="1"/>
  <c r="D353" i="40"/>
  <c r="G353" i="40" s="1"/>
  <c r="F354" i="40" s="1"/>
  <c r="E354" i="40" s="1"/>
  <c r="I121" i="40"/>
  <c r="E346" i="31"/>
  <c r="D346" i="31" s="1"/>
  <c r="G346" i="31" s="1"/>
  <c r="F347" i="31" s="1"/>
  <c r="H346" i="31"/>
  <c r="H112" i="31"/>
  <c r="E112" i="31"/>
  <c r="D112" i="31" s="1"/>
  <c r="G112" i="31" s="1"/>
  <c r="F113" i="31" s="1"/>
  <c r="I111" i="31"/>
  <c r="D109" i="15"/>
  <c r="G109" i="15" s="1"/>
  <c r="F111" i="15" s="1"/>
  <c r="E111" i="15" s="1"/>
  <c r="D108" i="15"/>
  <c r="G108" i="15" s="1"/>
  <c r="F110" i="15" s="1"/>
  <c r="E110" i="15" s="1"/>
  <c r="I28" i="4"/>
  <c r="H29" i="4"/>
  <c r="D29" i="4"/>
  <c r="G29" i="4" s="1"/>
  <c r="F30" i="4" s="1"/>
  <c r="E30" i="4" s="1"/>
  <c r="D56" i="4"/>
  <c r="G56" i="4" s="1"/>
  <c r="F57" i="4" s="1"/>
  <c r="E57" i="4" s="1"/>
  <c r="I21" i="3"/>
  <c r="E22" i="3"/>
  <c r="D22" i="3" s="1"/>
  <c r="G22" i="3" s="1"/>
  <c r="F23" i="3" s="1"/>
  <c r="H22" i="3"/>
  <c r="I216" i="54" l="1"/>
  <c r="E217" i="54"/>
  <c r="D217" i="54" s="1"/>
  <c r="G217" i="54" s="1"/>
  <c r="F218" i="54" s="1"/>
  <c r="H217" i="54"/>
  <c r="I122" i="40"/>
  <c r="D354" i="40"/>
  <c r="G354" i="40" s="1"/>
  <c r="F355" i="40" s="1"/>
  <c r="E355" i="40" s="1"/>
  <c r="D123" i="40"/>
  <c r="G123" i="40" s="1"/>
  <c r="F124" i="40" s="1"/>
  <c r="E124" i="40" s="1"/>
  <c r="E347" i="31"/>
  <c r="D347" i="31" s="1"/>
  <c r="G347" i="31" s="1"/>
  <c r="F348" i="31" s="1"/>
  <c r="H347" i="31"/>
  <c r="I346" i="31"/>
  <c r="E113" i="31"/>
  <c r="D113" i="31" s="1"/>
  <c r="G113" i="31" s="1"/>
  <c r="F114" i="31" s="1"/>
  <c r="H113" i="31"/>
  <c r="I112" i="31"/>
  <c r="D110" i="15"/>
  <c r="G110" i="15" s="1"/>
  <c r="F112" i="15" s="1"/>
  <c r="E112" i="15" s="1"/>
  <c r="D111" i="15"/>
  <c r="G111" i="15" s="1"/>
  <c r="F113" i="15" s="1"/>
  <c r="E113" i="15" s="1"/>
  <c r="H30" i="4"/>
  <c r="D30" i="4"/>
  <c r="G30" i="4" s="1"/>
  <c r="F31" i="4" s="1"/>
  <c r="E31" i="4" s="1"/>
  <c r="D57" i="4"/>
  <c r="G57" i="4" s="1"/>
  <c r="F58" i="4" s="1"/>
  <c r="E58" i="4" s="1"/>
  <c r="I29" i="4"/>
  <c r="I22" i="3"/>
  <c r="E23" i="3"/>
  <c r="D23" i="3" s="1"/>
  <c r="G23" i="3" s="1"/>
  <c r="F24" i="3" s="1"/>
  <c r="H23" i="3"/>
  <c r="E218" i="54" l="1"/>
  <c r="D218" i="54" s="1"/>
  <c r="G218" i="54" s="1"/>
  <c r="F219" i="54" s="1"/>
  <c r="H218" i="54"/>
  <c r="I218" i="54" s="1"/>
  <c r="I217" i="54"/>
  <c r="D124" i="40"/>
  <c r="G124" i="40" s="1"/>
  <c r="F125" i="40" s="1"/>
  <c r="E125" i="40" s="1"/>
  <c r="D355" i="40"/>
  <c r="G355" i="40" s="1"/>
  <c r="F356" i="40" s="1"/>
  <c r="E356" i="40" s="1"/>
  <c r="I123" i="40"/>
  <c r="I347" i="31"/>
  <c r="E348" i="31"/>
  <c r="D348" i="31" s="1"/>
  <c r="G348" i="31" s="1"/>
  <c r="F349" i="31" s="1"/>
  <c r="H348" i="31"/>
  <c r="I113" i="31"/>
  <c r="E114" i="31"/>
  <c r="D114" i="31" s="1"/>
  <c r="G114" i="31" s="1"/>
  <c r="F115" i="31" s="1"/>
  <c r="H114" i="31"/>
  <c r="D113" i="15"/>
  <c r="G113" i="15" s="1"/>
  <c r="F115" i="15" s="1"/>
  <c r="E115" i="15" s="1"/>
  <c r="D112" i="15"/>
  <c r="G112" i="15" s="1"/>
  <c r="F114" i="15" s="1"/>
  <c r="E114" i="15" s="1"/>
  <c r="I30" i="4"/>
  <c r="D58" i="4"/>
  <c r="G58" i="4" s="1"/>
  <c r="F59" i="4" s="1"/>
  <c r="E59" i="4" s="1"/>
  <c r="H31" i="4"/>
  <c r="D31" i="4"/>
  <c r="G31" i="4" s="1"/>
  <c r="F32" i="4" s="1"/>
  <c r="E32" i="4" s="1"/>
  <c r="I23" i="3"/>
  <c r="H24" i="3"/>
  <c r="E24" i="3"/>
  <c r="D24" i="3" s="1"/>
  <c r="G24" i="3" s="1"/>
  <c r="F25" i="3" s="1"/>
  <c r="E219" i="54" l="1"/>
  <c r="D219" i="54" s="1"/>
  <c r="H219" i="54"/>
  <c r="I219" i="54" s="1"/>
  <c r="G219" i="54"/>
  <c r="F220" i="54" s="1"/>
  <c r="I348" i="31"/>
  <c r="I124" i="40"/>
  <c r="D356" i="40"/>
  <c r="G356" i="40" s="1"/>
  <c r="F357" i="40" s="1"/>
  <c r="E357" i="40" s="1"/>
  <c r="D125" i="40"/>
  <c r="G125" i="40" s="1"/>
  <c r="F126" i="40" s="1"/>
  <c r="E126" i="40" s="1"/>
  <c r="E349" i="31"/>
  <c r="D349" i="31" s="1"/>
  <c r="G349" i="31" s="1"/>
  <c r="F350" i="31" s="1"/>
  <c r="H349" i="31"/>
  <c r="I114" i="31"/>
  <c r="E115" i="31"/>
  <c r="D115" i="31" s="1"/>
  <c r="G115" i="31" s="1"/>
  <c r="F116" i="31" s="1"/>
  <c r="H115" i="31"/>
  <c r="D114" i="15"/>
  <c r="G114" i="15" s="1"/>
  <c r="F116" i="15" s="1"/>
  <c r="E116" i="15" s="1"/>
  <c r="D115" i="15"/>
  <c r="G115" i="15" s="1"/>
  <c r="F117" i="15" s="1"/>
  <c r="E117" i="15" s="1"/>
  <c r="H32" i="4"/>
  <c r="D32" i="4"/>
  <c r="G32" i="4" s="1"/>
  <c r="F33" i="4" s="1"/>
  <c r="E33" i="4" s="1"/>
  <c r="D59" i="4"/>
  <c r="G59" i="4" s="1"/>
  <c r="F60" i="4" s="1"/>
  <c r="E60" i="4" s="1"/>
  <c r="I31" i="4"/>
  <c r="E25" i="3"/>
  <c r="D25" i="3" s="1"/>
  <c r="G25" i="3" s="1"/>
  <c r="F26" i="3" s="1"/>
  <c r="H25" i="3"/>
  <c r="I24" i="3"/>
  <c r="E220" i="54" l="1"/>
  <c r="D220" i="54" s="1"/>
  <c r="G220" i="54" s="1"/>
  <c r="F221" i="54" s="1"/>
  <c r="H220" i="54"/>
  <c r="I125" i="40"/>
  <c r="D126" i="40"/>
  <c r="G126" i="40" s="1"/>
  <c r="F127" i="40" s="1"/>
  <c r="E127" i="40" s="1"/>
  <c r="D357" i="40"/>
  <c r="G357" i="40" s="1"/>
  <c r="F358" i="40" s="1"/>
  <c r="E358" i="40" s="1"/>
  <c r="E350" i="31"/>
  <c r="D350" i="31" s="1"/>
  <c r="G350" i="31" s="1"/>
  <c r="F351" i="31" s="1"/>
  <c r="H350" i="31"/>
  <c r="I349" i="31"/>
  <c r="I115" i="31"/>
  <c r="E116" i="31"/>
  <c r="D116" i="31" s="1"/>
  <c r="G116" i="31" s="1"/>
  <c r="F117" i="31" s="1"/>
  <c r="H116" i="31"/>
  <c r="D117" i="15"/>
  <c r="G117" i="15" s="1"/>
  <c r="F119" i="15" s="1"/>
  <c r="E119" i="15" s="1"/>
  <c r="D116" i="15"/>
  <c r="G116" i="15" s="1"/>
  <c r="F118" i="15" s="1"/>
  <c r="E118" i="15" s="1"/>
  <c r="H33" i="4"/>
  <c r="D33" i="4"/>
  <c r="G33" i="4" s="1"/>
  <c r="F34" i="4" s="1"/>
  <c r="E34" i="4" s="1"/>
  <c r="D60" i="4"/>
  <c r="G60" i="4" s="1"/>
  <c r="F61" i="4" s="1"/>
  <c r="E61" i="4" s="1"/>
  <c r="I32" i="4"/>
  <c r="I25" i="3"/>
  <c r="E26" i="3"/>
  <c r="D26" i="3" s="1"/>
  <c r="G26" i="3" s="1"/>
  <c r="F27" i="3" s="1"/>
  <c r="H26" i="3"/>
  <c r="I26" i="3" s="1"/>
  <c r="I220" i="54" l="1"/>
  <c r="E221" i="54"/>
  <c r="D221" i="54" s="1"/>
  <c r="G221" i="54" s="1"/>
  <c r="F222" i="54" s="1"/>
  <c r="H221" i="54"/>
  <c r="I126" i="40"/>
  <c r="D358" i="40"/>
  <c r="G358" i="40" s="1"/>
  <c r="F359" i="40" s="1"/>
  <c r="E359" i="40" s="1"/>
  <c r="D127" i="40"/>
  <c r="G127" i="40" s="1"/>
  <c r="F128" i="40" s="1"/>
  <c r="E128" i="40" s="1"/>
  <c r="E351" i="31"/>
  <c r="D351" i="31" s="1"/>
  <c r="G351" i="31" s="1"/>
  <c r="F352" i="31" s="1"/>
  <c r="H351" i="31"/>
  <c r="I350" i="31"/>
  <c r="I116" i="31"/>
  <c r="E117" i="31"/>
  <c r="D117" i="31" s="1"/>
  <c r="G117" i="31" s="1"/>
  <c r="F118" i="31" s="1"/>
  <c r="H117" i="31"/>
  <c r="D118" i="15"/>
  <c r="G118" i="15" s="1"/>
  <c r="F120" i="15" s="1"/>
  <c r="E120" i="15" s="1"/>
  <c r="D119" i="15"/>
  <c r="G119" i="15" s="1"/>
  <c r="F121" i="15" s="1"/>
  <c r="E121" i="15" s="1"/>
  <c r="D61" i="4"/>
  <c r="G61" i="4" s="1"/>
  <c r="F62" i="4" s="1"/>
  <c r="E62" i="4" s="1"/>
  <c r="D34" i="4"/>
  <c r="G34" i="4" s="1"/>
  <c r="F35" i="4" s="1"/>
  <c r="E35" i="4" s="1"/>
  <c r="I33" i="4"/>
  <c r="H27" i="3"/>
  <c r="E27" i="3"/>
  <c r="D27" i="3" s="1"/>
  <c r="G27" i="3" s="1"/>
  <c r="F28" i="3" s="1"/>
  <c r="E222" i="54" l="1"/>
  <c r="D222" i="54" s="1"/>
  <c r="H222" i="54"/>
  <c r="I222" i="54" s="1"/>
  <c r="G222" i="54"/>
  <c r="F223" i="54" s="1"/>
  <c r="I221" i="54"/>
  <c r="D359" i="40"/>
  <c r="G359" i="40" s="1"/>
  <c r="F360" i="40" s="1"/>
  <c r="E360" i="40" s="1"/>
  <c r="D128" i="40"/>
  <c r="G128" i="40" s="1"/>
  <c r="F129" i="40" s="1"/>
  <c r="E129" i="40" s="1"/>
  <c r="I128" i="40"/>
  <c r="I127" i="40"/>
  <c r="E352" i="31"/>
  <c r="D352" i="31" s="1"/>
  <c r="G352" i="31" s="1"/>
  <c r="F353" i="31" s="1"/>
  <c r="H352" i="31"/>
  <c r="I351" i="31"/>
  <c r="I117" i="31"/>
  <c r="H118" i="31"/>
  <c r="E118" i="31"/>
  <c r="D118" i="31" s="1"/>
  <c r="G118" i="31" s="1"/>
  <c r="F119" i="31" s="1"/>
  <c r="D121" i="15"/>
  <c r="G121" i="15" s="1"/>
  <c r="F123" i="15" s="1"/>
  <c r="E123" i="15" s="1"/>
  <c r="D120" i="15"/>
  <c r="G120" i="15" s="1"/>
  <c r="F122" i="15" s="1"/>
  <c r="E122" i="15" s="1"/>
  <c r="D35" i="4"/>
  <c r="G35" i="4" s="1"/>
  <c r="F36" i="4" s="1"/>
  <c r="E36" i="4" s="1"/>
  <c r="D62" i="4"/>
  <c r="G62" i="4" s="1"/>
  <c r="F63" i="4" s="1"/>
  <c r="E63" i="4" s="1"/>
  <c r="E28" i="3"/>
  <c r="D28" i="3" s="1"/>
  <c r="G28" i="3" s="1"/>
  <c r="F29" i="3" s="1"/>
  <c r="H28" i="3"/>
  <c r="I27" i="3"/>
  <c r="E223" i="54" l="1"/>
  <c r="D223" i="54" s="1"/>
  <c r="G223" i="54" s="1"/>
  <c r="F224" i="54" s="1"/>
  <c r="H223" i="54"/>
  <c r="I223" i="54" s="1"/>
  <c r="D129" i="40"/>
  <c r="G129" i="40" s="1"/>
  <c r="F130" i="40" s="1"/>
  <c r="E130" i="40" s="1"/>
  <c r="D360" i="40"/>
  <c r="G360" i="40" s="1"/>
  <c r="F361" i="40" s="1"/>
  <c r="E361" i="40" s="1"/>
  <c r="E353" i="31"/>
  <c r="D353" i="31" s="1"/>
  <c r="G353" i="31" s="1"/>
  <c r="F354" i="31" s="1"/>
  <c r="H353" i="31"/>
  <c r="I352" i="31"/>
  <c r="E119" i="31"/>
  <c r="D119" i="31" s="1"/>
  <c r="G119" i="31" s="1"/>
  <c r="F120" i="31" s="1"/>
  <c r="H119" i="31"/>
  <c r="I118" i="31"/>
  <c r="D122" i="15"/>
  <c r="G122" i="15" s="1"/>
  <c r="F124" i="15" s="1"/>
  <c r="E124" i="15" s="1"/>
  <c r="D123" i="15"/>
  <c r="G123" i="15" s="1"/>
  <c r="F125" i="15" s="1"/>
  <c r="E125" i="15" s="1"/>
  <c r="D63" i="4"/>
  <c r="G63" i="4" s="1"/>
  <c r="F64" i="4" s="1"/>
  <c r="E64" i="4" s="1"/>
  <c r="D36" i="4"/>
  <c r="G36" i="4" s="1"/>
  <c r="F37" i="4" s="1"/>
  <c r="E37" i="4" s="1"/>
  <c r="H29" i="3"/>
  <c r="E29" i="3"/>
  <c r="D29" i="3" s="1"/>
  <c r="G29" i="3" s="1"/>
  <c r="F30" i="3" s="1"/>
  <c r="I28" i="3"/>
  <c r="E224" i="54" l="1"/>
  <c r="D224" i="54" s="1"/>
  <c r="G224" i="54" s="1"/>
  <c r="F225" i="54" s="1"/>
  <c r="H224" i="54"/>
  <c r="I224" i="54" s="1"/>
  <c r="D361" i="40"/>
  <c r="G361" i="40" s="1"/>
  <c r="F362" i="40" s="1"/>
  <c r="E362" i="40" s="1"/>
  <c r="D130" i="40"/>
  <c r="G130" i="40" s="1"/>
  <c r="F131" i="40" s="1"/>
  <c r="E131" i="40" s="1"/>
  <c r="I130" i="40"/>
  <c r="I129" i="40"/>
  <c r="E354" i="31"/>
  <c r="D354" i="31" s="1"/>
  <c r="G354" i="31" s="1"/>
  <c r="F355" i="31" s="1"/>
  <c r="H354" i="31"/>
  <c r="I119" i="31"/>
  <c r="I353" i="31"/>
  <c r="E120" i="31"/>
  <c r="D120" i="31" s="1"/>
  <c r="G120" i="31" s="1"/>
  <c r="F121" i="31" s="1"/>
  <c r="H120" i="31"/>
  <c r="D125" i="15"/>
  <c r="G125" i="15" s="1"/>
  <c r="F127" i="15" s="1"/>
  <c r="E127" i="15" s="1"/>
  <c r="D124" i="15"/>
  <c r="G124" i="15" s="1"/>
  <c r="F126" i="15" s="1"/>
  <c r="E126" i="15" s="1"/>
  <c r="D64" i="4"/>
  <c r="G64" i="4" s="1"/>
  <c r="F65" i="4" s="1"/>
  <c r="E65" i="4" s="1"/>
  <c r="D37" i="4"/>
  <c r="G37" i="4" s="1"/>
  <c r="F38" i="4" s="1"/>
  <c r="E38" i="4" s="1"/>
  <c r="H30" i="3"/>
  <c r="E30" i="3"/>
  <c r="D30" i="3" s="1"/>
  <c r="G30" i="3" s="1"/>
  <c r="F31" i="3" s="1"/>
  <c r="I29" i="3"/>
  <c r="E225" i="54" l="1"/>
  <c r="D225" i="54" s="1"/>
  <c r="G225" i="54" s="1"/>
  <c r="F226" i="54" s="1"/>
  <c r="H225" i="54"/>
  <c r="I225" i="54" s="1"/>
  <c r="D362" i="40"/>
  <c r="G362" i="40" s="1"/>
  <c r="F363" i="40" s="1"/>
  <c r="E363" i="40" s="1"/>
  <c r="D131" i="40"/>
  <c r="G131" i="40" s="1"/>
  <c r="F132" i="40" s="1"/>
  <c r="E132" i="40" s="1"/>
  <c r="E355" i="31"/>
  <c r="D355" i="31" s="1"/>
  <c r="G355" i="31" s="1"/>
  <c r="F356" i="31" s="1"/>
  <c r="H355" i="31"/>
  <c r="I120" i="31"/>
  <c r="I354" i="31"/>
  <c r="H121" i="31"/>
  <c r="E121" i="31"/>
  <c r="D121" i="31" s="1"/>
  <c r="G121" i="31" s="1"/>
  <c r="F122" i="31" s="1"/>
  <c r="D126" i="15"/>
  <c r="G126" i="15" s="1"/>
  <c r="F128" i="15" s="1"/>
  <c r="E128" i="15" s="1"/>
  <c r="D127" i="15"/>
  <c r="G127" i="15" s="1"/>
  <c r="F129" i="15" s="1"/>
  <c r="E129" i="15" s="1"/>
  <c r="D65" i="4"/>
  <c r="G65" i="4" s="1"/>
  <c r="F66" i="4" s="1"/>
  <c r="E66" i="4" s="1"/>
  <c r="D38" i="4"/>
  <c r="G38" i="4" s="1"/>
  <c r="F39" i="4" s="1"/>
  <c r="E39" i="4" s="1"/>
  <c r="E31" i="3"/>
  <c r="D31" i="3" s="1"/>
  <c r="G31" i="3" s="1"/>
  <c r="F32" i="3" s="1"/>
  <c r="H31" i="3"/>
  <c r="I31" i="3" s="1"/>
  <c r="I30" i="3"/>
  <c r="E226" i="54" l="1"/>
  <c r="D226" i="54" s="1"/>
  <c r="G226" i="54" s="1"/>
  <c r="F227" i="54" s="1"/>
  <c r="H226" i="54"/>
  <c r="I226" i="54" s="1"/>
  <c r="D132" i="40"/>
  <c r="G132" i="40" s="1"/>
  <c r="F133" i="40" s="1"/>
  <c r="E133" i="40" s="1"/>
  <c r="D363" i="40"/>
  <c r="G363" i="40" s="1"/>
  <c r="F364" i="40" s="1"/>
  <c r="E364" i="40" s="1"/>
  <c r="I131" i="40"/>
  <c r="I355" i="31"/>
  <c r="E356" i="31"/>
  <c r="D356" i="31" s="1"/>
  <c r="G356" i="31" s="1"/>
  <c r="F357" i="31" s="1"/>
  <c r="H356" i="31"/>
  <c r="E122" i="31"/>
  <c r="D122" i="31" s="1"/>
  <c r="G122" i="31" s="1"/>
  <c r="F123" i="31" s="1"/>
  <c r="H122" i="31"/>
  <c r="I121" i="31"/>
  <c r="D129" i="15"/>
  <c r="G129" i="15" s="1"/>
  <c r="F131" i="15" s="1"/>
  <c r="E131" i="15" s="1"/>
  <c r="D128" i="15"/>
  <c r="G128" i="15" s="1"/>
  <c r="F130" i="15" s="1"/>
  <c r="E130" i="15" s="1"/>
  <c r="D39" i="4"/>
  <c r="G39" i="4" s="1"/>
  <c r="F40" i="4" s="1"/>
  <c r="D66" i="4"/>
  <c r="G66" i="4" s="1"/>
  <c r="F67" i="4" s="1"/>
  <c r="E32" i="3"/>
  <c r="D32" i="3" s="1"/>
  <c r="G32" i="3" s="1"/>
  <c r="F33" i="3" s="1"/>
  <c r="H32" i="3"/>
  <c r="I32" i="3" s="1"/>
  <c r="E227" i="54" l="1"/>
  <c r="D227" i="54" s="1"/>
  <c r="G227" i="54" s="1"/>
  <c r="F228" i="54" s="1"/>
  <c r="H227" i="54"/>
  <c r="I356" i="31"/>
  <c r="I132" i="40"/>
  <c r="D364" i="40"/>
  <c r="G364" i="40" s="1"/>
  <c r="F365" i="40" s="1"/>
  <c r="E365" i="40" s="1"/>
  <c r="D133" i="40"/>
  <c r="G133" i="40" s="1"/>
  <c r="F134" i="40" s="1"/>
  <c r="E134" i="40" s="1"/>
  <c r="I122" i="31"/>
  <c r="E357" i="31"/>
  <c r="D357" i="31" s="1"/>
  <c r="G357" i="31" s="1"/>
  <c r="F358" i="31" s="1"/>
  <c r="H357" i="31"/>
  <c r="E123" i="31"/>
  <c r="D123" i="31" s="1"/>
  <c r="G123" i="31" s="1"/>
  <c r="F124" i="31" s="1"/>
  <c r="H123" i="31"/>
  <c r="D130" i="15"/>
  <c r="G130" i="15" s="1"/>
  <c r="F132" i="15" s="1"/>
  <c r="E132" i="15" s="1"/>
  <c r="D131" i="15"/>
  <c r="G131" i="15" s="1"/>
  <c r="F133" i="15" s="1"/>
  <c r="E133" i="15" s="1"/>
  <c r="D67" i="4"/>
  <c r="G67" i="4" s="1"/>
  <c r="D40" i="4"/>
  <c r="G40" i="4" s="1"/>
  <c r="E33" i="3"/>
  <c r="D33" i="3" s="1"/>
  <c r="G33" i="3" s="1"/>
  <c r="F34" i="3" s="1"/>
  <c r="H33" i="3"/>
  <c r="I227" i="54" l="1"/>
  <c r="E228" i="54"/>
  <c r="D228" i="54" s="1"/>
  <c r="G228" i="54" s="1"/>
  <c r="F229" i="54" s="1"/>
  <c r="H228" i="54"/>
  <c r="D134" i="40"/>
  <c r="G134" i="40" s="1"/>
  <c r="F135" i="40" s="1"/>
  <c r="E135" i="40" s="1"/>
  <c r="D365" i="40"/>
  <c r="G365" i="40" s="1"/>
  <c r="F366" i="40" s="1"/>
  <c r="E366" i="40" s="1"/>
  <c r="I133" i="40"/>
  <c r="I123" i="31"/>
  <c r="I357" i="31"/>
  <c r="E358" i="31"/>
  <c r="D358" i="31" s="1"/>
  <c r="G358" i="31" s="1"/>
  <c r="F359" i="31" s="1"/>
  <c r="H358" i="31"/>
  <c r="E124" i="31"/>
  <c r="D124" i="31" s="1"/>
  <c r="G124" i="31" s="1"/>
  <c r="F125" i="31" s="1"/>
  <c r="H124" i="31"/>
  <c r="D133" i="15"/>
  <c r="G133" i="15" s="1"/>
  <c r="F135" i="15" s="1"/>
  <c r="E135" i="15" s="1"/>
  <c r="D132" i="15"/>
  <c r="G132" i="15" s="1"/>
  <c r="F134" i="15" s="1"/>
  <c r="E134" i="15" s="1"/>
  <c r="I33" i="3"/>
  <c r="E34" i="3"/>
  <c r="D34" i="3" s="1"/>
  <c r="G34" i="3" s="1"/>
  <c r="F35" i="3" s="1"/>
  <c r="I228" i="54" l="1"/>
  <c r="E229" i="54"/>
  <c r="D229" i="54" s="1"/>
  <c r="G229" i="54" s="1"/>
  <c r="F230" i="54" s="1"/>
  <c r="H229" i="54"/>
  <c r="I134" i="40"/>
  <c r="D366" i="40"/>
  <c r="G366" i="40" s="1"/>
  <c r="F367" i="40" s="1"/>
  <c r="E367" i="40" s="1"/>
  <c r="D135" i="40"/>
  <c r="G135" i="40" s="1"/>
  <c r="F136" i="40" s="1"/>
  <c r="E136" i="40" s="1"/>
  <c r="E359" i="31"/>
  <c r="D359" i="31" s="1"/>
  <c r="G359" i="31" s="1"/>
  <c r="F360" i="31" s="1"/>
  <c r="H359" i="31"/>
  <c r="I358" i="31"/>
  <c r="E125" i="31"/>
  <c r="D125" i="31" s="1"/>
  <c r="G125" i="31" s="1"/>
  <c r="F126" i="31" s="1"/>
  <c r="H125" i="31"/>
  <c r="I124" i="31"/>
  <c r="D134" i="15"/>
  <c r="G134" i="15" s="1"/>
  <c r="F136" i="15" s="1"/>
  <c r="E136" i="15" s="1"/>
  <c r="D135" i="15"/>
  <c r="G135" i="15" s="1"/>
  <c r="F137" i="15" s="1"/>
  <c r="E137" i="15" s="1"/>
  <c r="E35" i="3"/>
  <c r="D35" i="3" s="1"/>
  <c r="G35" i="3" s="1"/>
  <c r="F36" i="3" s="1"/>
  <c r="I229" i="54" l="1"/>
  <c r="E230" i="54"/>
  <c r="D230" i="54" s="1"/>
  <c r="G230" i="54" s="1"/>
  <c r="F231" i="54" s="1"/>
  <c r="H230" i="54"/>
  <c r="D136" i="40"/>
  <c r="G136" i="40" s="1"/>
  <c r="F137" i="40" s="1"/>
  <c r="E137" i="40" s="1"/>
  <c r="D367" i="40"/>
  <c r="G367" i="40" s="1"/>
  <c r="F368" i="40" s="1"/>
  <c r="E368" i="40" s="1"/>
  <c r="I135" i="40"/>
  <c r="E360" i="31"/>
  <c r="D360" i="31" s="1"/>
  <c r="G360" i="31" s="1"/>
  <c r="F361" i="31" s="1"/>
  <c r="H360" i="31"/>
  <c r="I125" i="31"/>
  <c r="I359" i="31"/>
  <c r="E126" i="31"/>
  <c r="D126" i="31" s="1"/>
  <c r="G126" i="31" s="1"/>
  <c r="F127" i="31" s="1"/>
  <c r="H126" i="31"/>
  <c r="I126" i="31" s="1"/>
  <c r="D137" i="15"/>
  <c r="G137" i="15" s="1"/>
  <c r="F139" i="15" s="1"/>
  <c r="E139" i="15" s="1"/>
  <c r="D136" i="15"/>
  <c r="G136" i="15" s="1"/>
  <c r="F138" i="15" s="1"/>
  <c r="E138" i="15" s="1"/>
  <c r="E36" i="3"/>
  <c r="D36" i="3" s="1"/>
  <c r="G36" i="3" s="1"/>
  <c r="F37" i="3" s="1"/>
  <c r="I230" i="54" l="1"/>
  <c r="E231" i="54"/>
  <c r="D231" i="54" s="1"/>
  <c r="G231" i="54" s="1"/>
  <c r="F232" i="54" s="1"/>
  <c r="H231" i="54"/>
  <c r="I136" i="40"/>
  <c r="D368" i="40"/>
  <c r="G368" i="40" s="1"/>
  <c r="F369" i="40" s="1"/>
  <c r="E369" i="40" s="1"/>
  <c r="D137" i="40"/>
  <c r="G137" i="40" s="1"/>
  <c r="F138" i="40" s="1"/>
  <c r="E138" i="40" s="1"/>
  <c r="E361" i="31"/>
  <c r="D361" i="31" s="1"/>
  <c r="G361" i="31" s="1"/>
  <c r="F362" i="31" s="1"/>
  <c r="H361" i="31"/>
  <c r="I360" i="31"/>
  <c r="E127" i="31"/>
  <c r="D127" i="31" s="1"/>
  <c r="G127" i="31" s="1"/>
  <c r="F128" i="31" s="1"/>
  <c r="H127" i="31"/>
  <c r="D138" i="15"/>
  <c r="G138" i="15" s="1"/>
  <c r="F140" i="15" s="1"/>
  <c r="E140" i="15" s="1"/>
  <c r="D139" i="15"/>
  <c r="G139" i="15" s="1"/>
  <c r="F141" i="15" s="1"/>
  <c r="E141" i="15" s="1"/>
  <c r="E37" i="3"/>
  <c r="D37" i="3" s="1"/>
  <c r="G37" i="3" s="1"/>
  <c r="F38" i="3" s="1"/>
  <c r="I231" i="54" l="1"/>
  <c r="E232" i="54"/>
  <c r="D232" i="54" s="1"/>
  <c r="G232" i="54" s="1"/>
  <c r="F233" i="54" s="1"/>
  <c r="H232" i="54"/>
  <c r="I361" i="31"/>
  <c r="D138" i="40"/>
  <c r="G138" i="40" s="1"/>
  <c r="F139" i="40" s="1"/>
  <c r="E139" i="40" s="1"/>
  <c r="D369" i="40"/>
  <c r="G369" i="40" s="1"/>
  <c r="F370" i="40" s="1"/>
  <c r="E370" i="40" s="1"/>
  <c r="I137" i="40"/>
  <c r="I127" i="31"/>
  <c r="E362" i="31"/>
  <c r="D362" i="31" s="1"/>
  <c r="G362" i="31" s="1"/>
  <c r="F363" i="31" s="1"/>
  <c r="H362" i="31"/>
  <c r="E128" i="31"/>
  <c r="D128" i="31" s="1"/>
  <c r="G128" i="31" s="1"/>
  <c r="F129" i="31" s="1"/>
  <c r="H128" i="31"/>
  <c r="D141" i="15"/>
  <c r="G141" i="15" s="1"/>
  <c r="F143" i="15" s="1"/>
  <c r="E143" i="15" s="1"/>
  <c r="D140" i="15"/>
  <c r="G140" i="15" s="1"/>
  <c r="F142" i="15" s="1"/>
  <c r="E142" i="15" s="1"/>
  <c r="E38" i="3"/>
  <c r="D38" i="3" s="1"/>
  <c r="G38" i="3" s="1"/>
  <c r="F39" i="3" s="1"/>
  <c r="I232" i="54" l="1"/>
  <c r="E233" i="54"/>
  <c r="D233" i="54" s="1"/>
  <c r="G233" i="54" s="1"/>
  <c r="F234" i="54" s="1"/>
  <c r="H233" i="54"/>
  <c r="I362" i="31"/>
  <c r="I138" i="40"/>
  <c r="D370" i="40"/>
  <c r="G370" i="40" s="1"/>
  <c r="F371" i="40" s="1"/>
  <c r="E371" i="40" s="1"/>
  <c r="D139" i="40"/>
  <c r="G139" i="40" s="1"/>
  <c r="F140" i="40" s="1"/>
  <c r="E140" i="40" s="1"/>
  <c r="I128" i="31"/>
  <c r="E363" i="31"/>
  <c r="D363" i="31" s="1"/>
  <c r="G363" i="31" s="1"/>
  <c r="F364" i="31" s="1"/>
  <c r="H363" i="31"/>
  <c r="E129" i="31"/>
  <c r="D129" i="31" s="1"/>
  <c r="G129" i="31" s="1"/>
  <c r="F130" i="31" s="1"/>
  <c r="H129" i="31"/>
  <c r="D142" i="15"/>
  <c r="G142" i="15" s="1"/>
  <c r="F144" i="15" s="1"/>
  <c r="E144" i="15" s="1"/>
  <c r="D143" i="15"/>
  <c r="G143" i="15" s="1"/>
  <c r="F145" i="15" s="1"/>
  <c r="E145" i="15" s="1"/>
  <c r="E39" i="3"/>
  <c r="D39" i="3" s="1"/>
  <c r="G39" i="3" s="1"/>
  <c r="F40" i="3" s="1"/>
  <c r="I233" i="54" l="1"/>
  <c r="H234" i="54"/>
  <c r="E234" i="54"/>
  <c r="D234" i="54" s="1"/>
  <c r="G234" i="54" s="1"/>
  <c r="F235" i="54" s="1"/>
  <c r="I363" i="31"/>
  <c r="D140" i="40"/>
  <c r="G140" i="40" s="1"/>
  <c r="F141" i="40" s="1"/>
  <c r="E141" i="40" s="1"/>
  <c r="D371" i="40"/>
  <c r="G371" i="40" s="1"/>
  <c r="F372" i="40" s="1"/>
  <c r="E372" i="40" s="1"/>
  <c r="I139" i="40"/>
  <c r="E364" i="31"/>
  <c r="D364" i="31" s="1"/>
  <c r="G364" i="31" s="1"/>
  <c r="F365" i="31" s="1"/>
  <c r="H364" i="31"/>
  <c r="H130" i="31"/>
  <c r="E130" i="31"/>
  <c r="D130" i="31" s="1"/>
  <c r="G130" i="31" s="1"/>
  <c r="F131" i="31" s="1"/>
  <c r="I129" i="31"/>
  <c r="D145" i="15"/>
  <c r="G145" i="15" s="1"/>
  <c r="F147" i="15" s="1"/>
  <c r="E147" i="15" s="1"/>
  <c r="D144" i="15"/>
  <c r="G144" i="15" s="1"/>
  <c r="F146" i="15" s="1"/>
  <c r="E146" i="15" s="1"/>
  <c r="G40" i="3"/>
  <c r="E235" i="54" l="1"/>
  <c r="D235" i="54" s="1"/>
  <c r="G235" i="54" s="1"/>
  <c r="F236" i="54" s="1"/>
  <c r="H235" i="54"/>
  <c r="I234" i="54"/>
  <c r="I140" i="40"/>
  <c r="D372" i="40"/>
  <c r="G372" i="40" s="1"/>
  <c r="F373" i="40" s="1"/>
  <c r="E373" i="40" s="1"/>
  <c r="D141" i="40"/>
  <c r="G141" i="40" s="1"/>
  <c r="F142" i="40" s="1"/>
  <c r="E142" i="40" s="1"/>
  <c r="E365" i="31"/>
  <c r="D365" i="31" s="1"/>
  <c r="G365" i="31" s="1"/>
  <c r="F366" i="31" s="1"/>
  <c r="H365" i="31"/>
  <c r="I364" i="31"/>
  <c r="E131" i="31"/>
  <c r="D131" i="31" s="1"/>
  <c r="G131" i="31" s="1"/>
  <c r="F132" i="31" s="1"/>
  <c r="H131" i="31"/>
  <c r="I130" i="31"/>
  <c r="D146" i="15"/>
  <c r="G146" i="15" s="1"/>
  <c r="F148" i="15" s="1"/>
  <c r="E148" i="15" s="1"/>
  <c r="D147" i="15"/>
  <c r="G147" i="15" s="1"/>
  <c r="F149" i="15" s="1"/>
  <c r="E149" i="15" s="1"/>
  <c r="I235" i="54" l="1"/>
  <c r="H236" i="54"/>
  <c r="E236" i="54"/>
  <c r="D236" i="54" s="1"/>
  <c r="G236" i="54" s="1"/>
  <c r="F237" i="54" s="1"/>
  <c r="D142" i="40"/>
  <c r="G142" i="40" s="1"/>
  <c r="F143" i="40" s="1"/>
  <c r="E143" i="40" s="1"/>
  <c r="D373" i="40"/>
  <c r="G373" i="40" s="1"/>
  <c r="F374" i="40" s="1"/>
  <c r="E374" i="40" s="1"/>
  <c r="I141" i="40"/>
  <c r="I365" i="31"/>
  <c r="E366" i="31"/>
  <c r="D366" i="31" s="1"/>
  <c r="G366" i="31" s="1"/>
  <c r="F367" i="31" s="1"/>
  <c r="H366" i="31"/>
  <c r="I131" i="31"/>
  <c r="H132" i="31"/>
  <c r="E132" i="31"/>
  <c r="D132" i="31" s="1"/>
  <c r="G132" i="31" s="1"/>
  <c r="F133" i="31" s="1"/>
  <c r="D149" i="15"/>
  <c r="G149" i="15" s="1"/>
  <c r="F151" i="15" s="1"/>
  <c r="E151" i="15" s="1"/>
  <c r="D148" i="15"/>
  <c r="G148" i="15" s="1"/>
  <c r="F150" i="15" s="1"/>
  <c r="E150" i="15" s="1"/>
  <c r="H237" i="54" l="1"/>
  <c r="E237" i="54"/>
  <c r="D237" i="54" s="1"/>
  <c r="G237" i="54" s="1"/>
  <c r="F238" i="54" s="1"/>
  <c r="I236" i="54"/>
  <c r="I366" i="31"/>
  <c r="I142" i="40"/>
  <c r="D374" i="40"/>
  <c r="G374" i="40" s="1"/>
  <c r="F375" i="40" s="1"/>
  <c r="E375" i="40" s="1"/>
  <c r="D143" i="40"/>
  <c r="G143" i="40" s="1"/>
  <c r="F144" i="40" s="1"/>
  <c r="E144" i="40" s="1"/>
  <c r="E367" i="31"/>
  <c r="D367" i="31" s="1"/>
  <c r="G367" i="31" s="1"/>
  <c r="F368" i="31" s="1"/>
  <c r="H367" i="31"/>
  <c r="E133" i="31"/>
  <c r="D133" i="31" s="1"/>
  <c r="G133" i="31" s="1"/>
  <c r="F134" i="31" s="1"/>
  <c r="H133" i="31"/>
  <c r="I132" i="31"/>
  <c r="D150" i="15"/>
  <c r="G150" i="15" s="1"/>
  <c r="F152" i="15" s="1"/>
  <c r="E152" i="15" s="1"/>
  <c r="D151" i="15"/>
  <c r="G151" i="15" s="1"/>
  <c r="F153" i="15" s="1"/>
  <c r="E153" i="15" s="1"/>
  <c r="H238" i="54" l="1"/>
  <c r="E238" i="54"/>
  <c r="D238" i="54" s="1"/>
  <c r="G238" i="54" s="1"/>
  <c r="F239" i="54" s="1"/>
  <c r="I237" i="54"/>
  <c r="D144" i="40"/>
  <c r="G144" i="40" s="1"/>
  <c r="F145" i="40" s="1"/>
  <c r="E145" i="40" s="1"/>
  <c r="D375" i="40"/>
  <c r="G375" i="40" s="1"/>
  <c r="F376" i="40" s="1"/>
  <c r="E376" i="40" s="1"/>
  <c r="I143" i="40"/>
  <c r="E368" i="31"/>
  <c r="D368" i="31" s="1"/>
  <c r="G368" i="31" s="1"/>
  <c r="F369" i="31" s="1"/>
  <c r="H368" i="31"/>
  <c r="I133" i="31"/>
  <c r="I367" i="31"/>
  <c r="E134" i="31"/>
  <c r="D134" i="31" s="1"/>
  <c r="G134" i="31" s="1"/>
  <c r="F135" i="31" s="1"/>
  <c r="H134" i="31"/>
  <c r="D153" i="15"/>
  <c r="G153" i="15" s="1"/>
  <c r="F155" i="15" s="1"/>
  <c r="E155" i="15" s="1"/>
  <c r="D152" i="15"/>
  <c r="G152" i="15" s="1"/>
  <c r="F154" i="15" s="1"/>
  <c r="E154" i="15" s="1"/>
  <c r="H239" i="54" l="1"/>
  <c r="E239" i="54"/>
  <c r="D239" i="54" s="1"/>
  <c r="G239" i="54" s="1"/>
  <c r="F240" i="54" s="1"/>
  <c r="I238" i="54"/>
  <c r="I144" i="40"/>
  <c r="D376" i="40"/>
  <c r="G376" i="40" s="1"/>
  <c r="F377" i="40" s="1"/>
  <c r="E377" i="40" s="1"/>
  <c r="D145" i="40"/>
  <c r="G145" i="40" s="1"/>
  <c r="F146" i="40" s="1"/>
  <c r="E146" i="40" s="1"/>
  <c r="E369" i="31"/>
  <c r="D369" i="31" s="1"/>
  <c r="G369" i="31" s="1"/>
  <c r="F370" i="31" s="1"/>
  <c r="H369" i="31"/>
  <c r="I368" i="31"/>
  <c r="E135" i="31"/>
  <c r="D135" i="31" s="1"/>
  <c r="G135" i="31" s="1"/>
  <c r="F136" i="31" s="1"/>
  <c r="H135" i="31"/>
  <c r="I134" i="31"/>
  <c r="D154" i="15"/>
  <c r="G154" i="15" s="1"/>
  <c r="F156" i="15" s="1"/>
  <c r="E156" i="15" s="1"/>
  <c r="D155" i="15"/>
  <c r="G155" i="15" s="1"/>
  <c r="F157" i="15" s="1"/>
  <c r="E157" i="15" s="1"/>
  <c r="E240" i="54" l="1"/>
  <c r="D240" i="54" s="1"/>
  <c r="G240" i="54" s="1"/>
  <c r="F241" i="54" s="1"/>
  <c r="H240" i="54"/>
  <c r="I240" i="54" s="1"/>
  <c r="I239" i="54"/>
  <c r="I145" i="40"/>
  <c r="D146" i="40"/>
  <c r="G146" i="40" s="1"/>
  <c r="F147" i="40" s="1"/>
  <c r="E147" i="40" s="1"/>
  <c r="I146" i="40"/>
  <c r="D377" i="40"/>
  <c r="G377" i="40" s="1"/>
  <c r="F378" i="40" s="1"/>
  <c r="E378" i="40" s="1"/>
  <c r="E370" i="31"/>
  <c r="D370" i="31" s="1"/>
  <c r="G370" i="31" s="1"/>
  <c r="F371" i="31" s="1"/>
  <c r="H370" i="31"/>
  <c r="I369" i="31"/>
  <c r="I135" i="31"/>
  <c r="E136" i="31"/>
  <c r="D136" i="31" s="1"/>
  <c r="G136" i="31" s="1"/>
  <c r="F137" i="31" s="1"/>
  <c r="H136" i="31"/>
  <c r="D157" i="15"/>
  <c r="G157" i="15" s="1"/>
  <c r="F159" i="15" s="1"/>
  <c r="E159" i="15" s="1"/>
  <c r="D156" i="15"/>
  <c r="G156" i="15" s="1"/>
  <c r="F158" i="15" s="1"/>
  <c r="E158" i="15" s="1"/>
  <c r="E241" i="54" l="1"/>
  <c r="D241" i="54" s="1"/>
  <c r="G241" i="54" s="1"/>
  <c r="F242" i="54" s="1"/>
  <c r="H241" i="54"/>
  <c r="I241" i="54" s="1"/>
  <c r="D378" i="40"/>
  <c r="G378" i="40" s="1"/>
  <c r="F379" i="40" s="1"/>
  <c r="E379" i="40" s="1"/>
  <c r="D147" i="40"/>
  <c r="G147" i="40" s="1"/>
  <c r="F148" i="40" s="1"/>
  <c r="E148" i="40" s="1"/>
  <c r="E371" i="31"/>
  <c r="D371" i="31" s="1"/>
  <c r="G371" i="31" s="1"/>
  <c r="F372" i="31" s="1"/>
  <c r="H371" i="31"/>
  <c r="I136" i="31"/>
  <c r="I370" i="31"/>
  <c r="H137" i="31"/>
  <c r="E137" i="31"/>
  <c r="D137" i="31" s="1"/>
  <c r="G137" i="31" s="1"/>
  <c r="F138" i="31" s="1"/>
  <c r="D158" i="15"/>
  <c r="G158" i="15" s="1"/>
  <c r="F160" i="15" s="1"/>
  <c r="E160" i="15" s="1"/>
  <c r="D159" i="15"/>
  <c r="G159" i="15" s="1"/>
  <c r="F161" i="15" s="1"/>
  <c r="E161" i="15" s="1"/>
  <c r="E242" i="54" l="1"/>
  <c r="D242" i="54" s="1"/>
  <c r="G242" i="54" s="1"/>
  <c r="F243" i="54" s="1"/>
  <c r="H242" i="54"/>
  <c r="I242" i="54" s="1"/>
  <c r="D148" i="40"/>
  <c r="G148" i="40" s="1"/>
  <c r="F149" i="40" s="1"/>
  <c r="E149" i="40" s="1"/>
  <c r="I148" i="40"/>
  <c r="D379" i="40"/>
  <c r="G379" i="40" s="1"/>
  <c r="F380" i="40" s="1"/>
  <c r="E380" i="40" s="1"/>
  <c r="I147" i="40"/>
  <c r="I371" i="31"/>
  <c r="E372" i="31"/>
  <c r="D372" i="31" s="1"/>
  <c r="G372" i="31" s="1"/>
  <c r="F373" i="31" s="1"/>
  <c r="H372" i="31"/>
  <c r="E138" i="31"/>
  <c r="D138" i="31" s="1"/>
  <c r="G138" i="31" s="1"/>
  <c r="F139" i="31" s="1"/>
  <c r="H138" i="31"/>
  <c r="I137" i="31"/>
  <c r="D161" i="15"/>
  <c r="G161" i="15" s="1"/>
  <c r="F163" i="15" s="1"/>
  <c r="E163" i="15" s="1"/>
  <c r="D160" i="15"/>
  <c r="G160" i="15" s="1"/>
  <c r="F162" i="15" s="1"/>
  <c r="E162" i="15" s="1"/>
  <c r="E243" i="54" l="1"/>
  <c r="D243" i="54" s="1"/>
  <c r="G243" i="54" s="1"/>
  <c r="F244" i="54" s="1"/>
  <c r="H243" i="54"/>
  <c r="I138" i="31"/>
  <c r="I372" i="31"/>
  <c r="D380" i="40"/>
  <c r="G380" i="40" s="1"/>
  <c r="F381" i="40" s="1"/>
  <c r="E381" i="40" s="1"/>
  <c r="D149" i="40"/>
  <c r="G149" i="40" s="1"/>
  <c r="F150" i="40" s="1"/>
  <c r="E150" i="40" s="1"/>
  <c r="E373" i="31"/>
  <c r="D373" i="31" s="1"/>
  <c r="G373" i="31" s="1"/>
  <c r="F374" i="31" s="1"/>
  <c r="H373" i="31"/>
  <c r="E139" i="31"/>
  <c r="D139" i="31" s="1"/>
  <c r="G139" i="31" s="1"/>
  <c r="F140" i="31" s="1"/>
  <c r="H139" i="31"/>
  <c r="D162" i="15"/>
  <c r="G162" i="15" s="1"/>
  <c r="F164" i="15" s="1"/>
  <c r="E164" i="15" s="1"/>
  <c r="D163" i="15"/>
  <c r="G163" i="15" s="1"/>
  <c r="F165" i="15" s="1"/>
  <c r="E165" i="15" s="1"/>
  <c r="I243" i="54" l="1"/>
  <c r="G244" i="54"/>
  <c r="H244" i="54"/>
  <c r="I244" i="54" s="1"/>
  <c r="D150" i="40"/>
  <c r="G150" i="40" s="1"/>
  <c r="F151" i="40" s="1"/>
  <c r="E151" i="40" s="1"/>
  <c r="D381" i="40"/>
  <c r="G381" i="40" s="1"/>
  <c r="F382" i="40" s="1"/>
  <c r="E382" i="40" s="1"/>
  <c r="I149" i="40"/>
  <c r="I139" i="31"/>
  <c r="I373" i="31"/>
  <c r="E374" i="31"/>
  <c r="D374" i="31" s="1"/>
  <c r="G374" i="31" s="1"/>
  <c r="F375" i="31" s="1"/>
  <c r="H374" i="31"/>
  <c r="E140" i="31"/>
  <c r="D140" i="31" s="1"/>
  <c r="G140" i="31" s="1"/>
  <c r="F141" i="31" s="1"/>
  <c r="H140" i="31"/>
  <c r="D165" i="15"/>
  <c r="G165" i="15" s="1"/>
  <c r="F167" i="15" s="1"/>
  <c r="E167" i="15" s="1"/>
  <c r="D164" i="15"/>
  <c r="G164" i="15" s="1"/>
  <c r="F166" i="15" s="1"/>
  <c r="E166" i="15" s="1"/>
  <c r="D382" i="40" l="1"/>
  <c r="G382" i="40" s="1"/>
  <c r="F383" i="40" s="1"/>
  <c r="E383" i="40" s="1"/>
  <c r="D151" i="40"/>
  <c r="G151" i="40" s="1"/>
  <c r="F152" i="40" s="1"/>
  <c r="E152" i="40" s="1"/>
  <c r="I150" i="40"/>
  <c r="I140" i="31"/>
  <c r="I374" i="31"/>
  <c r="E375" i="31"/>
  <c r="D375" i="31" s="1"/>
  <c r="G375" i="31" s="1"/>
  <c r="F376" i="31" s="1"/>
  <c r="H375" i="31"/>
  <c r="E141" i="31"/>
  <c r="D141" i="31" s="1"/>
  <c r="G141" i="31" s="1"/>
  <c r="F142" i="31" s="1"/>
  <c r="H141" i="31"/>
  <c r="D166" i="15"/>
  <c r="G166" i="15" s="1"/>
  <c r="F168" i="15" s="1"/>
  <c r="E168" i="15" s="1"/>
  <c r="D167" i="15"/>
  <c r="G167" i="15" s="1"/>
  <c r="F169" i="15" s="1"/>
  <c r="E169" i="15" s="1"/>
  <c r="D152" i="40" l="1"/>
  <c r="G152" i="40" s="1"/>
  <c r="F153" i="40" s="1"/>
  <c r="E153" i="40" s="1"/>
  <c r="D383" i="40"/>
  <c r="G383" i="40" s="1"/>
  <c r="F384" i="40" s="1"/>
  <c r="E384" i="40" s="1"/>
  <c r="I151" i="40"/>
  <c r="I141" i="31"/>
  <c r="I375" i="31"/>
  <c r="E376" i="31"/>
  <c r="D376" i="31" s="1"/>
  <c r="G376" i="31" s="1"/>
  <c r="F377" i="31" s="1"/>
  <c r="H376" i="31"/>
  <c r="E142" i="31"/>
  <c r="D142" i="31" s="1"/>
  <c r="G142" i="31" s="1"/>
  <c r="F143" i="31" s="1"/>
  <c r="H142" i="31"/>
  <c r="I142" i="31" s="1"/>
  <c r="D169" i="15"/>
  <c r="G169" i="15" s="1"/>
  <c r="F171" i="15" s="1"/>
  <c r="E171" i="15" s="1"/>
  <c r="D168" i="15"/>
  <c r="G168" i="15" s="1"/>
  <c r="F170" i="15" s="1"/>
  <c r="E170" i="15" s="1"/>
  <c r="D384" i="40" l="1"/>
  <c r="G384" i="40" s="1"/>
  <c r="F385" i="40" s="1"/>
  <c r="E385" i="40" s="1"/>
  <c r="D153" i="40"/>
  <c r="G153" i="40" s="1"/>
  <c r="F154" i="40" s="1"/>
  <c r="E154" i="40" s="1"/>
  <c r="I152" i="40"/>
  <c r="I376" i="31"/>
  <c r="E377" i="31"/>
  <c r="D377" i="31" s="1"/>
  <c r="G377" i="31" s="1"/>
  <c r="F378" i="31" s="1"/>
  <c r="H377" i="31"/>
  <c r="H143" i="31"/>
  <c r="E143" i="31"/>
  <c r="D143" i="31" s="1"/>
  <c r="G143" i="31" s="1"/>
  <c r="F144" i="31" s="1"/>
  <c r="D170" i="15"/>
  <c r="G170" i="15" s="1"/>
  <c r="F172" i="15" s="1"/>
  <c r="E172" i="15" s="1"/>
  <c r="D171" i="15"/>
  <c r="G171" i="15" s="1"/>
  <c r="F173" i="15" s="1"/>
  <c r="E173" i="15" s="1"/>
  <c r="I377" i="31" l="1"/>
  <c r="D154" i="40"/>
  <c r="G154" i="40" s="1"/>
  <c r="F155" i="40" s="1"/>
  <c r="E155" i="40" s="1"/>
  <c r="D385" i="40"/>
  <c r="G385" i="40" s="1"/>
  <c r="F386" i="40" s="1"/>
  <c r="E386" i="40" s="1"/>
  <c r="I153" i="40"/>
  <c r="I143" i="31"/>
  <c r="E378" i="31"/>
  <c r="D378" i="31" s="1"/>
  <c r="G378" i="31" s="1"/>
  <c r="F379" i="31" s="1"/>
  <c r="H378" i="31"/>
  <c r="E144" i="31"/>
  <c r="D144" i="31" s="1"/>
  <c r="G144" i="31" s="1"/>
  <c r="F145" i="31" s="1"/>
  <c r="H144" i="31"/>
  <c r="D173" i="15"/>
  <c r="G173" i="15" s="1"/>
  <c r="F175" i="15" s="1"/>
  <c r="E175" i="15" s="1"/>
  <c r="D172" i="15"/>
  <c r="G172" i="15" s="1"/>
  <c r="F174" i="15" s="1"/>
  <c r="E174" i="15" s="1"/>
  <c r="I378" i="31" l="1"/>
  <c r="D386" i="40"/>
  <c r="G386" i="40" s="1"/>
  <c r="F387" i="40" s="1"/>
  <c r="E387" i="40" s="1"/>
  <c r="D155" i="40"/>
  <c r="G155" i="40" s="1"/>
  <c r="F156" i="40" s="1"/>
  <c r="E156" i="40" s="1"/>
  <c r="I154" i="40"/>
  <c r="E379" i="31"/>
  <c r="D379" i="31" s="1"/>
  <c r="G379" i="31" s="1"/>
  <c r="F380" i="31" s="1"/>
  <c r="H379" i="31"/>
  <c r="I144" i="31"/>
  <c r="E145" i="31"/>
  <c r="D145" i="31" s="1"/>
  <c r="G145" i="31" s="1"/>
  <c r="F146" i="31" s="1"/>
  <c r="H145" i="31"/>
  <c r="D174" i="15"/>
  <c r="G174" i="15" s="1"/>
  <c r="F176" i="15" s="1"/>
  <c r="E176" i="15" s="1"/>
  <c r="D175" i="15"/>
  <c r="G175" i="15" s="1"/>
  <c r="F177" i="15" s="1"/>
  <c r="E177" i="15" s="1"/>
  <c r="D156" i="40" l="1"/>
  <c r="G156" i="40" s="1"/>
  <c r="F157" i="40" s="1"/>
  <c r="E157" i="40" s="1"/>
  <c r="D387" i="40"/>
  <c r="G387" i="40" s="1"/>
  <c r="F388" i="40" s="1"/>
  <c r="E388" i="40" s="1"/>
  <c r="I155" i="40"/>
  <c r="E380" i="31"/>
  <c r="D380" i="31" s="1"/>
  <c r="G380" i="31" s="1"/>
  <c r="F381" i="31" s="1"/>
  <c r="H380" i="31"/>
  <c r="I379" i="31"/>
  <c r="E146" i="31"/>
  <c r="D146" i="31" s="1"/>
  <c r="G146" i="31" s="1"/>
  <c r="F147" i="31" s="1"/>
  <c r="H146" i="31"/>
  <c r="I145" i="31"/>
  <c r="D177" i="15"/>
  <c r="G177" i="15" s="1"/>
  <c r="F179" i="15" s="1"/>
  <c r="E179" i="15" s="1"/>
  <c r="D176" i="15"/>
  <c r="G176" i="15" s="1"/>
  <c r="F178" i="15" s="1"/>
  <c r="E178" i="15" s="1"/>
  <c r="D388" i="40" l="1"/>
  <c r="G388" i="40" s="1"/>
  <c r="F389" i="40" s="1"/>
  <c r="E389" i="40" s="1"/>
  <c r="D157" i="40"/>
  <c r="G157" i="40" s="1"/>
  <c r="F158" i="40" s="1"/>
  <c r="E158" i="40" s="1"/>
  <c r="I156" i="40"/>
  <c r="I146" i="31"/>
  <c r="I380" i="31"/>
  <c r="E381" i="31"/>
  <c r="D381" i="31" s="1"/>
  <c r="G381" i="31" s="1"/>
  <c r="F382" i="31" s="1"/>
  <c r="H381" i="31"/>
  <c r="E147" i="31"/>
  <c r="D147" i="31" s="1"/>
  <c r="G147" i="31" s="1"/>
  <c r="F148" i="31" s="1"/>
  <c r="H147" i="31"/>
  <c r="D178" i="15"/>
  <c r="G178" i="15" s="1"/>
  <c r="F180" i="15" s="1"/>
  <c r="E180" i="15" s="1"/>
  <c r="D179" i="15"/>
  <c r="G179" i="15" s="1"/>
  <c r="F181" i="15" s="1"/>
  <c r="E181" i="15" s="1"/>
  <c r="D158" i="40" l="1"/>
  <c r="G158" i="40" s="1"/>
  <c r="F159" i="40" s="1"/>
  <c r="E159" i="40" s="1"/>
  <c r="D389" i="40"/>
  <c r="G389" i="40" s="1"/>
  <c r="F390" i="40" s="1"/>
  <c r="E390" i="40" s="1"/>
  <c r="I157" i="40"/>
  <c r="E382" i="31"/>
  <c r="D382" i="31" s="1"/>
  <c r="G382" i="31" s="1"/>
  <c r="F383" i="31" s="1"/>
  <c r="H382" i="31"/>
  <c r="I381" i="31"/>
  <c r="I147" i="31"/>
  <c r="H148" i="31"/>
  <c r="E148" i="31"/>
  <c r="D148" i="31" s="1"/>
  <c r="G148" i="31" s="1"/>
  <c r="F149" i="31" s="1"/>
  <c r="D181" i="15"/>
  <c r="G181" i="15" s="1"/>
  <c r="F183" i="15" s="1"/>
  <c r="E183" i="15" s="1"/>
  <c r="D180" i="15"/>
  <c r="G180" i="15" s="1"/>
  <c r="F182" i="15" s="1"/>
  <c r="E182" i="15" s="1"/>
  <c r="D390" i="40" l="1"/>
  <c r="G390" i="40" s="1"/>
  <c r="F391" i="40" s="1"/>
  <c r="E391" i="40" s="1"/>
  <c r="D159" i="40"/>
  <c r="G159" i="40" s="1"/>
  <c r="F160" i="40" s="1"/>
  <c r="E160" i="40" s="1"/>
  <c r="I158" i="40"/>
  <c r="I382" i="31"/>
  <c r="E383" i="31"/>
  <c r="D383" i="31" s="1"/>
  <c r="G383" i="31" s="1"/>
  <c r="F384" i="31" s="1"/>
  <c r="H383" i="31"/>
  <c r="E149" i="31"/>
  <c r="D149" i="31" s="1"/>
  <c r="G149" i="31" s="1"/>
  <c r="F150" i="31" s="1"/>
  <c r="H149" i="31"/>
  <c r="I148" i="31"/>
  <c r="D182" i="15"/>
  <c r="G182" i="15" s="1"/>
  <c r="F184" i="15" s="1"/>
  <c r="E184" i="15" s="1"/>
  <c r="D183" i="15"/>
  <c r="G183" i="15" s="1"/>
  <c r="F185" i="15" s="1"/>
  <c r="E185" i="15" s="1"/>
  <c r="I149" i="31" l="1"/>
  <c r="D160" i="40"/>
  <c r="G160" i="40" s="1"/>
  <c r="F161" i="40" s="1"/>
  <c r="E161" i="40" s="1"/>
  <c r="D391" i="40"/>
  <c r="G391" i="40" s="1"/>
  <c r="F392" i="40" s="1"/>
  <c r="E392" i="40" s="1"/>
  <c r="I159" i="40"/>
  <c r="I383" i="31"/>
  <c r="E384" i="31"/>
  <c r="D384" i="31" s="1"/>
  <c r="G384" i="31" s="1"/>
  <c r="F385" i="31" s="1"/>
  <c r="H384" i="31"/>
  <c r="E150" i="31"/>
  <c r="D150" i="31" s="1"/>
  <c r="G150" i="31" s="1"/>
  <c r="F151" i="31" s="1"/>
  <c r="H150" i="31"/>
  <c r="I150" i="31" s="1"/>
  <c r="D185" i="15"/>
  <c r="G185" i="15" s="1"/>
  <c r="F187" i="15" s="1"/>
  <c r="E187" i="15" s="1"/>
  <c r="D184" i="15"/>
  <c r="G184" i="15" s="1"/>
  <c r="F186" i="15" s="1"/>
  <c r="E186" i="15" s="1"/>
  <c r="I384" i="31" l="1"/>
  <c r="D392" i="40"/>
  <c r="G392" i="40" s="1"/>
  <c r="F393" i="40" s="1"/>
  <c r="E393" i="40" s="1"/>
  <c r="D161" i="40"/>
  <c r="G161" i="40" s="1"/>
  <c r="F162" i="40" s="1"/>
  <c r="E162" i="40" s="1"/>
  <c r="I160" i="40"/>
  <c r="E385" i="31"/>
  <c r="D385" i="31" s="1"/>
  <c r="G385" i="31" s="1"/>
  <c r="F386" i="31" s="1"/>
  <c r="H385" i="31"/>
  <c r="E151" i="31"/>
  <c r="D151" i="31" s="1"/>
  <c r="G151" i="31" s="1"/>
  <c r="F152" i="31" s="1"/>
  <c r="H151" i="31"/>
  <c r="D186" i="15"/>
  <c r="G186" i="15" s="1"/>
  <c r="F188" i="15" s="1"/>
  <c r="E188" i="15" s="1"/>
  <c r="D187" i="15"/>
  <c r="G187" i="15" s="1"/>
  <c r="F189" i="15" s="1"/>
  <c r="E189" i="15" s="1"/>
  <c r="D162" i="40" l="1"/>
  <c r="G162" i="40" s="1"/>
  <c r="F163" i="40" s="1"/>
  <c r="E163" i="40" s="1"/>
  <c r="D393" i="40"/>
  <c r="G393" i="40" s="1"/>
  <c r="F394" i="40" s="1"/>
  <c r="E394" i="40" s="1"/>
  <c r="I161" i="40"/>
  <c r="I385" i="31"/>
  <c r="E386" i="31"/>
  <c r="D386" i="31" s="1"/>
  <c r="G386" i="31" s="1"/>
  <c r="F387" i="31" s="1"/>
  <c r="H386" i="31"/>
  <c r="E152" i="31"/>
  <c r="D152" i="31" s="1"/>
  <c r="G152" i="31" s="1"/>
  <c r="F153" i="31" s="1"/>
  <c r="H152" i="31"/>
  <c r="I151" i="31"/>
  <c r="D189" i="15"/>
  <c r="G189" i="15" s="1"/>
  <c r="F191" i="15" s="1"/>
  <c r="E191" i="15" s="1"/>
  <c r="D188" i="15"/>
  <c r="G188" i="15" s="1"/>
  <c r="F190" i="15" s="1"/>
  <c r="E190" i="15" s="1"/>
  <c r="D394" i="40" l="1"/>
  <c r="G394" i="40" s="1"/>
  <c r="F395" i="40" s="1"/>
  <c r="E395" i="40" s="1"/>
  <c r="D163" i="40"/>
  <c r="G163" i="40" s="1"/>
  <c r="F164" i="40" s="1"/>
  <c r="E164" i="40" s="1"/>
  <c r="I163" i="40"/>
  <c r="I162" i="40"/>
  <c r="I152" i="31"/>
  <c r="I386" i="31"/>
  <c r="E387" i="31"/>
  <c r="D387" i="31" s="1"/>
  <c r="G387" i="31" s="1"/>
  <c r="F388" i="31" s="1"/>
  <c r="H387" i="31"/>
  <c r="E153" i="31"/>
  <c r="D153" i="31" s="1"/>
  <c r="G153" i="31" s="1"/>
  <c r="F154" i="31" s="1"/>
  <c r="H153" i="31"/>
  <c r="D190" i="15"/>
  <c r="G190" i="15" s="1"/>
  <c r="F192" i="15" s="1"/>
  <c r="E192" i="15" s="1"/>
  <c r="D191" i="15"/>
  <c r="G191" i="15" s="1"/>
  <c r="F193" i="15" s="1"/>
  <c r="E193" i="15" s="1"/>
  <c r="D395" i="40" l="1"/>
  <c r="G395" i="40" s="1"/>
  <c r="F396" i="40" s="1"/>
  <c r="E396" i="40" s="1"/>
  <c r="D164" i="40"/>
  <c r="G164" i="40" s="1"/>
  <c r="F165" i="40" s="1"/>
  <c r="E165" i="40" s="1"/>
  <c r="I153" i="31"/>
  <c r="I387" i="31"/>
  <c r="E388" i="31"/>
  <c r="D388" i="31" s="1"/>
  <c r="G388" i="31" s="1"/>
  <c r="F389" i="31" s="1"/>
  <c r="H388" i="31"/>
  <c r="E154" i="31"/>
  <c r="D154" i="31" s="1"/>
  <c r="G154" i="31" s="1"/>
  <c r="F155" i="31" s="1"/>
  <c r="H154" i="31"/>
  <c r="D193" i="15"/>
  <c r="G193" i="15" s="1"/>
  <c r="F195" i="15" s="1"/>
  <c r="E195" i="15" s="1"/>
  <c r="D192" i="15"/>
  <c r="G192" i="15" s="1"/>
  <c r="F194" i="15" s="1"/>
  <c r="E194" i="15" s="1"/>
  <c r="I164" i="40" l="1"/>
  <c r="D396" i="40"/>
  <c r="G396" i="40" s="1"/>
  <c r="F397" i="40" s="1"/>
  <c r="E397" i="40" s="1"/>
  <c r="D165" i="40"/>
  <c r="G165" i="40" s="1"/>
  <c r="F166" i="40" s="1"/>
  <c r="E166" i="40" s="1"/>
  <c r="I388" i="31"/>
  <c r="E389" i="31"/>
  <c r="D389" i="31" s="1"/>
  <c r="G389" i="31" s="1"/>
  <c r="F390" i="31" s="1"/>
  <c r="H389" i="31"/>
  <c r="E155" i="31"/>
  <c r="D155" i="31" s="1"/>
  <c r="G155" i="31" s="1"/>
  <c r="F156" i="31" s="1"/>
  <c r="H155" i="31"/>
  <c r="I154" i="31"/>
  <c r="D194" i="15"/>
  <c r="G194" i="15" s="1"/>
  <c r="F196" i="15" s="1"/>
  <c r="E196" i="15" s="1"/>
  <c r="D195" i="15"/>
  <c r="G195" i="15" s="1"/>
  <c r="F197" i="15" s="1"/>
  <c r="E197" i="15" s="1"/>
  <c r="I389" i="31" l="1"/>
  <c r="I165" i="40"/>
  <c r="D397" i="40"/>
  <c r="G397" i="40" s="1"/>
  <c r="F398" i="40" s="1"/>
  <c r="E398" i="40" s="1"/>
  <c r="D166" i="40"/>
  <c r="G166" i="40" s="1"/>
  <c r="F167" i="40" s="1"/>
  <c r="E167" i="40" s="1"/>
  <c r="E390" i="31"/>
  <c r="D390" i="31" s="1"/>
  <c r="G390" i="31" s="1"/>
  <c r="F391" i="31" s="1"/>
  <c r="H390" i="31"/>
  <c r="I155" i="31"/>
  <c r="E156" i="31"/>
  <c r="D156" i="31" s="1"/>
  <c r="G156" i="31" s="1"/>
  <c r="F157" i="31" s="1"/>
  <c r="H156" i="31"/>
  <c r="D197" i="15"/>
  <c r="G197" i="15" s="1"/>
  <c r="F199" i="15" s="1"/>
  <c r="E199" i="15" s="1"/>
  <c r="D196" i="15"/>
  <c r="G196" i="15" s="1"/>
  <c r="F198" i="15" s="1"/>
  <c r="E198" i="15" s="1"/>
  <c r="D167" i="40" l="1"/>
  <c r="G167" i="40" s="1"/>
  <c r="F168" i="40" s="1"/>
  <c r="E168" i="40" s="1"/>
  <c r="I166" i="40"/>
  <c r="D398" i="40"/>
  <c r="G398" i="40" s="1"/>
  <c r="F399" i="40" s="1"/>
  <c r="E399" i="40" s="1"/>
  <c r="E391" i="31"/>
  <c r="D391" i="31" s="1"/>
  <c r="G391" i="31" s="1"/>
  <c r="F392" i="31" s="1"/>
  <c r="H391" i="31"/>
  <c r="I390" i="31"/>
  <c r="E157" i="31"/>
  <c r="D157" i="31" s="1"/>
  <c r="G157" i="31" s="1"/>
  <c r="F158" i="31" s="1"/>
  <c r="H157" i="31"/>
  <c r="I156" i="31"/>
  <c r="D198" i="15"/>
  <c r="G198" i="15" s="1"/>
  <c r="F200" i="15" s="1"/>
  <c r="E200" i="15" s="1"/>
  <c r="D199" i="15"/>
  <c r="G199" i="15" s="1"/>
  <c r="F201" i="15" s="1"/>
  <c r="E201" i="15" s="1"/>
  <c r="I167" i="40" l="1"/>
  <c r="D399" i="40"/>
  <c r="G399" i="40" s="1"/>
  <c r="F400" i="40" s="1"/>
  <c r="E400" i="40" s="1"/>
  <c r="D168" i="40"/>
  <c r="G168" i="40" s="1"/>
  <c r="F169" i="40" s="1"/>
  <c r="E169" i="40" s="1"/>
  <c r="I157" i="31"/>
  <c r="I391" i="31"/>
  <c r="E392" i="31"/>
  <c r="D392" i="31" s="1"/>
  <c r="G392" i="31" s="1"/>
  <c r="F393" i="31" s="1"/>
  <c r="H392" i="31"/>
  <c r="E158" i="31"/>
  <c r="D158" i="31" s="1"/>
  <c r="G158" i="31" s="1"/>
  <c r="F159" i="31" s="1"/>
  <c r="H158" i="31"/>
  <c r="D201" i="15"/>
  <c r="G201" i="15" s="1"/>
  <c r="F203" i="15" s="1"/>
  <c r="E203" i="15" s="1"/>
  <c r="D200" i="15"/>
  <c r="G200" i="15" s="1"/>
  <c r="F202" i="15" s="1"/>
  <c r="E202" i="15" s="1"/>
  <c r="D169" i="40" l="1"/>
  <c r="G169" i="40" s="1"/>
  <c r="F170" i="40" s="1"/>
  <c r="E170" i="40" s="1"/>
  <c r="D400" i="40"/>
  <c r="G400" i="40" s="1"/>
  <c r="F401" i="40" s="1"/>
  <c r="E401" i="40" s="1"/>
  <c r="I168" i="40"/>
  <c r="E393" i="31"/>
  <c r="D393" i="31" s="1"/>
  <c r="G393" i="31" s="1"/>
  <c r="F394" i="31" s="1"/>
  <c r="H393" i="31"/>
  <c r="I392" i="31"/>
  <c r="E159" i="31"/>
  <c r="D159" i="31" s="1"/>
  <c r="G159" i="31" s="1"/>
  <c r="F160" i="31" s="1"/>
  <c r="H159" i="31"/>
  <c r="I158" i="31"/>
  <c r="D202" i="15"/>
  <c r="G202" i="15" s="1"/>
  <c r="F204" i="15" s="1"/>
  <c r="E204" i="15" s="1"/>
  <c r="D203" i="15"/>
  <c r="G203" i="15" s="1"/>
  <c r="F205" i="15" s="1"/>
  <c r="E205" i="15" s="1"/>
  <c r="I393" i="31" l="1"/>
  <c r="D401" i="40"/>
  <c r="G401" i="40" s="1"/>
  <c r="F402" i="40" s="1"/>
  <c r="E402" i="40" s="1"/>
  <c r="D170" i="40"/>
  <c r="G170" i="40" s="1"/>
  <c r="F171" i="40" s="1"/>
  <c r="E171" i="40" s="1"/>
  <c r="I169" i="40"/>
  <c r="E394" i="31"/>
  <c r="D394" i="31" s="1"/>
  <c r="G394" i="31" s="1"/>
  <c r="F395" i="31" s="1"/>
  <c r="H394" i="31"/>
  <c r="E160" i="31"/>
  <c r="D160" i="31" s="1"/>
  <c r="G160" i="31" s="1"/>
  <c r="F161" i="31" s="1"/>
  <c r="H160" i="31"/>
  <c r="I159" i="31"/>
  <c r="D205" i="15"/>
  <c r="G205" i="15" s="1"/>
  <c r="F207" i="15" s="1"/>
  <c r="E207" i="15" s="1"/>
  <c r="D204" i="15"/>
  <c r="G204" i="15" s="1"/>
  <c r="F206" i="15" s="1"/>
  <c r="E206" i="15" s="1"/>
  <c r="D171" i="40" l="1"/>
  <c r="G171" i="40" s="1"/>
  <c r="F172" i="40" s="1"/>
  <c r="E172" i="40" s="1"/>
  <c r="D402" i="40"/>
  <c r="G402" i="40" s="1"/>
  <c r="F403" i="40" s="1"/>
  <c r="E403" i="40" s="1"/>
  <c r="I170" i="40"/>
  <c r="E395" i="31"/>
  <c r="D395" i="31" s="1"/>
  <c r="G395" i="31" s="1"/>
  <c r="F396" i="31" s="1"/>
  <c r="H395" i="31"/>
  <c r="I394" i="31"/>
  <c r="H161" i="31"/>
  <c r="E161" i="31"/>
  <c r="D161" i="31" s="1"/>
  <c r="G161" i="31" s="1"/>
  <c r="F162" i="31" s="1"/>
  <c r="I160" i="31"/>
  <c r="D206" i="15"/>
  <c r="G206" i="15" s="1"/>
  <c r="F208" i="15" s="1"/>
  <c r="E208" i="15" s="1"/>
  <c r="D207" i="15"/>
  <c r="G207" i="15" s="1"/>
  <c r="F209" i="15" s="1"/>
  <c r="E209" i="15" s="1"/>
  <c r="D403" i="40" l="1"/>
  <c r="G403" i="40" s="1"/>
  <c r="F404" i="40" s="1"/>
  <c r="E404" i="40" s="1"/>
  <c r="D172" i="40"/>
  <c r="G172" i="40" s="1"/>
  <c r="F173" i="40" s="1"/>
  <c r="E173" i="40" s="1"/>
  <c r="I171" i="40"/>
  <c r="E396" i="31"/>
  <c r="D396" i="31" s="1"/>
  <c r="G396" i="31" s="1"/>
  <c r="F397" i="31" s="1"/>
  <c r="H396" i="31"/>
  <c r="I395" i="31"/>
  <c r="H162" i="31"/>
  <c r="E162" i="31"/>
  <c r="D162" i="31" s="1"/>
  <c r="G162" i="31" s="1"/>
  <c r="F163" i="31" s="1"/>
  <c r="I161" i="31"/>
  <c r="D209" i="15"/>
  <c r="G209" i="15" s="1"/>
  <c r="F211" i="15" s="1"/>
  <c r="E211" i="15" s="1"/>
  <c r="D208" i="15"/>
  <c r="G208" i="15" s="1"/>
  <c r="F210" i="15" s="1"/>
  <c r="E210" i="15" s="1"/>
  <c r="D173" i="40" l="1"/>
  <c r="G173" i="40" s="1"/>
  <c r="F174" i="40" s="1"/>
  <c r="E174" i="40" s="1"/>
  <c r="D404" i="40"/>
  <c r="G404" i="40" s="1"/>
  <c r="F405" i="40" s="1"/>
  <c r="E405" i="40" s="1"/>
  <c r="I172" i="40"/>
  <c r="E397" i="31"/>
  <c r="D397" i="31" s="1"/>
  <c r="G397" i="31" s="1"/>
  <c r="F398" i="31" s="1"/>
  <c r="H397" i="31"/>
  <c r="I396" i="31"/>
  <c r="E163" i="31"/>
  <c r="D163" i="31" s="1"/>
  <c r="G163" i="31" s="1"/>
  <c r="F164" i="31" s="1"/>
  <c r="H163" i="31"/>
  <c r="I162" i="31"/>
  <c r="D210" i="15"/>
  <c r="G210" i="15" s="1"/>
  <c r="F212" i="15" s="1"/>
  <c r="E212" i="15" s="1"/>
  <c r="D211" i="15"/>
  <c r="G211" i="15" s="1"/>
  <c r="F213" i="15" s="1"/>
  <c r="E213" i="15" s="1"/>
  <c r="D405" i="40" l="1"/>
  <c r="G405" i="40" s="1"/>
  <c r="F406" i="40" s="1"/>
  <c r="E406" i="40" s="1"/>
  <c r="D174" i="40"/>
  <c r="G174" i="40" s="1"/>
  <c r="F175" i="40" s="1"/>
  <c r="E175" i="40" s="1"/>
  <c r="I173" i="40"/>
  <c r="E398" i="31"/>
  <c r="D398" i="31" s="1"/>
  <c r="G398" i="31" s="1"/>
  <c r="F399" i="31" s="1"/>
  <c r="H398" i="31"/>
  <c r="I397" i="31"/>
  <c r="I163" i="31"/>
  <c r="H164" i="31"/>
  <c r="E164" i="31"/>
  <c r="D164" i="31" s="1"/>
  <c r="G164" i="31" s="1"/>
  <c r="F165" i="31" s="1"/>
  <c r="D213" i="15"/>
  <c r="G213" i="15" s="1"/>
  <c r="F215" i="15" s="1"/>
  <c r="E215" i="15" s="1"/>
  <c r="D212" i="15"/>
  <c r="G212" i="15" s="1"/>
  <c r="F214" i="15" s="1"/>
  <c r="E214" i="15" s="1"/>
  <c r="D406" i="40" l="1"/>
  <c r="G406" i="40" s="1"/>
  <c r="F407" i="40" s="1"/>
  <c r="E407" i="40" s="1"/>
  <c r="D175" i="40"/>
  <c r="G175" i="40" s="1"/>
  <c r="F176" i="40" s="1"/>
  <c r="E176" i="40" s="1"/>
  <c r="I174" i="40"/>
  <c r="E399" i="31"/>
  <c r="D399" i="31" s="1"/>
  <c r="G399" i="31" s="1"/>
  <c r="F400" i="31" s="1"/>
  <c r="H399" i="31"/>
  <c r="I398" i="31"/>
  <c r="I164" i="31"/>
  <c r="H165" i="31"/>
  <c r="E165" i="31"/>
  <c r="D165" i="31" s="1"/>
  <c r="G165" i="31" s="1"/>
  <c r="F166" i="31" s="1"/>
  <c r="D214" i="15"/>
  <c r="G214" i="15" s="1"/>
  <c r="F216" i="15" s="1"/>
  <c r="E216" i="15" s="1"/>
  <c r="D215" i="15"/>
  <c r="G215" i="15" s="1"/>
  <c r="F217" i="15" s="1"/>
  <c r="E217" i="15" s="1"/>
  <c r="I175" i="40" l="1"/>
  <c r="D407" i="40"/>
  <c r="G407" i="40" s="1"/>
  <c r="F408" i="40" s="1"/>
  <c r="E408" i="40" s="1"/>
  <c r="D176" i="40"/>
  <c r="G176" i="40" s="1"/>
  <c r="F177" i="40" s="1"/>
  <c r="E177" i="40" s="1"/>
  <c r="I399" i="31"/>
  <c r="E400" i="31"/>
  <c r="D400" i="31" s="1"/>
  <c r="G400" i="31" s="1"/>
  <c r="F401" i="31" s="1"/>
  <c r="H400" i="31"/>
  <c r="I165" i="31"/>
  <c r="H166" i="31"/>
  <c r="E166" i="31"/>
  <c r="D166" i="31" s="1"/>
  <c r="G166" i="31" s="1"/>
  <c r="F167" i="31" s="1"/>
  <c r="D217" i="15"/>
  <c r="G217" i="15" s="1"/>
  <c r="F219" i="15" s="1"/>
  <c r="E219" i="15" s="1"/>
  <c r="D216" i="15"/>
  <c r="G216" i="15" s="1"/>
  <c r="F218" i="15" s="1"/>
  <c r="E218" i="15" s="1"/>
  <c r="I400" i="31" l="1"/>
  <c r="I176" i="40"/>
  <c r="D408" i="40"/>
  <c r="G408" i="40" s="1"/>
  <c r="F409" i="40" s="1"/>
  <c r="E409" i="40" s="1"/>
  <c r="D177" i="40"/>
  <c r="G177" i="40" s="1"/>
  <c r="F178" i="40" s="1"/>
  <c r="E178" i="40" s="1"/>
  <c r="E401" i="31"/>
  <c r="D401" i="31" s="1"/>
  <c r="G401" i="31" s="1"/>
  <c r="F402" i="31" s="1"/>
  <c r="H401" i="31"/>
  <c r="E167" i="31"/>
  <c r="D167" i="31" s="1"/>
  <c r="G167" i="31" s="1"/>
  <c r="F168" i="31" s="1"/>
  <c r="H167" i="31"/>
  <c r="I166" i="31"/>
  <c r="D218" i="15"/>
  <c r="G218" i="15" s="1"/>
  <c r="F220" i="15" s="1"/>
  <c r="E220" i="15" s="1"/>
  <c r="D219" i="15"/>
  <c r="G219" i="15" s="1"/>
  <c r="F221" i="15" s="1"/>
  <c r="E221" i="15" s="1"/>
  <c r="D178" i="40" l="1"/>
  <c r="G178" i="40" s="1"/>
  <c r="F179" i="40" s="1"/>
  <c r="E179" i="40" s="1"/>
  <c r="D409" i="40"/>
  <c r="G409" i="40" s="1"/>
  <c r="F410" i="40" s="1"/>
  <c r="E410" i="40" s="1"/>
  <c r="I177" i="40"/>
  <c r="E402" i="31"/>
  <c r="D402" i="31" s="1"/>
  <c r="G402" i="31" s="1"/>
  <c r="F403" i="31" s="1"/>
  <c r="H402" i="31"/>
  <c r="I401" i="31"/>
  <c r="E168" i="31"/>
  <c r="D168" i="31" s="1"/>
  <c r="G168" i="31" s="1"/>
  <c r="F169" i="31" s="1"/>
  <c r="H168" i="31"/>
  <c r="I167" i="31"/>
  <c r="D221" i="15"/>
  <c r="G221" i="15" s="1"/>
  <c r="F223" i="15" s="1"/>
  <c r="E223" i="15" s="1"/>
  <c r="D220" i="15"/>
  <c r="G220" i="15" s="1"/>
  <c r="F222" i="15" s="1"/>
  <c r="E222" i="15" s="1"/>
  <c r="I168" i="31" l="1"/>
  <c r="D179" i="40"/>
  <c r="G179" i="40" s="1"/>
  <c r="F180" i="40" s="1"/>
  <c r="E180" i="40" s="1"/>
  <c r="D410" i="40"/>
  <c r="G410" i="40" s="1"/>
  <c r="F411" i="40" s="1"/>
  <c r="E411" i="40" s="1"/>
  <c r="I178" i="40"/>
  <c r="E403" i="31"/>
  <c r="D403" i="31" s="1"/>
  <c r="G403" i="31" s="1"/>
  <c r="F404" i="31" s="1"/>
  <c r="H403" i="31"/>
  <c r="I402" i="31"/>
  <c r="H169" i="31"/>
  <c r="E169" i="31"/>
  <c r="D169" i="31" s="1"/>
  <c r="G169" i="31" s="1"/>
  <c r="F170" i="31" s="1"/>
  <c r="D222" i="15"/>
  <c r="G222" i="15" s="1"/>
  <c r="F224" i="15" s="1"/>
  <c r="E224" i="15" s="1"/>
  <c r="D223" i="15"/>
  <c r="G223" i="15" s="1"/>
  <c r="F225" i="15" s="1"/>
  <c r="E225" i="15" s="1"/>
  <c r="D180" i="40" l="1"/>
  <c r="G180" i="40" s="1"/>
  <c r="F181" i="40" s="1"/>
  <c r="E181" i="40" s="1"/>
  <c r="D411" i="40"/>
  <c r="G411" i="40" s="1"/>
  <c r="F412" i="40" s="1"/>
  <c r="E412" i="40" s="1"/>
  <c r="I179" i="40"/>
  <c r="E404" i="31"/>
  <c r="D404" i="31" s="1"/>
  <c r="G404" i="31" s="1"/>
  <c r="F405" i="31" s="1"/>
  <c r="H404" i="31"/>
  <c r="I403" i="31"/>
  <c r="H170" i="31"/>
  <c r="E170" i="31"/>
  <c r="D170" i="31" s="1"/>
  <c r="G170" i="31" s="1"/>
  <c r="F171" i="31" s="1"/>
  <c r="I169" i="31"/>
  <c r="D225" i="15"/>
  <c r="G225" i="15" s="1"/>
  <c r="F227" i="15" s="1"/>
  <c r="E227" i="15" s="1"/>
  <c r="D224" i="15"/>
  <c r="G224" i="15" s="1"/>
  <c r="F226" i="15" s="1"/>
  <c r="E226" i="15" s="1"/>
  <c r="D181" i="40" l="1"/>
  <c r="G181" i="40" s="1"/>
  <c r="F182" i="40" s="1"/>
  <c r="E182" i="40" s="1"/>
  <c r="D412" i="40"/>
  <c r="G412" i="40" s="1"/>
  <c r="F413" i="40" s="1"/>
  <c r="E413" i="40" s="1"/>
  <c r="I180" i="40"/>
  <c r="E405" i="31"/>
  <c r="D405" i="31" s="1"/>
  <c r="G405" i="31" s="1"/>
  <c r="F406" i="31" s="1"/>
  <c r="H405" i="31"/>
  <c r="I404" i="31"/>
  <c r="E171" i="31"/>
  <c r="D171" i="31" s="1"/>
  <c r="G171" i="31" s="1"/>
  <c r="F172" i="31" s="1"/>
  <c r="H171" i="31"/>
  <c r="I170" i="31"/>
  <c r="D226" i="15"/>
  <c r="G226" i="15" s="1"/>
  <c r="F228" i="15" s="1"/>
  <c r="E228" i="15" s="1"/>
  <c r="D227" i="15"/>
  <c r="G227" i="15" s="1"/>
  <c r="F229" i="15" s="1"/>
  <c r="E229" i="15" s="1"/>
  <c r="D182" i="40" l="1"/>
  <c r="G182" i="40" s="1"/>
  <c r="F183" i="40" s="1"/>
  <c r="E183" i="40" s="1"/>
  <c r="D413" i="40"/>
  <c r="G413" i="40" s="1"/>
  <c r="F414" i="40" s="1"/>
  <c r="E414" i="40" s="1"/>
  <c r="I181" i="40"/>
  <c r="E406" i="31"/>
  <c r="D406" i="31" s="1"/>
  <c r="G406" i="31" s="1"/>
  <c r="F407" i="31" s="1"/>
  <c r="H406" i="31"/>
  <c r="I405" i="31"/>
  <c r="E172" i="31"/>
  <c r="D172" i="31" s="1"/>
  <c r="G172" i="31" s="1"/>
  <c r="F173" i="31" s="1"/>
  <c r="H172" i="31"/>
  <c r="I171" i="31"/>
  <c r="D229" i="15"/>
  <c r="G229" i="15" s="1"/>
  <c r="F231" i="15" s="1"/>
  <c r="E231" i="15" s="1"/>
  <c r="D228" i="15"/>
  <c r="G228" i="15" s="1"/>
  <c r="F230" i="15" s="1"/>
  <c r="E230" i="15" s="1"/>
  <c r="D183" i="40" l="1"/>
  <c r="G183" i="40" s="1"/>
  <c r="F184" i="40" s="1"/>
  <c r="E184" i="40" s="1"/>
  <c r="D414" i="40"/>
  <c r="G414" i="40" s="1"/>
  <c r="F415" i="40" s="1"/>
  <c r="E415" i="40" s="1"/>
  <c r="I182" i="40"/>
  <c r="E407" i="31"/>
  <c r="D407" i="31" s="1"/>
  <c r="G407" i="31" s="1"/>
  <c r="F408" i="31" s="1"/>
  <c r="H407" i="31"/>
  <c r="I406" i="31"/>
  <c r="E173" i="31"/>
  <c r="D173" i="31" s="1"/>
  <c r="G173" i="31" s="1"/>
  <c r="F174" i="31" s="1"/>
  <c r="H173" i="31"/>
  <c r="I172" i="31"/>
  <c r="D230" i="15"/>
  <c r="G230" i="15" s="1"/>
  <c r="F232" i="15" s="1"/>
  <c r="E232" i="15" s="1"/>
  <c r="D231" i="15"/>
  <c r="G231" i="15" s="1"/>
  <c r="F233" i="15" s="1"/>
  <c r="E233" i="15" s="1"/>
  <c r="D184" i="40" l="1"/>
  <c r="G184" i="40" s="1"/>
  <c r="F185" i="40" s="1"/>
  <c r="E185" i="40" s="1"/>
  <c r="D415" i="40"/>
  <c r="G415" i="40" s="1"/>
  <c r="F416" i="40" s="1"/>
  <c r="E416" i="40" s="1"/>
  <c r="I183" i="40"/>
  <c r="E408" i="31"/>
  <c r="D408" i="31" s="1"/>
  <c r="G408" i="31" s="1"/>
  <c r="F409" i="31" s="1"/>
  <c r="H408" i="31"/>
  <c r="I407" i="31"/>
  <c r="I173" i="31"/>
  <c r="H174" i="31"/>
  <c r="E174" i="31"/>
  <c r="D174" i="31" s="1"/>
  <c r="G174" i="31" s="1"/>
  <c r="F175" i="31" s="1"/>
  <c r="D233" i="15"/>
  <c r="G233" i="15" s="1"/>
  <c r="F235" i="15" s="1"/>
  <c r="E235" i="15" s="1"/>
  <c r="D232" i="15"/>
  <c r="G232" i="15" s="1"/>
  <c r="F234" i="15" s="1"/>
  <c r="E234" i="15" s="1"/>
  <c r="D185" i="40" l="1"/>
  <c r="G185" i="40" s="1"/>
  <c r="F186" i="40" s="1"/>
  <c r="E186" i="40" s="1"/>
  <c r="D416" i="40"/>
  <c r="G416" i="40" s="1"/>
  <c r="F417" i="40" s="1"/>
  <c r="E417" i="40" s="1"/>
  <c r="I184" i="40"/>
  <c r="E409" i="31"/>
  <c r="D409" i="31" s="1"/>
  <c r="G409" i="31" s="1"/>
  <c r="F410" i="31" s="1"/>
  <c r="H409" i="31"/>
  <c r="I408" i="31"/>
  <c r="E175" i="31"/>
  <c r="D175" i="31" s="1"/>
  <c r="G175" i="31" s="1"/>
  <c r="F176" i="31" s="1"/>
  <c r="H175" i="31"/>
  <c r="I174" i="31"/>
  <c r="D234" i="15"/>
  <c r="G234" i="15" s="1"/>
  <c r="F236" i="15" s="1"/>
  <c r="E236" i="15" s="1"/>
  <c r="D235" i="15"/>
  <c r="G235" i="15" s="1"/>
  <c r="F237" i="15" s="1"/>
  <c r="E237" i="15" s="1"/>
  <c r="D186" i="40" l="1"/>
  <c r="G186" i="40" s="1"/>
  <c r="F187" i="40" s="1"/>
  <c r="E187" i="40" s="1"/>
  <c r="D417" i="40"/>
  <c r="G417" i="40" s="1"/>
  <c r="F418" i="40" s="1"/>
  <c r="E418" i="40" s="1"/>
  <c r="I185" i="40"/>
  <c r="I409" i="31"/>
  <c r="E410" i="31"/>
  <c r="D410" i="31" s="1"/>
  <c r="G410" i="31" s="1"/>
  <c r="F411" i="31" s="1"/>
  <c r="H410" i="31"/>
  <c r="I175" i="31"/>
  <c r="H176" i="31"/>
  <c r="E176" i="31"/>
  <c r="D176" i="31" s="1"/>
  <c r="G176" i="31" s="1"/>
  <c r="F177" i="31" s="1"/>
  <c r="D237" i="15"/>
  <c r="G237" i="15" s="1"/>
  <c r="F239" i="15" s="1"/>
  <c r="E239" i="15" s="1"/>
  <c r="D236" i="15"/>
  <c r="G236" i="15" s="1"/>
  <c r="F238" i="15" s="1"/>
  <c r="E238" i="15" s="1"/>
  <c r="D418" i="40" l="1"/>
  <c r="G418" i="40" s="1"/>
  <c r="F419" i="40" s="1"/>
  <c r="E419" i="40" s="1"/>
  <c r="D187" i="40"/>
  <c r="G187" i="40" s="1"/>
  <c r="F188" i="40" s="1"/>
  <c r="E188" i="40" s="1"/>
  <c r="I186" i="40"/>
  <c r="E411" i="31"/>
  <c r="D411" i="31" s="1"/>
  <c r="G411" i="31" s="1"/>
  <c r="F412" i="31" s="1"/>
  <c r="H411" i="31"/>
  <c r="I410" i="31"/>
  <c r="H177" i="31"/>
  <c r="E177" i="31"/>
  <c r="D177" i="31" s="1"/>
  <c r="G177" i="31" s="1"/>
  <c r="F178" i="31" s="1"/>
  <c r="I176" i="31"/>
  <c r="D238" i="15"/>
  <c r="G238" i="15" s="1"/>
  <c r="F240" i="15" s="1"/>
  <c r="E240" i="15" s="1"/>
  <c r="D239" i="15"/>
  <c r="G239" i="15" s="1"/>
  <c r="F241" i="15" s="1"/>
  <c r="E241" i="15" s="1"/>
  <c r="I187" i="40" l="1"/>
  <c r="D188" i="40"/>
  <c r="G188" i="40" s="1"/>
  <c r="F189" i="40" s="1"/>
  <c r="E189" i="40" s="1"/>
  <c r="D419" i="40"/>
  <c r="G419" i="40" s="1"/>
  <c r="F420" i="40" s="1"/>
  <c r="E420" i="40" s="1"/>
  <c r="I411" i="31"/>
  <c r="E412" i="31"/>
  <c r="D412" i="31" s="1"/>
  <c r="G412" i="31" s="1"/>
  <c r="F413" i="31" s="1"/>
  <c r="H412" i="31"/>
  <c r="E178" i="31"/>
  <c r="D178" i="31" s="1"/>
  <c r="G178" i="31" s="1"/>
  <c r="F179" i="31" s="1"/>
  <c r="H178" i="31"/>
  <c r="I177" i="31"/>
  <c r="D241" i="15"/>
  <c r="G241" i="15" s="1"/>
  <c r="F243" i="15" s="1"/>
  <c r="E243" i="15" s="1"/>
  <c r="D240" i="15"/>
  <c r="G240" i="15" s="1"/>
  <c r="F242" i="15" s="1"/>
  <c r="E242" i="15" s="1"/>
  <c r="I188" i="40" l="1"/>
  <c r="D189" i="40"/>
  <c r="G189" i="40" s="1"/>
  <c r="F190" i="40" s="1"/>
  <c r="E190" i="40" s="1"/>
  <c r="D420" i="40"/>
  <c r="G420" i="40" s="1"/>
  <c r="F421" i="40" s="1"/>
  <c r="E421" i="40" s="1"/>
  <c r="E413" i="31"/>
  <c r="D413" i="31" s="1"/>
  <c r="G413" i="31" s="1"/>
  <c r="F414" i="31" s="1"/>
  <c r="H413" i="31"/>
  <c r="I412" i="31"/>
  <c r="E179" i="31"/>
  <c r="D179" i="31" s="1"/>
  <c r="G179" i="31" s="1"/>
  <c r="F180" i="31" s="1"/>
  <c r="H179" i="31"/>
  <c r="I178" i="31"/>
  <c r="D242" i="15"/>
  <c r="G242" i="15" s="1"/>
  <c r="F244" i="15" s="1"/>
  <c r="E244" i="15" s="1"/>
  <c r="D243" i="15"/>
  <c r="G243" i="15" s="1"/>
  <c r="I189" i="40" l="1"/>
  <c r="D190" i="40"/>
  <c r="G190" i="40" s="1"/>
  <c r="F191" i="40" s="1"/>
  <c r="E191" i="40" s="1"/>
  <c r="D421" i="40"/>
  <c r="G421" i="40" s="1"/>
  <c r="F422" i="40" s="1"/>
  <c r="E422" i="40" s="1"/>
  <c r="I179" i="31"/>
  <c r="I413" i="31"/>
  <c r="E414" i="31"/>
  <c r="D414" i="31" s="1"/>
  <c r="G414" i="31" s="1"/>
  <c r="F415" i="31" s="1"/>
  <c r="H414" i="31"/>
  <c r="E180" i="31"/>
  <c r="D180" i="31" s="1"/>
  <c r="G180" i="31" s="1"/>
  <c r="F181" i="31" s="1"/>
  <c r="H180" i="31"/>
  <c r="D244" i="15"/>
  <c r="G244" i="15" s="1"/>
  <c r="I190" i="40" l="1"/>
  <c r="D422" i="40"/>
  <c r="G422" i="40" s="1"/>
  <c r="F423" i="40" s="1"/>
  <c r="E423" i="40" s="1"/>
  <c r="D191" i="40"/>
  <c r="G191" i="40" s="1"/>
  <c r="F192" i="40" s="1"/>
  <c r="E192" i="40" s="1"/>
  <c r="E415" i="31"/>
  <c r="D415" i="31" s="1"/>
  <c r="G415" i="31" s="1"/>
  <c r="F416" i="31" s="1"/>
  <c r="H415" i="31"/>
  <c r="I414" i="31"/>
  <c r="E181" i="31"/>
  <c r="D181" i="31" s="1"/>
  <c r="G181" i="31" s="1"/>
  <c r="F182" i="31" s="1"/>
  <c r="H181" i="31"/>
  <c r="I180" i="31"/>
  <c r="G41" i="13"/>
  <c r="I191" i="40" l="1"/>
  <c r="D423" i="40"/>
  <c r="G423" i="40" s="1"/>
  <c r="F424" i="40" s="1"/>
  <c r="E424" i="40" s="1"/>
  <c r="D192" i="40"/>
  <c r="G192" i="40" s="1"/>
  <c r="F193" i="40" s="1"/>
  <c r="E193" i="40" s="1"/>
  <c r="I415" i="31"/>
  <c r="E416" i="31"/>
  <c r="D416" i="31" s="1"/>
  <c r="G416" i="31" s="1"/>
  <c r="F417" i="31" s="1"/>
  <c r="H416" i="31"/>
  <c r="I416" i="31" s="1"/>
  <c r="I181" i="31"/>
  <c r="H182" i="31"/>
  <c r="E182" i="31"/>
  <c r="D182" i="31" s="1"/>
  <c r="G182" i="31" s="1"/>
  <c r="F183" i="31" s="1"/>
  <c r="D39" i="18"/>
  <c r="G39" i="18" s="1"/>
  <c r="D40" i="21"/>
  <c r="G40" i="21" s="1"/>
  <c r="F41" i="21" s="1"/>
  <c r="E41" i="21" s="1"/>
  <c r="D424" i="40" l="1"/>
  <c r="G424" i="40" s="1"/>
  <c r="F425" i="40" s="1"/>
  <c r="E425" i="40" s="1"/>
  <c r="D193" i="40"/>
  <c r="G193" i="40" s="1"/>
  <c r="F194" i="40" s="1"/>
  <c r="E194" i="40" s="1"/>
  <c r="I192" i="40"/>
  <c r="E417" i="31"/>
  <c r="D417" i="31" s="1"/>
  <c r="G417" i="31" s="1"/>
  <c r="F418" i="31" s="1"/>
  <c r="H417" i="31"/>
  <c r="E183" i="31"/>
  <c r="D183" i="31" s="1"/>
  <c r="G183" i="31" s="1"/>
  <c r="F184" i="31" s="1"/>
  <c r="H183" i="31"/>
  <c r="I182" i="31"/>
  <c r="D41" i="21"/>
  <c r="G41" i="21" s="1"/>
  <c r="D425" i="40" l="1"/>
  <c r="G425" i="40" s="1"/>
  <c r="F426" i="40" s="1"/>
  <c r="E426" i="40" s="1"/>
  <c r="D194" i="40"/>
  <c r="G194" i="40" s="1"/>
  <c r="F195" i="40" s="1"/>
  <c r="E195" i="40" s="1"/>
  <c r="I193" i="40"/>
  <c r="I183" i="31"/>
  <c r="I417" i="31"/>
  <c r="E418" i="31"/>
  <c r="D418" i="31" s="1"/>
  <c r="G418" i="31" s="1"/>
  <c r="F419" i="31" s="1"/>
  <c r="H418" i="31"/>
  <c r="H184" i="31"/>
  <c r="E184" i="31"/>
  <c r="D184" i="31" s="1"/>
  <c r="G184" i="31" s="1"/>
  <c r="F185" i="31" s="1"/>
  <c r="F42" i="21"/>
  <c r="E42" i="21" s="1"/>
  <c r="D42" i="21" s="1"/>
  <c r="G42" i="21" s="1"/>
  <c r="F43" i="21" s="1"/>
  <c r="E43" i="21" s="1"/>
  <c r="D195" i="40" l="1"/>
  <c r="G195" i="40" s="1"/>
  <c r="F196" i="40" s="1"/>
  <c r="E196" i="40" s="1"/>
  <c r="D426" i="40"/>
  <c r="G426" i="40" s="1"/>
  <c r="F427" i="40" s="1"/>
  <c r="E427" i="40" s="1"/>
  <c r="I194" i="40"/>
  <c r="I184" i="31"/>
  <c r="E419" i="31"/>
  <c r="D419" i="31" s="1"/>
  <c r="G419" i="31" s="1"/>
  <c r="F420" i="31" s="1"/>
  <c r="H419" i="31"/>
  <c r="I418" i="31"/>
  <c r="E185" i="31"/>
  <c r="D185" i="31" s="1"/>
  <c r="G185" i="31" s="1"/>
  <c r="F186" i="31" s="1"/>
  <c r="H185" i="31"/>
  <c r="D43" i="21"/>
  <c r="G43" i="21" s="1"/>
  <c r="F44" i="21" s="1"/>
  <c r="E44" i="21" s="1"/>
  <c r="I419" i="31" l="1"/>
  <c r="I195" i="40"/>
  <c r="D427" i="40"/>
  <c r="G427" i="40" s="1"/>
  <c r="F428" i="40" s="1"/>
  <c r="E428" i="40" s="1"/>
  <c r="D196" i="40"/>
  <c r="G196" i="40" s="1"/>
  <c r="F197" i="40" s="1"/>
  <c r="E197" i="40" s="1"/>
  <c r="E420" i="31"/>
  <c r="D420" i="31" s="1"/>
  <c r="G420" i="31" s="1"/>
  <c r="F421" i="31" s="1"/>
  <c r="H420" i="31"/>
  <c r="E186" i="31"/>
  <c r="D186" i="31" s="1"/>
  <c r="G186" i="31" s="1"/>
  <c r="F187" i="31" s="1"/>
  <c r="H186" i="31"/>
  <c r="I185" i="31"/>
  <c r="D44" i="21"/>
  <c r="G44" i="21" s="1"/>
  <c r="F45" i="21" s="1"/>
  <c r="E45" i="21" s="1"/>
  <c r="D197" i="40" l="1"/>
  <c r="G197" i="40" s="1"/>
  <c r="F198" i="40" s="1"/>
  <c r="E198" i="40" s="1"/>
  <c r="D428" i="40"/>
  <c r="G428" i="40" s="1"/>
  <c r="F429" i="40" s="1"/>
  <c r="E429" i="40" s="1"/>
  <c r="I196" i="40"/>
  <c r="E421" i="31"/>
  <c r="D421" i="31" s="1"/>
  <c r="G421" i="31" s="1"/>
  <c r="F422" i="31" s="1"/>
  <c r="H421" i="31"/>
  <c r="I420" i="31"/>
  <c r="I186" i="31"/>
  <c r="E187" i="31"/>
  <c r="D187" i="31" s="1"/>
  <c r="G187" i="31" s="1"/>
  <c r="F188" i="31" s="1"/>
  <c r="H187" i="31"/>
  <c r="D45" i="21"/>
  <c r="G45" i="21" s="1"/>
  <c r="F46" i="21" s="1"/>
  <c r="E46" i="21" s="1"/>
  <c r="D198" i="40" l="1"/>
  <c r="G198" i="40" s="1"/>
  <c r="F199" i="40" s="1"/>
  <c r="E199" i="40" s="1"/>
  <c r="D429" i="40"/>
  <c r="G429" i="40" s="1"/>
  <c r="F430" i="40" s="1"/>
  <c r="E430" i="40" s="1"/>
  <c r="I197" i="40"/>
  <c r="E422" i="31"/>
  <c r="D422" i="31" s="1"/>
  <c r="G422" i="31" s="1"/>
  <c r="F423" i="31" s="1"/>
  <c r="H422" i="31"/>
  <c r="I421" i="31"/>
  <c r="I187" i="31"/>
  <c r="H188" i="31"/>
  <c r="E188" i="31"/>
  <c r="D188" i="31" s="1"/>
  <c r="G188" i="31" s="1"/>
  <c r="F189" i="31" s="1"/>
  <c r="D46" i="21"/>
  <c r="G46" i="21" s="1"/>
  <c r="F47" i="21" s="1"/>
  <c r="E47" i="21" s="1"/>
  <c r="D199" i="40" l="1"/>
  <c r="G199" i="40" s="1"/>
  <c r="F200" i="40" s="1"/>
  <c r="E200" i="40" s="1"/>
  <c r="D430" i="40"/>
  <c r="G430" i="40" s="1"/>
  <c r="F431" i="40" s="1"/>
  <c r="E431" i="40" s="1"/>
  <c r="I198" i="40"/>
  <c r="E423" i="31"/>
  <c r="D423" i="31" s="1"/>
  <c r="G423" i="31" s="1"/>
  <c r="F424" i="31" s="1"/>
  <c r="H423" i="31"/>
  <c r="I422" i="31"/>
  <c r="E189" i="31"/>
  <c r="D189" i="31" s="1"/>
  <c r="G189" i="31" s="1"/>
  <c r="F190" i="31" s="1"/>
  <c r="H189" i="31"/>
  <c r="I188" i="31"/>
  <c r="D47" i="21"/>
  <c r="G47" i="21" s="1"/>
  <c r="F48" i="21" s="1"/>
  <c r="E48" i="21" s="1"/>
  <c r="I199" i="40" l="1"/>
  <c r="D431" i="40"/>
  <c r="G431" i="40" s="1"/>
  <c r="F432" i="40" s="1"/>
  <c r="E432" i="40" s="1"/>
  <c r="D200" i="40"/>
  <c r="G200" i="40" s="1"/>
  <c r="F201" i="40" s="1"/>
  <c r="E201" i="40" s="1"/>
  <c r="E424" i="31"/>
  <c r="D424" i="31" s="1"/>
  <c r="G424" i="31" s="1"/>
  <c r="F425" i="31" s="1"/>
  <c r="H424" i="31"/>
  <c r="I423" i="31"/>
  <c r="E190" i="31"/>
  <c r="D190" i="31" s="1"/>
  <c r="G190" i="31" s="1"/>
  <c r="F191" i="31" s="1"/>
  <c r="H190" i="31"/>
  <c r="I189" i="31"/>
  <c r="D48" i="21"/>
  <c r="G48" i="21" s="1"/>
  <c r="F49" i="21" s="1"/>
  <c r="E49" i="21" s="1"/>
  <c r="D201" i="40" l="1"/>
  <c r="G201" i="40" s="1"/>
  <c r="F202" i="40" s="1"/>
  <c r="E202" i="40" s="1"/>
  <c r="D432" i="40"/>
  <c r="G432" i="40" s="1"/>
  <c r="F433" i="40" s="1"/>
  <c r="E433" i="40" s="1"/>
  <c r="I200" i="40"/>
  <c r="E425" i="31"/>
  <c r="D425" i="31" s="1"/>
  <c r="G425" i="31" s="1"/>
  <c r="F426" i="31" s="1"/>
  <c r="H425" i="31"/>
  <c r="I190" i="31"/>
  <c r="I424" i="31"/>
  <c r="E191" i="31"/>
  <c r="D191" i="31" s="1"/>
  <c r="G191" i="31" s="1"/>
  <c r="F192" i="31" s="1"/>
  <c r="H191" i="31"/>
  <c r="D49" i="21"/>
  <c r="G49" i="21" s="1"/>
  <c r="F50" i="21" s="1"/>
  <c r="E50" i="21" s="1"/>
  <c r="I201" i="40" l="1"/>
  <c r="D202" i="40"/>
  <c r="G202" i="40" s="1"/>
  <c r="F203" i="40" s="1"/>
  <c r="E203" i="40" s="1"/>
  <c r="D433" i="40"/>
  <c r="G433" i="40" s="1"/>
  <c r="F434" i="40" s="1"/>
  <c r="E434" i="40" s="1"/>
  <c r="E426" i="31"/>
  <c r="D426" i="31" s="1"/>
  <c r="G426" i="31" s="1"/>
  <c r="F427" i="31" s="1"/>
  <c r="H426" i="31"/>
  <c r="I425" i="31"/>
  <c r="I191" i="31"/>
  <c r="H192" i="31"/>
  <c r="E192" i="31"/>
  <c r="D192" i="31" s="1"/>
  <c r="G192" i="31" s="1"/>
  <c r="F193" i="31" s="1"/>
  <c r="D50" i="21"/>
  <c r="G50" i="21" s="1"/>
  <c r="F51" i="21" s="1"/>
  <c r="E51" i="21" s="1"/>
  <c r="I202" i="40" l="1"/>
  <c r="D434" i="40"/>
  <c r="G434" i="40" s="1"/>
  <c r="F435" i="40" s="1"/>
  <c r="E435" i="40" s="1"/>
  <c r="D203" i="40"/>
  <c r="G203" i="40" s="1"/>
  <c r="F204" i="40" s="1"/>
  <c r="E204" i="40" s="1"/>
  <c r="E427" i="31"/>
  <c r="D427" i="31" s="1"/>
  <c r="G427" i="31" s="1"/>
  <c r="F428" i="31" s="1"/>
  <c r="H427" i="31"/>
  <c r="I426" i="31"/>
  <c r="I192" i="31"/>
  <c r="E193" i="31"/>
  <c r="D193" i="31" s="1"/>
  <c r="G193" i="31" s="1"/>
  <c r="F194" i="31" s="1"/>
  <c r="H193" i="31"/>
  <c r="D51" i="21"/>
  <c r="G51" i="21" s="1"/>
  <c r="F52" i="21" s="1"/>
  <c r="E52" i="21" s="1"/>
  <c r="D204" i="40" l="1"/>
  <c r="G204" i="40" s="1"/>
  <c r="F205" i="40" s="1"/>
  <c r="E205" i="40" s="1"/>
  <c r="D435" i="40"/>
  <c r="G435" i="40" s="1"/>
  <c r="F436" i="40" s="1"/>
  <c r="E436" i="40" s="1"/>
  <c r="I203" i="40"/>
  <c r="E428" i="31"/>
  <c r="D428" i="31" s="1"/>
  <c r="G428" i="31" s="1"/>
  <c r="F429" i="31" s="1"/>
  <c r="H428" i="31"/>
  <c r="I427" i="31"/>
  <c r="I193" i="31"/>
  <c r="E194" i="31"/>
  <c r="D194" i="31" s="1"/>
  <c r="G194" i="31" s="1"/>
  <c r="F195" i="31" s="1"/>
  <c r="H194" i="31"/>
  <c r="D52" i="21"/>
  <c r="G52" i="21" s="1"/>
  <c r="F53" i="21" s="1"/>
  <c r="E53" i="21" s="1"/>
  <c r="I204" i="40" l="1"/>
  <c r="D436" i="40"/>
  <c r="G436" i="40" s="1"/>
  <c r="F437" i="40" s="1"/>
  <c r="E437" i="40" s="1"/>
  <c r="D205" i="40"/>
  <c r="G205" i="40" s="1"/>
  <c r="F206" i="40" s="1"/>
  <c r="E206" i="40" s="1"/>
  <c r="I194" i="31"/>
  <c r="E429" i="31"/>
  <c r="D429" i="31" s="1"/>
  <c r="G429" i="31" s="1"/>
  <c r="F430" i="31" s="1"/>
  <c r="H429" i="31"/>
  <c r="I428" i="31"/>
  <c r="E195" i="31"/>
  <c r="D195" i="31" s="1"/>
  <c r="G195" i="31" s="1"/>
  <c r="F196" i="31" s="1"/>
  <c r="H195" i="31"/>
  <c r="D53" i="21"/>
  <c r="G53" i="21" s="1"/>
  <c r="F54" i="21" s="1"/>
  <c r="E54" i="21" s="1"/>
  <c r="I429" i="31" l="1"/>
  <c r="I205" i="40"/>
  <c r="D206" i="40"/>
  <c r="G206" i="40" s="1"/>
  <c r="F207" i="40" s="1"/>
  <c r="E207" i="40" s="1"/>
  <c r="D437" i="40"/>
  <c r="G437" i="40" s="1"/>
  <c r="F438" i="40" s="1"/>
  <c r="E438" i="40" s="1"/>
  <c r="I195" i="31"/>
  <c r="E430" i="31"/>
  <c r="D430" i="31" s="1"/>
  <c r="G430" i="31" s="1"/>
  <c r="F431" i="31" s="1"/>
  <c r="H430" i="31"/>
  <c r="H196" i="31"/>
  <c r="E196" i="31"/>
  <c r="D196" i="31" s="1"/>
  <c r="G196" i="31" s="1"/>
  <c r="F197" i="31" s="1"/>
  <c r="D54" i="21"/>
  <c r="G54" i="21" s="1"/>
  <c r="F55" i="21" s="1"/>
  <c r="E55" i="21" s="1"/>
  <c r="D207" i="40" l="1"/>
  <c r="G207" i="40" s="1"/>
  <c r="F208" i="40" s="1"/>
  <c r="E208" i="40" s="1"/>
  <c r="D438" i="40"/>
  <c r="G438" i="40" s="1"/>
  <c r="F439" i="40" s="1"/>
  <c r="E439" i="40" s="1"/>
  <c r="I206" i="40"/>
  <c r="I430" i="31"/>
  <c r="E431" i="31"/>
  <c r="D431" i="31" s="1"/>
  <c r="G431" i="31" s="1"/>
  <c r="F432" i="31" s="1"/>
  <c r="H431" i="31"/>
  <c r="E197" i="31"/>
  <c r="D197" i="31" s="1"/>
  <c r="G197" i="31" s="1"/>
  <c r="F198" i="31" s="1"/>
  <c r="H197" i="31"/>
  <c r="I196" i="31"/>
  <c r="D55" i="21"/>
  <c r="G55" i="21" s="1"/>
  <c r="F56" i="21" s="1"/>
  <c r="E56" i="21" s="1"/>
  <c r="I431" i="31" l="1"/>
  <c r="I207" i="40"/>
  <c r="D439" i="40"/>
  <c r="G439" i="40" s="1"/>
  <c r="F440" i="40" s="1"/>
  <c r="E440" i="40" s="1"/>
  <c r="D208" i="40"/>
  <c r="G208" i="40" s="1"/>
  <c r="F209" i="40" s="1"/>
  <c r="E209" i="40" s="1"/>
  <c r="I197" i="31"/>
  <c r="E432" i="31"/>
  <c r="D432" i="31" s="1"/>
  <c r="G432" i="31" s="1"/>
  <c r="F433" i="31" s="1"/>
  <c r="H432" i="31"/>
  <c r="E198" i="31"/>
  <c r="D198" i="31" s="1"/>
  <c r="G198" i="31" s="1"/>
  <c r="F199" i="31" s="1"/>
  <c r="H198" i="31"/>
  <c r="D56" i="21"/>
  <c r="G56" i="21" s="1"/>
  <c r="F57" i="21" s="1"/>
  <c r="E57" i="21" s="1"/>
  <c r="I432" i="31" l="1"/>
  <c r="D209" i="40"/>
  <c r="G209" i="40" s="1"/>
  <c r="F210" i="40" s="1"/>
  <c r="E210" i="40" s="1"/>
  <c r="D440" i="40"/>
  <c r="G440" i="40" s="1"/>
  <c r="F441" i="40" s="1"/>
  <c r="E441" i="40" s="1"/>
  <c r="I208" i="40"/>
  <c r="E433" i="31"/>
  <c r="D433" i="31" s="1"/>
  <c r="G433" i="31" s="1"/>
  <c r="F434" i="31" s="1"/>
  <c r="H433" i="31"/>
  <c r="H199" i="31"/>
  <c r="E199" i="31"/>
  <c r="D199" i="31" s="1"/>
  <c r="G199" i="31" s="1"/>
  <c r="F200" i="31" s="1"/>
  <c r="I198" i="31"/>
  <c r="D57" i="21"/>
  <c r="G57" i="21" s="1"/>
  <c r="F58" i="21" s="1"/>
  <c r="E58" i="21" s="1"/>
  <c r="I209" i="40" l="1"/>
  <c r="D210" i="40"/>
  <c r="G210" i="40" s="1"/>
  <c r="F211" i="40" s="1"/>
  <c r="E211" i="40" s="1"/>
  <c r="D441" i="40"/>
  <c r="G441" i="40" s="1"/>
  <c r="F442" i="40" s="1"/>
  <c r="E442" i="40" s="1"/>
  <c r="E434" i="31"/>
  <c r="D434" i="31" s="1"/>
  <c r="G434" i="31" s="1"/>
  <c r="F435" i="31" s="1"/>
  <c r="H434" i="31"/>
  <c r="I433" i="31"/>
  <c r="H200" i="31"/>
  <c r="E200" i="31"/>
  <c r="D200" i="31" s="1"/>
  <c r="G200" i="31" s="1"/>
  <c r="F201" i="31" s="1"/>
  <c r="I199" i="31"/>
  <c r="D58" i="21"/>
  <c r="G58" i="21" s="1"/>
  <c r="F59" i="21" s="1"/>
  <c r="I210" i="40" l="1"/>
  <c r="D442" i="40"/>
  <c r="G442" i="40" s="1"/>
  <c r="F443" i="40" s="1"/>
  <c r="E443" i="40" s="1"/>
  <c r="D211" i="40"/>
  <c r="G211" i="40" s="1"/>
  <c r="F212" i="40" s="1"/>
  <c r="E212" i="40" s="1"/>
  <c r="E435" i="31"/>
  <c r="D435" i="31" s="1"/>
  <c r="G435" i="31" s="1"/>
  <c r="F436" i="31" s="1"/>
  <c r="H435" i="31"/>
  <c r="I200" i="31"/>
  <c r="I434" i="31"/>
  <c r="E201" i="31"/>
  <c r="D201" i="31" s="1"/>
  <c r="G201" i="31" s="1"/>
  <c r="F202" i="31" s="1"/>
  <c r="H201" i="31"/>
  <c r="D59" i="21"/>
  <c r="G59" i="21" s="1"/>
  <c r="D212" i="40" l="1"/>
  <c r="G212" i="40" s="1"/>
  <c r="F213" i="40" s="1"/>
  <c r="E213" i="40" s="1"/>
  <c r="D443" i="40"/>
  <c r="G443" i="40" s="1"/>
  <c r="F444" i="40" s="1"/>
  <c r="E444" i="40" s="1"/>
  <c r="I211" i="40"/>
  <c r="E436" i="31"/>
  <c r="D436" i="31" s="1"/>
  <c r="G436" i="31" s="1"/>
  <c r="F437" i="31" s="1"/>
  <c r="H436" i="31"/>
  <c r="I435" i="31"/>
  <c r="I201" i="31"/>
  <c r="E202" i="31"/>
  <c r="D202" i="31" s="1"/>
  <c r="G202" i="31" s="1"/>
  <c r="F203" i="31" s="1"/>
  <c r="H202" i="31"/>
  <c r="F41" i="25"/>
  <c r="G41" i="25" s="1"/>
  <c r="F42" i="25" s="1"/>
  <c r="D41" i="25"/>
  <c r="I212" i="40" l="1"/>
  <c r="D444" i="40"/>
  <c r="G444" i="40" s="1"/>
  <c r="F445" i="40" s="1"/>
  <c r="E445" i="40" s="1"/>
  <c r="D213" i="40"/>
  <c r="G213" i="40" s="1"/>
  <c r="F214" i="40" s="1"/>
  <c r="E214" i="40" s="1"/>
  <c r="E437" i="31"/>
  <c r="D437" i="31" s="1"/>
  <c r="G437" i="31" s="1"/>
  <c r="F438" i="31" s="1"/>
  <c r="H437" i="31"/>
  <c r="I202" i="31"/>
  <c r="I436" i="31"/>
  <c r="H203" i="31"/>
  <c r="E203" i="31"/>
  <c r="D203" i="31" s="1"/>
  <c r="G203" i="31" s="1"/>
  <c r="F204" i="31" s="1"/>
  <c r="E42" i="25"/>
  <c r="D42" i="25" s="1"/>
  <c r="G42" i="25" s="1"/>
  <c r="F43" i="25" s="1"/>
  <c r="D214" i="40" l="1"/>
  <c r="G214" i="40" s="1"/>
  <c r="F215" i="40" s="1"/>
  <c r="E215" i="40" s="1"/>
  <c r="D445" i="40"/>
  <c r="G445" i="40" s="1"/>
  <c r="F446" i="40" s="1"/>
  <c r="E446" i="40" s="1"/>
  <c r="I213" i="40"/>
  <c r="E438" i="31"/>
  <c r="D438" i="31" s="1"/>
  <c r="G438" i="31" s="1"/>
  <c r="F439" i="31" s="1"/>
  <c r="H438" i="31"/>
  <c r="I437" i="31"/>
  <c r="H204" i="31"/>
  <c r="E204" i="31"/>
  <c r="D204" i="31" s="1"/>
  <c r="G204" i="31" s="1"/>
  <c r="F205" i="31" s="1"/>
  <c r="I203" i="31"/>
  <c r="E43" i="25"/>
  <c r="D43" i="25" s="1"/>
  <c r="G43" i="25" s="1"/>
  <c r="F44" i="25" s="1"/>
  <c r="D215" i="40" l="1"/>
  <c r="G215" i="40" s="1"/>
  <c r="F216" i="40" s="1"/>
  <c r="E216" i="40" s="1"/>
  <c r="D446" i="40"/>
  <c r="G446" i="40" s="1"/>
  <c r="F447" i="40" s="1"/>
  <c r="E447" i="40" s="1"/>
  <c r="I214" i="40"/>
  <c r="E439" i="31"/>
  <c r="D439" i="31" s="1"/>
  <c r="G439" i="31" s="1"/>
  <c r="F440" i="31" s="1"/>
  <c r="H439" i="31"/>
  <c r="I438" i="31"/>
  <c r="E205" i="31"/>
  <c r="D205" i="31" s="1"/>
  <c r="G205" i="31" s="1"/>
  <c r="F206" i="31" s="1"/>
  <c r="H205" i="31"/>
  <c r="I204" i="31"/>
  <c r="E44" i="25"/>
  <c r="D44" i="25" s="1"/>
  <c r="G44" i="25" s="1"/>
  <c r="F45" i="25" s="1"/>
  <c r="I215" i="40" l="1"/>
  <c r="D447" i="40"/>
  <c r="G447" i="40" s="1"/>
  <c r="F448" i="40" s="1"/>
  <c r="E448" i="40" s="1"/>
  <c r="D216" i="40"/>
  <c r="G216" i="40" s="1"/>
  <c r="F217" i="40" s="1"/>
  <c r="E217" i="40" s="1"/>
  <c r="E440" i="31"/>
  <c r="D440" i="31" s="1"/>
  <c r="G440" i="31" s="1"/>
  <c r="F441" i="31" s="1"/>
  <c r="H440" i="31"/>
  <c r="I205" i="31"/>
  <c r="I439" i="31"/>
  <c r="E206" i="31"/>
  <c r="D206" i="31" s="1"/>
  <c r="G206" i="31" s="1"/>
  <c r="F207" i="31" s="1"/>
  <c r="H206" i="31"/>
  <c r="E45" i="25"/>
  <c r="D45" i="25" s="1"/>
  <c r="G45" i="25" s="1"/>
  <c r="F46" i="25" s="1"/>
  <c r="D217" i="40" l="1"/>
  <c r="G217" i="40" s="1"/>
  <c r="F218" i="40" s="1"/>
  <c r="E218" i="40" s="1"/>
  <c r="D448" i="40"/>
  <c r="G448" i="40" s="1"/>
  <c r="F449" i="40" s="1"/>
  <c r="E449" i="40" s="1"/>
  <c r="I216" i="40"/>
  <c r="E441" i="31"/>
  <c r="D441" i="31" s="1"/>
  <c r="G441" i="31" s="1"/>
  <c r="F442" i="31" s="1"/>
  <c r="H441" i="31"/>
  <c r="I440" i="31"/>
  <c r="I206" i="31"/>
  <c r="E207" i="31"/>
  <c r="D207" i="31" s="1"/>
  <c r="G207" i="31" s="1"/>
  <c r="F208" i="31" s="1"/>
  <c r="H207" i="31"/>
  <c r="E46" i="25"/>
  <c r="D46" i="25" s="1"/>
  <c r="G46" i="25" s="1"/>
  <c r="F47" i="25" s="1"/>
  <c r="I217" i="40" l="1"/>
  <c r="D218" i="40"/>
  <c r="G218" i="40" s="1"/>
  <c r="F219" i="40" s="1"/>
  <c r="E219" i="40" s="1"/>
  <c r="D449" i="40"/>
  <c r="G449" i="40" s="1"/>
  <c r="F450" i="40" s="1"/>
  <c r="E450" i="40" s="1"/>
  <c r="E442" i="31"/>
  <c r="D442" i="31" s="1"/>
  <c r="G442" i="31" s="1"/>
  <c r="F443" i="31" s="1"/>
  <c r="H442" i="31"/>
  <c r="I441" i="31"/>
  <c r="I207" i="31"/>
  <c r="H208" i="31"/>
  <c r="E208" i="31"/>
  <c r="D208" i="31" s="1"/>
  <c r="G208" i="31" s="1"/>
  <c r="F209" i="31" s="1"/>
  <c r="E47" i="25"/>
  <c r="D47" i="25" s="1"/>
  <c r="G47" i="25" s="1"/>
  <c r="F48" i="25" s="1"/>
  <c r="I218" i="40" l="1"/>
  <c r="D219" i="40"/>
  <c r="G219" i="40" s="1"/>
  <c r="F220" i="40" s="1"/>
  <c r="E220" i="40" s="1"/>
  <c r="D450" i="40"/>
  <c r="G450" i="40" s="1"/>
  <c r="F451" i="40" s="1"/>
  <c r="E451" i="40" s="1"/>
  <c r="E443" i="31"/>
  <c r="D443" i="31" s="1"/>
  <c r="G443" i="31" s="1"/>
  <c r="F444" i="31" s="1"/>
  <c r="H443" i="31"/>
  <c r="I442" i="31"/>
  <c r="E209" i="31"/>
  <c r="D209" i="31" s="1"/>
  <c r="G209" i="31" s="1"/>
  <c r="F210" i="31" s="1"/>
  <c r="H209" i="31"/>
  <c r="I208" i="31"/>
  <c r="E48" i="25"/>
  <c r="D48" i="25" s="1"/>
  <c r="G48" i="25" s="1"/>
  <c r="F49" i="25" s="1"/>
  <c r="D220" i="40" l="1"/>
  <c r="G220" i="40" s="1"/>
  <c r="F221" i="40" s="1"/>
  <c r="E221" i="40" s="1"/>
  <c r="D451" i="40"/>
  <c r="G451" i="40" s="1"/>
  <c r="F452" i="40" s="1"/>
  <c r="E452" i="40" s="1"/>
  <c r="I219" i="40"/>
  <c r="E444" i="31"/>
  <c r="D444" i="31" s="1"/>
  <c r="G444" i="31" s="1"/>
  <c r="F445" i="31" s="1"/>
  <c r="H444" i="31"/>
  <c r="I443" i="31"/>
  <c r="H210" i="31"/>
  <c r="E210" i="31"/>
  <c r="D210" i="31" s="1"/>
  <c r="G210" i="31" s="1"/>
  <c r="F211" i="31" s="1"/>
  <c r="I209" i="31"/>
  <c r="E49" i="25"/>
  <c r="D49" i="25" s="1"/>
  <c r="G49" i="25" s="1"/>
  <c r="F50" i="25" s="1"/>
  <c r="D221" i="40" l="1"/>
  <c r="G221" i="40" s="1"/>
  <c r="F222" i="40" s="1"/>
  <c r="E222" i="40" s="1"/>
  <c r="D452" i="40"/>
  <c r="G452" i="40" s="1"/>
  <c r="F453" i="40" s="1"/>
  <c r="E453" i="40" s="1"/>
  <c r="I220" i="40"/>
  <c r="E445" i="31"/>
  <c r="D445" i="31" s="1"/>
  <c r="G445" i="31" s="1"/>
  <c r="F446" i="31" s="1"/>
  <c r="H445" i="31"/>
  <c r="I444" i="31"/>
  <c r="E211" i="31"/>
  <c r="D211" i="31" s="1"/>
  <c r="G211" i="31" s="1"/>
  <c r="F212" i="31" s="1"/>
  <c r="H211" i="31"/>
  <c r="I210" i="31"/>
  <c r="E50" i="25"/>
  <c r="D50" i="25" s="1"/>
  <c r="G50" i="25" s="1"/>
  <c r="F51" i="25" s="1"/>
  <c r="D453" i="40" l="1"/>
  <c r="G453" i="40" s="1"/>
  <c r="F454" i="40" s="1"/>
  <c r="E454" i="40" s="1"/>
  <c r="D222" i="40"/>
  <c r="G222" i="40" s="1"/>
  <c r="F223" i="40" s="1"/>
  <c r="E223" i="40" s="1"/>
  <c r="I221" i="40"/>
  <c r="E446" i="31"/>
  <c r="D446" i="31" s="1"/>
  <c r="G446" i="31" s="1"/>
  <c r="F447" i="31" s="1"/>
  <c r="H446" i="31"/>
  <c r="I445" i="31"/>
  <c r="I211" i="31"/>
  <c r="H212" i="31"/>
  <c r="E212" i="31"/>
  <c r="D212" i="31" s="1"/>
  <c r="G212" i="31" s="1"/>
  <c r="F213" i="31" s="1"/>
  <c r="E51" i="25"/>
  <c r="D51" i="25" s="1"/>
  <c r="G51" i="25" s="1"/>
  <c r="F52" i="25" s="1"/>
  <c r="D223" i="40" l="1"/>
  <c r="G223" i="40" s="1"/>
  <c r="F224" i="40" s="1"/>
  <c r="E224" i="40" s="1"/>
  <c r="D454" i="40"/>
  <c r="G454" i="40" s="1"/>
  <c r="F455" i="40" s="1"/>
  <c r="E455" i="40" s="1"/>
  <c r="I222" i="40"/>
  <c r="E447" i="31"/>
  <c r="D447" i="31" s="1"/>
  <c r="G447" i="31" s="1"/>
  <c r="F448" i="31" s="1"/>
  <c r="H447" i="31"/>
  <c r="I446" i="31"/>
  <c r="E213" i="31"/>
  <c r="D213" i="31" s="1"/>
  <c r="G213" i="31" s="1"/>
  <c r="F214" i="31" s="1"/>
  <c r="H213" i="31"/>
  <c r="I212" i="31"/>
  <c r="E52" i="25"/>
  <c r="D52" i="25" s="1"/>
  <c r="G52" i="25" s="1"/>
  <c r="F53" i="25" s="1"/>
  <c r="D224" i="40" l="1"/>
  <c r="G224" i="40" s="1"/>
  <c r="F225" i="40" s="1"/>
  <c r="E225" i="40" s="1"/>
  <c r="D455" i="40"/>
  <c r="G455" i="40" s="1"/>
  <c r="F456" i="40" s="1"/>
  <c r="E456" i="40" s="1"/>
  <c r="I223" i="40"/>
  <c r="E448" i="31"/>
  <c r="D448" i="31" s="1"/>
  <c r="G448" i="31" s="1"/>
  <c r="F449" i="31" s="1"/>
  <c r="H448" i="31"/>
  <c r="I447" i="31"/>
  <c r="I213" i="31"/>
  <c r="H214" i="31"/>
  <c r="E214" i="31"/>
  <c r="D214" i="31" s="1"/>
  <c r="G214" i="31" s="1"/>
  <c r="F215" i="31" s="1"/>
  <c r="E53" i="25"/>
  <c r="D53" i="25" s="1"/>
  <c r="G53" i="25" s="1"/>
  <c r="F54" i="25" s="1"/>
  <c r="I224" i="40" l="1"/>
  <c r="D456" i="40"/>
  <c r="G456" i="40" s="1"/>
  <c r="F457" i="40" s="1"/>
  <c r="E457" i="40" s="1"/>
  <c r="D225" i="40"/>
  <c r="G225" i="40" s="1"/>
  <c r="F226" i="40" s="1"/>
  <c r="E226" i="40" s="1"/>
  <c r="E449" i="31"/>
  <c r="D449" i="31" s="1"/>
  <c r="G449" i="31" s="1"/>
  <c r="F450" i="31" s="1"/>
  <c r="H449" i="31"/>
  <c r="I448" i="31"/>
  <c r="I214" i="31"/>
  <c r="H215" i="31"/>
  <c r="E215" i="31"/>
  <c r="D215" i="31" s="1"/>
  <c r="G215" i="31" s="1"/>
  <c r="F216" i="31" s="1"/>
  <c r="E54" i="25"/>
  <c r="D54" i="25" s="1"/>
  <c r="G54" i="25" s="1"/>
  <c r="F55" i="25" s="1"/>
  <c r="D457" i="40" l="1"/>
  <c r="G457" i="40" s="1"/>
  <c r="F458" i="40" s="1"/>
  <c r="E458" i="40" s="1"/>
  <c r="D226" i="40"/>
  <c r="G226" i="40" s="1"/>
  <c r="F227" i="40" s="1"/>
  <c r="E227" i="40" s="1"/>
  <c r="I225" i="40"/>
  <c r="E450" i="31"/>
  <c r="D450" i="31" s="1"/>
  <c r="G450" i="31" s="1"/>
  <c r="F451" i="31" s="1"/>
  <c r="H450" i="31"/>
  <c r="I449" i="31"/>
  <c r="H216" i="31"/>
  <c r="E216" i="31"/>
  <c r="D216" i="31" s="1"/>
  <c r="G216" i="31" s="1"/>
  <c r="F217" i="31" s="1"/>
  <c r="I215" i="31"/>
  <c r="E55" i="25"/>
  <c r="D55" i="25" s="1"/>
  <c r="G55" i="25" s="1"/>
  <c r="F56" i="25" s="1"/>
  <c r="I450" i="31" l="1"/>
  <c r="D227" i="40"/>
  <c r="G227" i="40" s="1"/>
  <c r="F228" i="40" s="1"/>
  <c r="E228" i="40" s="1"/>
  <c r="D458" i="40"/>
  <c r="G458" i="40" s="1"/>
  <c r="F459" i="40" s="1"/>
  <c r="E459" i="40" s="1"/>
  <c r="I226" i="40"/>
  <c r="E451" i="31"/>
  <c r="D451" i="31" s="1"/>
  <c r="G451" i="31" s="1"/>
  <c r="F452" i="31" s="1"/>
  <c r="H451" i="31"/>
  <c r="E217" i="31"/>
  <c r="D217" i="31" s="1"/>
  <c r="G217" i="31" s="1"/>
  <c r="F218" i="31" s="1"/>
  <c r="H217" i="31"/>
  <c r="I216" i="31"/>
  <c r="E56" i="25"/>
  <c r="D56" i="25" s="1"/>
  <c r="G56" i="25" s="1"/>
  <c r="F57" i="25" s="1"/>
  <c r="I227" i="40" l="1"/>
  <c r="D459" i="40"/>
  <c r="G459" i="40" s="1"/>
  <c r="F460" i="40" s="1"/>
  <c r="E460" i="40" s="1"/>
  <c r="D228" i="40"/>
  <c r="G228" i="40" s="1"/>
  <c r="F229" i="40" s="1"/>
  <c r="E229" i="40" s="1"/>
  <c r="E452" i="31"/>
  <c r="D452" i="31" s="1"/>
  <c r="G452" i="31" s="1"/>
  <c r="F453" i="31" s="1"/>
  <c r="H452" i="31"/>
  <c r="I451" i="31"/>
  <c r="E218" i="31"/>
  <c r="D218" i="31" s="1"/>
  <c r="G218" i="31" s="1"/>
  <c r="F219" i="31" s="1"/>
  <c r="H218" i="31"/>
  <c r="I217" i="31"/>
  <c r="E57" i="25"/>
  <c r="D57" i="25" s="1"/>
  <c r="G57" i="25" s="1"/>
  <c r="F58" i="25" s="1"/>
  <c r="I218" i="31" l="1"/>
  <c r="I228" i="40"/>
  <c r="D229" i="40"/>
  <c r="G229" i="40" s="1"/>
  <c r="F230" i="40" s="1"/>
  <c r="E230" i="40" s="1"/>
  <c r="D460" i="40"/>
  <c r="G460" i="40" s="1"/>
  <c r="F461" i="40" s="1"/>
  <c r="E461" i="40" s="1"/>
  <c r="I452" i="31"/>
  <c r="E453" i="31"/>
  <c r="D453" i="31" s="1"/>
  <c r="G453" i="31" s="1"/>
  <c r="F454" i="31" s="1"/>
  <c r="H453" i="31"/>
  <c r="E219" i="31"/>
  <c r="D219" i="31" s="1"/>
  <c r="G219" i="31" s="1"/>
  <c r="F220" i="31" s="1"/>
  <c r="H219" i="31"/>
  <c r="E58" i="25"/>
  <c r="D58" i="25" s="1"/>
  <c r="G58" i="25" s="1"/>
  <c r="F59" i="25" s="1"/>
  <c r="G59" i="25" s="1"/>
  <c r="I453" i="31" l="1"/>
  <c r="I229" i="40"/>
  <c r="D461" i="40"/>
  <c r="G461" i="40" s="1"/>
  <c r="F462" i="40" s="1"/>
  <c r="E462" i="40" s="1"/>
  <c r="D230" i="40"/>
  <c r="G230" i="40" s="1"/>
  <c r="F231" i="40" s="1"/>
  <c r="E231" i="40" s="1"/>
  <c r="I219" i="31"/>
  <c r="E454" i="31"/>
  <c r="D454" i="31" s="1"/>
  <c r="G454" i="31" s="1"/>
  <c r="F455" i="31" s="1"/>
  <c r="H454" i="31"/>
  <c r="H220" i="31"/>
  <c r="E220" i="31"/>
  <c r="D220" i="31" s="1"/>
  <c r="G220" i="31" s="1"/>
  <c r="F221" i="31" s="1"/>
  <c r="I454" i="31" l="1"/>
  <c r="D231" i="40"/>
  <c r="G231" i="40" s="1"/>
  <c r="F232" i="40" s="1"/>
  <c r="E232" i="40" s="1"/>
  <c r="D462" i="40"/>
  <c r="G462" i="40" s="1"/>
  <c r="F463" i="40" s="1"/>
  <c r="E463" i="40" s="1"/>
  <c r="I230" i="40"/>
  <c r="E455" i="31"/>
  <c r="D455" i="31" s="1"/>
  <c r="G455" i="31" s="1"/>
  <c r="F456" i="31" s="1"/>
  <c r="H455" i="31"/>
  <c r="E221" i="31"/>
  <c r="D221" i="31" s="1"/>
  <c r="G221" i="31" s="1"/>
  <c r="F222" i="31" s="1"/>
  <c r="H221" i="31"/>
  <c r="I220" i="31"/>
  <c r="D232" i="40" l="1"/>
  <c r="G232" i="40" s="1"/>
  <c r="F233" i="40" s="1"/>
  <c r="E233" i="40" s="1"/>
  <c r="D463" i="40"/>
  <c r="G463" i="40" s="1"/>
  <c r="F464" i="40" s="1"/>
  <c r="E464" i="40" s="1"/>
  <c r="I231" i="40"/>
  <c r="E456" i="31"/>
  <c r="D456" i="31" s="1"/>
  <c r="G456" i="31" s="1"/>
  <c r="F457" i="31" s="1"/>
  <c r="H456" i="31"/>
  <c r="I221" i="31"/>
  <c r="I455" i="31"/>
  <c r="E222" i="31"/>
  <c r="D222" i="31" s="1"/>
  <c r="G222" i="31" s="1"/>
  <c r="F223" i="31" s="1"/>
  <c r="H222" i="31"/>
  <c r="I222" i="31" s="1"/>
  <c r="D233" i="40" l="1"/>
  <c r="G233" i="40" s="1"/>
  <c r="F234" i="40" s="1"/>
  <c r="E234" i="40" s="1"/>
  <c r="D464" i="40"/>
  <c r="G464" i="40" s="1"/>
  <c r="F465" i="40" s="1"/>
  <c r="E465" i="40" s="1"/>
  <c r="I232" i="40"/>
  <c r="E457" i="31"/>
  <c r="D457" i="31" s="1"/>
  <c r="G457" i="31" s="1"/>
  <c r="F458" i="31" s="1"/>
  <c r="H457" i="31"/>
  <c r="I456" i="31"/>
  <c r="E223" i="31"/>
  <c r="D223" i="31" s="1"/>
  <c r="G223" i="31" s="1"/>
  <c r="F224" i="31" s="1"/>
  <c r="H223" i="31"/>
  <c r="D234" i="40" l="1"/>
  <c r="G234" i="40" s="1"/>
  <c r="F235" i="40" s="1"/>
  <c r="E235" i="40" s="1"/>
  <c r="D465" i="40"/>
  <c r="G465" i="40" s="1"/>
  <c r="F466" i="40" s="1"/>
  <c r="E466" i="40" s="1"/>
  <c r="I233" i="40"/>
  <c r="E458" i="31"/>
  <c r="D458" i="31" s="1"/>
  <c r="G458" i="31" s="1"/>
  <c r="F459" i="31" s="1"/>
  <c r="H458" i="31"/>
  <c r="I457" i="31"/>
  <c r="I223" i="31"/>
  <c r="H224" i="31"/>
  <c r="E224" i="31"/>
  <c r="D224" i="31" s="1"/>
  <c r="G224" i="31" s="1"/>
  <c r="F225" i="31" s="1"/>
  <c r="D235" i="40" l="1"/>
  <c r="G235" i="40" s="1"/>
  <c r="F236" i="40" s="1"/>
  <c r="E236" i="40" s="1"/>
  <c r="D466" i="40"/>
  <c r="G466" i="40" s="1"/>
  <c r="F467" i="40" s="1"/>
  <c r="E467" i="40" s="1"/>
  <c r="I234" i="40"/>
  <c r="E459" i="31"/>
  <c r="D459" i="31" s="1"/>
  <c r="G459" i="31" s="1"/>
  <c r="F460" i="31" s="1"/>
  <c r="H459" i="31"/>
  <c r="I458" i="31"/>
  <c r="E225" i="31"/>
  <c r="D225" i="31" s="1"/>
  <c r="G225" i="31" s="1"/>
  <c r="F226" i="31" s="1"/>
  <c r="H225" i="31"/>
  <c r="I224" i="31"/>
  <c r="D236" i="40" l="1"/>
  <c r="G236" i="40" s="1"/>
  <c r="F237" i="40" s="1"/>
  <c r="E237" i="40" s="1"/>
  <c r="D467" i="40"/>
  <c r="G467" i="40" s="1"/>
  <c r="F468" i="40" s="1"/>
  <c r="E468" i="40" s="1"/>
  <c r="I235" i="40"/>
  <c r="E460" i="31"/>
  <c r="D460" i="31" s="1"/>
  <c r="G460" i="31" s="1"/>
  <c r="F461" i="31" s="1"/>
  <c r="H460" i="31"/>
  <c r="I459" i="31"/>
  <c r="I225" i="31"/>
  <c r="E226" i="31"/>
  <c r="D226" i="31" s="1"/>
  <c r="G226" i="31" s="1"/>
  <c r="F227" i="31" s="1"/>
  <c r="H226" i="31"/>
  <c r="D237" i="40" l="1"/>
  <c r="G237" i="40" s="1"/>
  <c r="F238" i="40" s="1"/>
  <c r="E238" i="40" s="1"/>
  <c r="D468" i="40"/>
  <c r="G468" i="40" s="1"/>
  <c r="F469" i="40" s="1"/>
  <c r="E469" i="40" s="1"/>
  <c r="I236" i="40"/>
  <c r="I226" i="31"/>
  <c r="E461" i="31"/>
  <c r="D461" i="31" s="1"/>
  <c r="G461" i="31" s="1"/>
  <c r="F462" i="31" s="1"/>
  <c r="H461" i="31"/>
  <c r="I460" i="31"/>
  <c r="E227" i="31"/>
  <c r="D227" i="31" s="1"/>
  <c r="G227" i="31" s="1"/>
  <c r="F228" i="31" s="1"/>
  <c r="H227" i="31"/>
  <c r="I461" i="31" l="1"/>
  <c r="D238" i="40"/>
  <c r="G238" i="40" s="1"/>
  <c r="F239" i="40" s="1"/>
  <c r="E239" i="40" s="1"/>
  <c r="D469" i="40"/>
  <c r="G469" i="40" s="1"/>
  <c r="F470" i="40" s="1"/>
  <c r="E470" i="40" s="1"/>
  <c r="I237" i="40"/>
  <c r="I227" i="31"/>
  <c r="E462" i="31"/>
  <c r="D462" i="31" s="1"/>
  <c r="G462" i="31" s="1"/>
  <c r="F463" i="31" s="1"/>
  <c r="H462" i="31"/>
  <c r="H228" i="31"/>
  <c r="E228" i="31"/>
  <c r="D228" i="31" s="1"/>
  <c r="G228" i="31" s="1"/>
  <c r="F229" i="31" s="1"/>
  <c r="I462" i="31" l="1"/>
  <c r="D239" i="40"/>
  <c r="G239" i="40" s="1"/>
  <c r="F240" i="40" s="1"/>
  <c r="E240" i="40" s="1"/>
  <c r="D470" i="40"/>
  <c r="G470" i="40" s="1"/>
  <c r="F471" i="40" s="1"/>
  <c r="E471" i="40" s="1"/>
  <c r="I238" i="40"/>
  <c r="E463" i="31"/>
  <c r="D463" i="31" s="1"/>
  <c r="G463" i="31" s="1"/>
  <c r="F464" i="31" s="1"/>
  <c r="H463" i="31"/>
  <c r="E229" i="31"/>
  <c r="D229" i="31" s="1"/>
  <c r="G229" i="31" s="1"/>
  <c r="F230" i="31" s="1"/>
  <c r="H229" i="31"/>
  <c r="I228" i="31"/>
  <c r="D240" i="40" l="1"/>
  <c r="G240" i="40" s="1"/>
  <c r="F241" i="40" s="1"/>
  <c r="E241" i="40" s="1"/>
  <c r="D471" i="40"/>
  <c r="G471" i="40" s="1"/>
  <c r="F472" i="40" s="1"/>
  <c r="E472" i="40" s="1"/>
  <c r="I239" i="40"/>
  <c r="I229" i="31"/>
  <c r="E464" i="31"/>
  <c r="D464" i="31" s="1"/>
  <c r="G464" i="31" s="1"/>
  <c r="F465" i="31" s="1"/>
  <c r="H464" i="31"/>
  <c r="I463" i="31"/>
  <c r="H230" i="31"/>
  <c r="E230" i="31"/>
  <c r="D230" i="31" s="1"/>
  <c r="G230" i="31" s="1"/>
  <c r="F231" i="31" s="1"/>
  <c r="I464" i="31" l="1"/>
  <c r="D241" i="40"/>
  <c r="G241" i="40" s="1"/>
  <c r="F242" i="40" s="1"/>
  <c r="E242" i="40" s="1"/>
  <c r="D472" i="40"/>
  <c r="G472" i="40" s="1"/>
  <c r="F473" i="40" s="1"/>
  <c r="E473" i="40" s="1"/>
  <c r="I240" i="40"/>
  <c r="I230" i="31"/>
  <c r="E465" i="31"/>
  <c r="D465" i="31" s="1"/>
  <c r="G465" i="31" s="1"/>
  <c r="F466" i="31" s="1"/>
  <c r="H465" i="31"/>
  <c r="E231" i="31"/>
  <c r="D231" i="31" s="1"/>
  <c r="G231" i="31" s="1"/>
  <c r="F232" i="31" s="1"/>
  <c r="H231" i="31"/>
  <c r="I465" i="31" l="1"/>
  <c r="D242" i="40"/>
  <c r="G242" i="40" s="1"/>
  <c r="F243" i="40" s="1"/>
  <c r="E243" i="40" s="1"/>
  <c r="D473" i="40"/>
  <c r="G473" i="40" s="1"/>
  <c r="F474" i="40" s="1"/>
  <c r="E474" i="40" s="1"/>
  <c r="I241" i="40"/>
  <c r="I231" i="31"/>
  <c r="E466" i="31"/>
  <c r="D466" i="31" s="1"/>
  <c r="G466" i="31" s="1"/>
  <c r="F467" i="31" s="1"/>
  <c r="H466" i="31"/>
  <c r="H232" i="31"/>
  <c r="E232" i="31"/>
  <c r="D232" i="31" s="1"/>
  <c r="G232" i="31" s="1"/>
  <c r="F233" i="31" s="1"/>
  <c r="I466" i="31" l="1"/>
  <c r="D243" i="40"/>
  <c r="G243" i="40" s="1"/>
  <c r="F244" i="40" s="1"/>
  <c r="D474" i="40"/>
  <c r="G474" i="40" s="1"/>
  <c r="F475" i="40" s="1"/>
  <c r="D475" i="40" s="1"/>
  <c r="E467" i="31"/>
  <c r="D467" i="31" s="1"/>
  <c r="G467" i="31" s="1"/>
  <c r="F468" i="31" s="1"/>
  <c r="H467" i="31"/>
  <c r="E233" i="31"/>
  <c r="D233" i="31" s="1"/>
  <c r="G233" i="31" s="1"/>
  <c r="F234" i="31" s="1"/>
  <c r="H233" i="31"/>
  <c r="I232" i="31"/>
  <c r="D244" i="40" l="1"/>
  <c r="G244" i="40" s="1"/>
  <c r="G475" i="40"/>
  <c r="I233" i="31"/>
  <c r="I467" i="31"/>
  <c r="E468" i="31"/>
  <c r="D468" i="31" s="1"/>
  <c r="G468" i="31" s="1"/>
  <c r="F469" i="31" s="1"/>
  <c r="H468" i="31"/>
  <c r="E234" i="31"/>
  <c r="D234" i="31" s="1"/>
  <c r="G234" i="31" s="1"/>
  <c r="F235" i="31" s="1"/>
  <c r="H234" i="31"/>
  <c r="E469" i="31" l="1"/>
  <c r="D469" i="31" s="1"/>
  <c r="G469" i="31" s="1"/>
  <c r="F470" i="31" s="1"/>
  <c r="H469" i="31"/>
  <c r="I468" i="31"/>
  <c r="I234" i="31"/>
  <c r="H235" i="31"/>
  <c r="E235" i="31"/>
  <c r="D235" i="31" s="1"/>
  <c r="G235" i="31" s="1"/>
  <c r="F236" i="31" s="1"/>
  <c r="I469" i="31" l="1"/>
  <c r="E470" i="31"/>
  <c r="D470" i="31" s="1"/>
  <c r="G470" i="31" s="1"/>
  <c r="F471" i="31" s="1"/>
  <c r="H470" i="31"/>
  <c r="I235" i="31"/>
  <c r="E236" i="31"/>
  <c r="D236" i="31" s="1"/>
  <c r="G236" i="31" s="1"/>
  <c r="F237" i="31" s="1"/>
  <c r="H236" i="31"/>
  <c r="E471" i="31" l="1"/>
  <c r="D471" i="31" s="1"/>
  <c r="G471" i="31" s="1"/>
  <c r="F472" i="31" s="1"/>
  <c r="H471" i="31"/>
  <c r="I470" i="31"/>
  <c r="E237" i="31"/>
  <c r="D237" i="31" s="1"/>
  <c r="G237" i="31" s="1"/>
  <c r="F238" i="31" s="1"/>
  <c r="H237" i="31"/>
  <c r="I236" i="31"/>
  <c r="I237" i="31" l="1"/>
  <c r="I471" i="31"/>
  <c r="E472" i="31"/>
  <c r="D472" i="31" s="1"/>
  <c r="G472" i="31" s="1"/>
  <c r="F473" i="31" s="1"/>
  <c r="H472" i="31"/>
  <c r="H238" i="31"/>
  <c r="E238" i="31"/>
  <c r="D238" i="31" s="1"/>
  <c r="G238" i="31" s="1"/>
  <c r="F239" i="31" s="1"/>
  <c r="E473" i="31" l="1"/>
  <c r="D473" i="31" s="1"/>
  <c r="G473" i="31" s="1"/>
  <c r="F474" i="31" s="1"/>
  <c r="H473" i="31"/>
  <c r="I472" i="31"/>
  <c r="E239" i="31"/>
  <c r="D239" i="31" s="1"/>
  <c r="G239" i="31" s="1"/>
  <c r="F240" i="31" s="1"/>
  <c r="H239" i="31"/>
  <c r="I239" i="31" s="1"/>
  <c r="I238" i="31"/>
  <c r="I473" i="31" l="1"/>
  <c r="E474" i="31"/>
  <c r="D474" i="31" s="1"/>
  <c r="G474" i="31" s="1"/>
  <c r="F475" i="31" s="1"/>
  <c r="H474" i="31"/>
  <c r="E240" i="31"/>
  <c r="D240" i="31" s="1"/>
  <c r="G240" i="31" s="1"/>
  <c r="F241" i="31" s="1"/>
  <c r="H240" i="31"/>
  <c r="D475" i="31" l="1"/>
  <c r="H475" i="31"/>
  <c r="I475" i="31" s="1"/>
  <c r="G475" i="31"/>
  <c r="I474" i="31"/>
  <c r="H241" i="31"/>
  <c r="E241" i="31"/>
  <c r="D241" i="31" s="1"/>
  <c r="G241" i="31" s="1"/>
  <c r="F242" i="31" s="1"/>
  <c r="I240" i="31"/>
  <c r="H242" i="31" l="1"/>
  <c r="E242" i="31"/>
  <c r="D242" i="31" s="1"/>
  <c r="G242" i="31" s="1"/>
  <c r="F243" i="31" s="1"/>
  <c r="I241" i="31"/>
  <c r="I242" i="31" l="1"/>
  <c r="E243" i="31"/>
  <c r="D243" i="31" s="1"/>
  <c r="G243" i="31" s="1"/>
  <c r="F244" i="31" s="1"/>
  <c r="H243" i="31"/>
  <c r="I243" i="31" l="1"/>
  <c r="H244" i="31"/>
  <c r="I244" i="31" s="1"/>
  <c r="G244" i="31"/>
  <c r="D51" i="60"/>
  <c r="G51" i="60" s="1"/>
  <c r="F52" i="60" l="1"/>
  <c r="E52" i="60"/>
  <c r="D52" i="60" s="1"/>
  <c r="G52" i="60" s="1"/>
  <c r="F53" i="60" s="1"/>
  <c r="E53" i="60" l="1"/>
  <c r="D53" i="60" s="1"/>
  <c r="G53" i="60" s="1"/>
  <c r="F54" i="60" s="1"/>
  <c r="E54" i="60" l="1"/>
  <c r="D54" i="60" s="1"/>
  <c r="G54" i="60" s="1"/>
  <c r="F55" i="60" s="1"/>
  <c r="E55" i="60" l="1"/>
  <c r="D55" i="60" s="1"/>
  <c r="G55" i="60" s="1"/>
  <c r="F56" i="60" s="1"/>
  <c r="E56" i="60" l="1"/>
  <c r="D56" i="60" s="1"/>
  <c r="G56" i="60" s="1"/>
  <c r="F57" i="60" s="1"/>
  <c r="E57" i="60" l="1"/>
  <c r="D57" i="60" s="1"/>
  <c r="G57" i="60" s="1"/>
  <c r="F58" i="60" s="1"/>
  <c r="E58" i="60" l="1"/>
  <c r="D58" i="60" s="1"/>
  <c r="G58" i="60" s="1"/>
  <c r="F59" i="60" s="1"/>
  <c r="E59" i="60" l="1"/>
  <c r="D59" i="60" s="1"/>
  <c r="G59" i="60" s="1"/>
  <c r="F60" i="60" s="1"/>
  <c r="E60" i="60" l="1"/>
  <c r="D60" i="60" s="1"/>
  <c r="G60" i="60" s="1"/>
  <c r="F61" i="60" s="1"/>
  <c r="E61" i="60" l="1"/>
  <c r="D61" i="60" s="1"/>
  <c r="G61" i="60" s="1"/>
  <c r="F62" i="60" s="1"/>
  <c r="E62" i="60" l="1"/>
  <c r="D62" i="60" s="1"/>
  <c r="G62" i="60" s="1"/>
  <c r="F63" i="60" s="1"/>
  <c r="E63" i="60" l="1"/>
  <c r="D63" i="60" s="1"/>
  <c r="G63" i="60" s="1"/>
  <c r="F64" i="60" l="1"/>
  <c r="E64" i="60" l="1"/>
  <c r="D64" i="60" s="1"/>
  <c r="G64" i="60" s="1"/>
  <c r="F65" i="60" s="1"/>
  <c r="E65" i="60" s="1"/>
  <c r="D65" i="60" s="1"/>
  <c r="G65" i="60" s="1"/>
  <c r="F66" i="60" s="1"/>
  <c r="E66" i="60" s="1"/>
  <c r="D66" i="60" l="1"/>
  <c r="G66" i="60" s="1"/>
  <c r="F67" i="60" s="1"/>
  <c r="D67" i="60" l="1"/>
  <c r="G67" i="60" s="1"/>
  <c r="D40" i="64" l="1"/>
  <c r="G40" i="64" s="1"/>
  <c r="F41" i="64" s="1"/>
  <c r="E41" i="64" s="1"/>
  <c r="D41" i="64" l="1"/>
  <c r="G41" i="64" s="1"/>
  <c r="F42" i="64" s="1"/>
  <c r="E42" i="64" s="1"/>
  <c r="D42" i="64" l="1"/>
  <c r="G42" i="64" s="1"/>
  <c r="F43" i="64" s="1"/>
  <c r="E43" i="64" s="1"/>
  <c r="D43" i="64" l="1"/>
  <c r="G43" i="64" s="1"/>
  <c r="F44" i="64" s="1"/>
  <c r="E44" i="64" s="1"/>
  <c r="D44" i="64" l="1"/>
  <c r="G44" i="64" s="1"/>
  <c r="F45" i="64" s="1"/>
  <c r="E45" i="64" s="1"/>
  <c r="D45" i="64" l="1"/>
  <c r="G45" i="64" s="1"/>
  <c r="F46" i="64" s="1"/>
  <c r="E46" i="64" s="1"/>
  <c r="D46" i="64" l="1"/>
  <c r="G46" i="64" s="1"/>
  <c r="F47" i="64" s="1"/>
  <c r="E47" i="64" s="1"/>
  <c r="D47" i="64" l="1"/>
  <c r="G47" i="64" s="1"/>
  <c r="F48" i="64" s="1"/>
  <c r="E48" i="64" s="1"/>
  <c r="D48" i="64" l="1"/>
  <c r="G48" i="64" s="1"/>
  <c r="F49" i="64" s="1"/>
  <c r="E49" i="64" s="1"/>
  <c r="D49" i="64" l="1"/>
  <c r="G49" i="64" s="1"/>
  <c r="F50" i="64" s="1"/>
  <c r="E50" i="64" s="1"/>
  <c r="D50" i="64" l="1"/>
  <c r="G50" i="64" s="1"/>
  <c r="F51" i="64" s="1"/>
  <c r="D51" i="64" l="1"/>
  <c r="G51" i="64" s="1"/>
  <c r="D62" i="71"/>
  <c r="G62" i="71" s="1"/>
</calcChain>
</file>

<file path=xl/sharedStrings.xml><?xml version="1.0" encoding="utf-8"?>
<sst xmlns="http://schemas.openxmlformats.org/spreadsheetml/2006/main" count="6793" uniqueCount="454">
  <si>
    <t>Y</t>
  </si>
  <si>
    <t>interest_rate</t>
  </si>
  <si>
    <t>loan_amount</t>
  </si>
  <si>
    <t>tenure</t>
  </si>
  <si>
    <t>pre_emi</t>
  </si>
  <si>
    <t>pre_emi_days_applicable</t>
  </si>
  <si>
    <t>days_calculation</t>
  </si>
  <si>
    <t>frequency</t>
  </si>
  <si>
    <t>repayment_type</t>
  </si>
  <si>
    <t>15</t>
  </si>
  <si>
    <t>disbursal_day</t>
  </si>
  <si>
    <t>disbursal_month</t>
  </si>
  <si>
    <t>disbursal_year</t>
  </si>
  <si>
    <t>36</t>
  </si>
  <si>
    <t>Re-payment</t>
  </si>
  <si>
    <t>0.00</t>
  </si>
  <si>
    <t>emi_day</t>
  </si>
  <si>
    <t>Due_Date</t>
  </si>
  <si>
    <t>Days_Diff</t>
  </si>
  <si>
    <t>Opening_Prin</t>
  </si>
  <si>
    <t>Closing_Prin</t>
  </si>
  <si>
    <t>interest</t>
  </si>
  <si>
    <t>principal</t>
  </si>
  <si>
    <t>08</t>
  </si>
  <si>
    <t>5</t>
  </si>
  <si>
    <t>365</t>
  </si>
  <si>
    <t>monthly</t>
  </si>
  <si>
    <t>equated_installment</t>
  </si>
  <si>
    <t>""</t>
  </si>
  <si>
    <t>N</t>
  </si>
  <si>
    <t>RunMode</t>
  </si>
  <si>
    <t>360</t>
  </si>
  <si>
    <t>TestCaseDesc</t>
  </si>
  <si>
    <t>Tranche1</t>
  </si>
  <si>
    <t>Interest Rate</t>
  </si>
  <si>
    <t>Formula_Cell</t>
  </si>
  <si>
    <t>Delta</t>
  </si>
  <si>
    <t>Repayment_Amount</t>
  </si>
  <si>
    <t>Repayment Schedule when Part payment on  EMI Due Date with day calculation 365</t>
  </si>
  <si>
    <t>990000000</t>
  </si>
  <si>
    <t>04</t>
  </si>
  <si>
    <t>2014</t>
  </si>
  <si>
    <t>3</t>
  </si>
  <si>
    <t>interest_only</t>
  </si>
  <si>
    <t>05-06-2015</t>
  </si>
  <si>
    <t>part_payment</t>
  </si>
  <si>
    <t>5600000</t>
  </si>
  <si>
    <t>reschedule_date0</t>
  </si>
  <si>
    <t>reschedule_type0</t>
  </si>
  <si>
    <t>reschedule_data0</t>
  </si>
  <si>
    <t>31</t>
  </si>
  <si>
    <t>New_Repayment_Amount</t>
  </si>
  <si>
    <t>Part_payment_date</t>
  </si>
  <si>
    <t>Part_payment_amount</t>
  </si>
  <si>
    <t>Repayment Schedule when Part payment on  EMI Due Date with day calculation 360</t>
  </si>
  <si>
    <t>30</t>
  </si>
  <si>
    <t>16-02-2017</t>
  </si>
  <si>
    <t>Repayment Schedule when Part payment on  Mid Date on any Month with day  calculation 365</t>
  </si>
  <si>
    <t>Repayment Schedule when Part payment on  Mid Date on any Month with day  calculation 360</t>
  </si>
  <si>
    <t>days_diff_reschedule</t>
  </si>
  <si>
    <t>Days_before_rescheduling</t>
  </si>
  <si>
    <t>Repayment Schedule for single tranche(Part Payment part payment on non emi date) leap year with 365</t>
  </si>
  <si>
    <t>Repayment Schedule for single tranche(Part Payment part payment on non emi date) leap year with 360</t>
  </si>
  <si>
    <t>2017</t>
  </si>
  <si>
    <t>16-02-2020</t>
  </si>
  <si>
    <t>Part Payment with maximum amount</t>
  </si>
  <si>
    <t>100000000</t>
  </si>
  <si>
    <t>01-08-2020</t>
  </si>
  <si>
    <t>Part payment on on second last emi</t>
  </si>
  <si>
    <t>Rescheduling on high boundary value</t>
  </si>
  <si>
    <t>999999999</t>
  </si>
  <si>
    <t>02</t>
  </si>
  <si>
    <t>240</t>
  </si>
  <si>
    <t>10000</t>
  </si>
  <si>
    <t>05-10-2014</t>
  </si>
  <si>
    <t>500</t>
  </si>
  <si>
    <t>1000000</t>
  </si>
  <si>
    <t>05</t>
  </si>
  <si>
    <t>05-01-2016</t>
  </si>
  <si>
    <t>20</t>
  </si>
  <si>
    <t>01-01-2016</t>
  </si>
  <si>
    <t>Single Tranche disbursal on due day with ROI Increase on "Non EMI" Date with days 365 logic</t>
  </si>
  <si>
    <t>Single Tranche disbursal on due day with ROI Increase on "EMI" Date with days 365 logic</t>
  </si>
  <si>
    <t>Single Tranche disbursal on due day with ROI Increase on "EMI" Date with days 360 logic</t>
  </si>
  <si>
    <t>10</t>
  </si>
  <si>
    <t>Single Tranche disbursal on due day with ROI decrease EMI Date with days 365 logic</t>
  </si>
  <si>
    <t>Single Tranche disbursal on due day with ROI decrease on EMI Date with days 360 logic</t>
  </si>
  <si>
    <t>Single Tranche disbursal on due day with ROI decrease on  Non EMI Date with days 365 logic</t>
  </si>
  <si>
    <t>Single Tranche disbursal on due day with ROI decrease on  Non EMI Date with days 360 logic</t>
  </si>
  <si>
    <t>100</t>
  </si>
  <si>
    <t>1</t>
  </si>
  <si>
    <t>Rescheduling on high boundary value in interest rate with 365 days</t>
  </si>
  <si>
    <t>Rescheduling on high boundary value in interest rate with 360days</t>
  </si>
  <si>
    <t>Rescheduling on low boundary value in interest rate with 365 days</t>
  </si>
  <si>
    <t>Rescheduling on low boundary value in interest rate with 360days</t>
  </si>
  <si>
    <t>05-09-2014</t>
  </si>
  <si>
    <t>Rescheduling on First EMI with 365 days</t>
  </si>
  <si>
    <t>Rescheduling on First EMI with 360 days</t>
  </si>
  <si>
    <t>Rescheduling on Before First EMI with 365 days</t>
  </si>
  <si>
    <t>Rescheduling on Before First EMI with 360 days</t>
  </si>
  <si>
    <t>Single Tranche disbursal on due day with loan tenure deduction on 365 days caculation</t>
  </si>
  <si>
    <t>Single Tranche disbursal on due day with loan tenure deduction on 360 days caculation</t>
  </si>
  <si>
    <t>RescheduleLoan Term</t>
  </si>
  <si>
    <t>05-09-2015</t>
  </si>
  <si>
    <t>tenor</t>
  </si>
  <si>
    <t>24</t>
  </si>
  <si>
    <t>RescheduleEMI</t>
  </si>
  <si>
    <t>40</t>
  </si>
  <si>
    <t>Rescheduling on low boundary value</t>
  </si>
  <si>
    <t>250</t>
  </si>
  <si>
    <t>2</t>
  </si>
  <si>
    <t>Rescheduling on high boundary value in amount and changing tenure with 360 days</t>
  </si>
  <si>
    <t>Rescheduling on high boundary value in amount and changing tenure with 365 days</t>
  </si>
  <si>
    <t>Rescheduling on low boundary value in amount and changing tenure with 360 days</t>
  </si>
  <si>
    <t>Rescheduling on low boundary value in amount and changing tenure with 365 days</t>
  </si>
  <si>
    <t>Reschedule_tenure</t>
  </si>
  <si>
    <t>Single Tranche disbursal on due day with loan tenure addition on 365 days calculation</t>
  </si>
  <si>
    <t>Single Tranche disbursal on due day with loan tenure addition on 360 days calculation</t>
  </si>
  <si>
    <t>Rescheduling on high boundary value on amount with 365 days</t>
  </si>
  <si>
    <t>Rescheduling on high boundary value on amount with 360 days</t>
  </si>
  <si>
    <t>Rescheduling on low boundary value on amount with 365 days</t>
  </si>
  <si>
    <t>Rescheduling on low boundary value on amount with 360 days</t>
  </si>
  <si>
    <t>01-09-2015</t>
  </si>
  <si>
    <t>RescheduleDate</t>
  </si>
  <si>
    <t>RescheduleLoan_Term</t>
  </si>
  <si>
    <t>RescheduleDate2</t>
  </si>
  <si>
    <t>RescheduleEMI2</t>
  </si>
  <si>
    <t>ReschedulePartPayment</t>
  </si>
  <si>
    <t>RescheduleROI</t>
  </si>
  <si>
    <t>reschedule_date1</t>
  </si>
  <si>
    <t>reschedule_type1</t>
  </si>
  <si>
    <t>reschedule_data1</t>
  </si>
  <si>
    <t>reschedule_date2</t>
  </si>
  <si>
    <t>reschedule_type2</t>
  </si>
  <si>
    <t>reschedule_data2</t>
  </si>
  <si>
    <t>5000</t>
  </si>
  <si>
    <t>days before</t>
  </si>
  <si>
    <t>dyas after</t>
  </si>
  <si>
    <t>01-09-2016</t>
  </si>
  <si>
    <t>01-09-2017</t>
  </si>
  <si>
    <t>25</t>
  </si>
  <si>
    <t>emi_amount</t>
  </si>
  <si>
    <t>50000</t>
  </si>
  <si>
    <t>20000</t>
  </si>
  <si>
    <t>Repayment Schedule for single tranche(Increase Emi Amount on  Emi date) with multitime Re-scheduling on 365 days calculation</t>
  </si>
  <si>
    <t>Repayment Schedule for single tranche(Increase Emi Amount on  Emi date) with multitime Re-scheduling on 360 days calculation</t>
  </si>
  <si>
    <t>05-09-2016</t>
  </si>
  <si>
    <t>RescheduleDate0</t>
  </si>
  <si>
    <t>RescheduleDate1</t>
  </si>
  <si>
    <t>RescheduleEMI1</t>
  </si>
  <si>
    <t>RescheduleEMI0</t>
  </si>
  <si>
    <t>Single tranche (Loan Term Change : Increase loan term) on Non  Emi date (Multi-Rescheduling on same date) on 365 days calculation</t>
  </si>
  <si>
    <t>Single tranche (Loan Term Change : Increase loan term) on  Non Emi date (Multi-Rescheduling on same date) on 360 days calculation</t>
  </si>
  <si>
    <t>Single tranche (Loan Term Change : Decrease loan term) on Non Emi date (Multi-Rescheduling on same date) on 365 days calculation</t>
  </si>
  <si>
    <t>Single tranche (Loan Term Change : Decrease loan term) on Non Emi date (Multi-Rescheduling on same date) on 360 days calculation</t>
  </si>
  <si>
    <t>Repayment Schedule for single tranche(Increase on Emi Amount on Non emi date) on 365 days calculation</t>
  </si>
  <si>
    <t>Repayment Schedule for single tranche(Increase on Emi Amount on Non emi date) on 360 days calculation</t>
  </si>
  <si>
    <t>Repayment Schedule for single tranche(Decrease in Emi Amount on Non emi date) on 365 days calculation</t>
  </si>
  <si>
    <t>Repayment Schedule for single tranche(Decrease in Emi Amount on Non emi date) on 360 days calculation</t>
  </si>
  <si>
    <t>Repayment Schedule for single tranche(Decrease Emi Amount on  Emi date) with multitime Re-scheduling on 365 days calculation</t>
  </si>
  <si>
    <t>Repayment Schedule for single tranche(Decrease Emi Amount on  Emi date) with multitime Re-scheduling on 360 days calculation</t>
  </si>
  <si>
    <t>30000</t>
  </si>
  <si>
    <t>Repayment Schedule for single tranche(Increase Emi Amount , tenure, roi, part payment on Non emi date) with multitype rescheduling on 365 days calculation</t>
  </si>
  <si>
    <t>Repayment Schedule for single tranche(Increase Emi Amount , tenure, roi, part payment on Non emi date) with multitype rescheduling on 360 days calculation</t>
  </si>
  <si>
    <t>reschedule_date3</t>
  </si>
  <si>
    <t>reschedule_type3</t>
  </si>
  <si>
    <t>reschedule_data3</t>
  </si>
  <si>
    <t>05-01-2015</t>
  </si>
  <si>
    <t>05-05-2015</t>
  </si>
  <si>
    <t>05-05-2016</t>
  </si>
  <si>
    <t>05-05-2017</t>
  </si>
  <si>
    <t>72</t>
  </si>
  <si>
    <t>60</t>
  </si>
  <si>
    <t>RescheduleDate3</t>
  </si>
  <si>
    <t>RescheduleEMI3</t>
  </si>
  <si>
    <t>interest0</t>
  </si>
  <si>
    <t>part_payment1</t>
  </si>
  <si>
    <t>emi_amount2</t>
  </si>
  <si>
    <t>tenor3</t>
  </si>
  <si>
    <t>Single Tranche disbursal on due day with ROI Increase on "Non EMI" Date with days 360 logic</t>
  </si>
  <si>
    <t>15000</t>
  </si>
  <si>
    <t>48</t>
  </si>
  <si>
    <t>Repayment Schedule for single tranche(Decrease Emi Amount , tenure, roi, part payment on Non emi date) with multitype rescheduling on 365 days calculation</t>
  </si>
  <si>
    <t>Repayment Schedule for single tranche(Decrease Emi Amount , tenure, roi, part payment on Non emi date) with multitype rescheduling on 360 days calculation</t>
  </si>
  <si>
    <t>2022</t>
  </si>
  <si>
    <t>05-01-2023</t>
  </si>
  <si>
    <t>05-05-2023</t>
  </si>
  <si>
    <t>05-05-2024</t>
  </si>
  <si>
    <t>05-05-2025</t>
  </si>
  <si>
    <t>Check future dates rescheduling on 365 days calculation</t>
  </si>
  <si>
    <t>Check future dates rescheduling on 360 days calculation</t>
  </si>
  <si>
    <t>01</t>
  </si>
  <si>
    <t>31-07-2022</t>
  </si>
  <si>
    <t>31-05-2023</t>
  </si>
  <si>
    <t>31-05-2024</t>
  </si>
  <si>
    <t>31-05-2025</t>
  </si>
  <si>
    <t>Check case is disburseon month end &amp; rescheduling on 365 days calculation</t>
  </si>
  <si>
    <t>Check case is disburseon month end &amp; rescheduling on 360 days calculation</t>
  </si>
  <si>
    <t>28-07-2022</t>
  </si>
  <si>
    <t>28</t>
  </si>
  <si>
    <t>28-05-2023</t>
  </si>
  <si>
    <t>28-05-2024</t>
  </si>
  <si>
    <t>28-05-2025</t>
  </si>
  <si>
    <t>Repayment Schedule for single tranche when case disburs on first day of month (Monthly) for 365 days calculation</t>
  </si>
  <si>
    <t>Repayment Schedule for single tranche when case disburs on first day of month (Monthly) for 360 days calculation</t>
  </si>
  <si>
    <t>01-09-2014</t>
  </si>
  <si>
    <t>01-10-2014</t>
  </si>
  <si>
    <t>01-11-2014</t>
  </si>
  <si>
    <t>01-12-2014</t>
  </si>
  <si>
    <t>01-01-2015</t>
  </si>
  <si>
    <t>01-02-2015</t>
  </si>
  <si>
    <t>01-03-2015</t>
  </si>
  <si>
    <t>01-04-2015</t>
  </si>
  <si>
    <t>01-05-2015</t>
  </si>
  <si>
    <t>01-06-2015</t>
  </si>
  <si>
    <t>01-07-2015</t>
  </si>
  <si>
    <t>01-08-2015</t>
  </si>
  <si>
    <t>01-10-2015</t>
  </si>
  <si>
    <t>01-11-2015</t>
  </si>
  <si>
    <t>01-12-2015</t>
  </si>
  <si>
    <t>01-02-2016</t>
  </si>
  <si>
    <t>01-03-2016</t>
  </si>
  <si>
    <t>01-04-2016</t>
  </si>
  <si>
    <t>01-05-2016</t>
  </si>
  <si>
    <t>01-06-2016</t>
  </si>
  <si>
    <t>01-07-2016</t>
  </si>
  <si>
    <t>01-08-2016</t>
  </si>
  <si>
    <t>01-10-2016</t>
  </si>
  <si>
    <t>01-11-2016</t>
  </si>
  <si>
    <t>01-12-2016</t>
  </si>
  <si>
    <t>01-01-2017</t>
  </si>
  <si>
    <t>01-02-2017</t>
  </si>
  <si>
    <t>01-03-2017</t>
  </si>
  <si>
    <t>01-04-2017</t>
  </si>
  <si>
    <t>01-05-2017</t>
  </si>
  <si>
    <t>01-06-2017</t>
  </si>
  <si>
    <t>01-07-2017</t>
  </si>
  <si>
    <t>01-08-2017</t>
  </si>
  <si>
    <t>01-07-2018</t>
  </si>
  <si>
    <t>01-10-2017</t>
  </si>
  <si>
    <t>01-11-2017</t>
  </si>
  <si>
    <t>01-12-2017</t>
  </si>
  <si>
    <t>01-05-2018</t>
  </si>
  <si>
    <t>01-06-2018</t>
  </si>
  <si>
    <t>01-08-2018</t>
  </si>
  <si>
    <t>01-01-2018</t>
  </si>
  <si>
    <t>01-02-2018</t>
  </si>
  <si>
    <t>01-03-2018</t>
  </si>
  <si>
    <t>01-04-2018</t>
  </si>
  <si>
    <t>01-09-2018</t>
  </si>
  <si>
    <t>01-10-2018</t>
  </si>
  <si>
    <t>01-11-2018</t>
  </si>
  <si>
    <t>01-12-2018</t>
  </si>
  <si>
    <t>01-01-2019</t>
  </si>
  <si>
    <t>01-02-2019</t>
  </si>
  <si>
    <t>01-03-2019</t>
  </si>
  <si>
    <t>01-04-2019</t>
  </si>
  <si>
    <t>01-05-2019</t>
  </si>
  <si>
    <t>01-06-2019</t>
  </si>
  <si>
    <t>01-07-2019</t>
  </si>
  <si>
    <t>01-08-2019</t>
  </si>
  <si>
    <t>daysbefore0</t>
  </si>
  <si>
    <t>daysafter0</t>
  </si>
  <si>
    <t>05-06-2016</t>
  </si>
  <si>
    <t>2019</t>
  </si>
  <si>
    <t>28-08-2019</t>
  </si>
  <si>
    <t>28-11-2020</t>
  </si>
  <si>
    <t>28-02-2020</t>
  </si>
  <si>
    <t>Repayment Schedule for single tranche (case is disburs Feb 2019) (Monthly) with 365 days logic</t>
  </si>
  <si>
    <t>Repayment Schedule for single tranche (case is disburs Feb 2019) (Monthly) with 360 days logic</t>
  </si>
  <si>
    <t>28-05-2022</t>
  </si>
  <si>
    <t>29</t>
  </si>
  <si>
    <t>29-02-2020</t>
  </si>
  <si>
    <t>29-05-2022</t>
  </si>
  <si>
    <t>2020</t>
  </si>
  <si>
    <t>28-02-2021</t>
  </si>
  <si>
    <t>28-02-2022</t>
  </si>
  <si>
    <t>28-02-2023</t>
  </si>
  <si>
    <t>Repayment Schedule for single tranche (case is disburs Feb 2020) (Monthly) with 365 days logic</t>
  </si>
  <si>
    <t>Repayment Schedule for single tranche (case is disburs Feb 2020) (Monthly) with 360 days logic</t>
  </si>
  <si>
    <t>29-08-2020</t>
  </si>
  <si>
    <t>29-03-2021</t>
  </si>
  <si>
    <t>29-11-2021</t>
  </si>
  <si>
    <t>29-05-2023</t>
  </si>
  <si>
    <t>29-04-2020</t>
  </si>
  <si>
    <t>29-05-2020</t>
  </si>
  <si>
    <t>29-06-2020</t>
  </si>
  <si>
    <t>29-07-2020</t>
  </si>
  <si>
    <t>29-09-2020</t>
  </si>
  <si>
    <t>29-10-2020</t>
  </si>
  <si>
    <t>29-11-2020</t>
  </si>
  <si>
    <t>29-12-2020</t>
  </si>
  <si>
    <t>29-01-2021</t>
  </si>
  <si>
    <t>29-04-2021</t>
  </si>
  <si>
    <t>29-05-2021</t>
  </si>
  <si>
    <t>29-06-2021</t>
  </si>
  <si>
    <t>29-07-2021</t>
  </si>
  <si>
    <t>29-08-2021</t>
  </si>
  <si>
    <t>29-09-2021</t>
  </si>
  <si>
    <t>29-10-2021</t>
  </si>
  <si>
    <t>29-12-2021</t>
  </si>
  <si>
    <t>29-01-2022</t>
  </si>
  <si>
    <t>29-03-2022</t>
  </si>
  <si>
    <t>29-04-2022</t>
  </si>
  <si>
    <t>29-06-2022</t>
  </si>
  <si>
    <t>29-07-2022</t>
  </si>
  <si>
    <t>29-08-2022</t>
  </si>
  <si>
    <t>29-09-2022</t>
  </si>
  <si>
    <t>29-10-2022</t>
  </si>
  <si>
    <t>29-11-2022</t>
  </si>
  <si>
    <t>29-12-2022</t>
  </si>
  <si>
    <t>29-01-2023</t>
  </si>
  <si>
    <t>29-03-2023</t>
  </si>
  <si>
    <t>29-01-2024</t>
  </si>
  <si>
    <t>29-04-2023</t>
  </si>
  <si>
    <t>29-06-2023</t>
  </si>
  <si>
    <t>29-07-2023</t>
  </si>
  <si>
    <t>29-08-2023</t>
  </si>
  <si>
    <t>29-09-2023</t>
  </si>
  <si>
    <t>29-10-2023</t>
  </si>
  <si>
    <t>29-11-2023</t>
  </si>
  <si>
    <t>29-12-2023</t>
  </si>
  <si>
    <t>29-03-2024</t>
  </si>
  <si>
    <t>29-02-2024</t>
  </si>
  <si>
    <t>Repayment Schedule for single tranche(Part Payment on emi date) for 365 days calculation</t>
  </si>
  <si>
    <t>42</t>
  </si>
  <si>
    <t>daily</t>
  </si>
  <si>
    <t>part_payment0</t>
  </si>
  <si>
    <t>Repayment Schedule for single tranche(Interest Rate Increase on EMI date) for 365 days calculation</t>
  </si>
  <si>
    <t>Repayment Schedule for single tranche(Loan TermChange: decrese loan term ) for 365 days calculation</t>
  </si>
  <si>
    <t>Repayment Schedule for single tranche(Interest Rate Decrease on EMI date) for 365 days calculation</t>
  </si>
  <si>
    <t>tenor0</t>
  </si>
  <si>
    <t>Repayment Schedule for single tranche(Loan TermChange:increase loan term ) for 365 days calculation</t>
  </si>
  <si>
    <t>50</t>
  </si>
  <si>
    <t>emi_amount0</t>
  </si>
  <si>
    <t>13-09-2014</t>
  </si>
  <si>
    <t>Multi Rescheduling in different  month on emi date( same reschedule type)( same reschedule type: Part Payment) with day calculation 365</t>
  </si>
  <si>
    <t>Multi Rescheduling in different  month on emi date( same reschedule type)( same reschedule type: Part Payment) with day calculation 360</t>
  </si>
  <si>
    <t>Repayment_Amount0</t>
  </si>
  <si>
    <t>Repayment_Amount1</t>
  </si>
  <si>
    <t>Part_payment_date1</t>
  </si>
  <si>
    <t>Part_payment_amount1</t>
  </si>
  <si>
    <t>10-03-2017</t>
  </si>
  <si>
    <t>16-02-2016</t>
  </si>
  <si>
    <t>Part_payment1</t>
  </si>
  <si>
    <t>Part_payment0</t>
  </si>
  <si>
    <t>date1</t>
  </si>
  <si>
    <t>date0</t>
  </si>
  <si>
    <t>Days_before1</t>
  </si>
  <si>
    <t>Days_before0</t>
  </si>
  <si>
    <t>days_after0</t>
  </si>
  <si>
    <t>days_after1</t>
  </si>
  <si>
    <t>Repayment1</t>
  </si>
  <si>
    <t>Interest_Rate</t>
  </si>
  <si>
    <t>Repayment0</t>
  </si>
  <si>
    <t>Repayment</t>
  </si>
  <si>
    <t>Multi Rescheduling in different  month on emi date( same reschedule type)( same reschedule type: ROI)Increase &amp; Decrease ROI with days 365 logic</t>
  </si>
  <si>
    <t>Multi Rescheduling in different  month on emi date( same reschedule type)( same reschedule type: ROI)Increase &amp; Decrease ROI with days 360 logic</t>
  </si>
  <si>
    <t>05-01-2017</t>
  </si>
  <si>
    <t>interest1</t>
  </si>
  <si>
    <t>Multi Rescheduling in different  month on Non-emi date( same reschedule type)( same reschedule type: Part Payment) with day calculation 365</t>
  </si>
  <si>
    <t>Multi Rescheduling in different  month on Non-emi date( same reschedule type)( same reschedule type: Part Payment) with day calculation 360</t>
  </si>
  <si>
    <t>days_before0</t>
  </si>
  <si>
    <t>days_before1</t>
  </si>
  <si>
    <t>Multi Rescheduling in different  month on emi date( same reschedule type: Tenure) for 365 days calculation</t>
  </si>
  <si>
    <t>Multi Rescheduling in different  month on emi date( same reschedule type: Tenure) for 360 days calculation</t>
  </si>
  <si>
    <t>tenor1</t>
  </si>
  <si>
    <t>Multi Rescheduling in different  month on Non-emi date( same reschedule type: Tenure) for 360 days calculation</t>
  </si>
  <si>
    <t>Multi Rescheduling in different  month on Non-emi date( same reschedule type: Tenure) for 365 days calculation</t>
  </si>
  <si>
    <t>Multi Rescheduling in same month on emi date( same reschedule type: Part Payment) with day calculation 365</t>
  </si>
  <si>
    <t>Multi Rescheduling in same month on emi date( same reschedule type: Part Payment) with day calculation 360</t>
  </si>
  <si>
    <t>2000000</t>
  </si>
  <si>
    <t>weekly</t>
  </si>
  <si>
    <t>05-10-2020</t>
  </si>
  <si>
    <t>56000</t>
  </si>
  <si>
    <t>01-10-2020</t>
  </si>
  <si>
    <t>26-10-2020</t>
  </si>
  <si>
    <t>Single Tranche disbursal on due day with ROI Increase on EMI Date with days 365 logic</t>
  </si>
  <si>
    <t>Single Tranche disbursal on due day with ROI Increase on EMI Date with days 360 logic</t>
  </si>
  <si>
    <t>05-03-2021</t>
  </si>
  <si>
    <t>Single Tranche disbursal on due day with ROI Increase on  Non EMI Date with days 365 logic</t>
  </si>
  <si>
    <t>Single Tranche disbursal on due day with ROI Increase on  Non EMI Date with days 360 logic</t>
  </si>
  <si>
    <t>Days before rescheduling</t>
  </si>
  <si>
    <t>Days after rescheduling</t>
  </si>
  <si>
    <t>Interest</t>
  </si>
  <si>
    <t>Single Tranche disbursal on due day with ROI decrease EMI Date with days 360 logic</t>
  </si>
  <si>
    <t>Repayment Schedule for single tranche(Loan TermChange: increase loan term ) with multischeduling with days 360 logic</t>
  </si>
  <si>
    <t>Repayment Schedule for single tranche(Loan TermChange: increase loan term ) with multischeduling with days 365 logic</t>
  </si>
  <si>
    <t>Repayment Schedule for single tranche(Loan TermChange: decrease loan term ) with multischeduling with days 360 logic</t>
  </si>
  <si>
    <t>Repayment Schedule for single tranche(Loan TermChange: decrease loan term ) with multischeduling with days 365 logic</t>
  </si>
  <si>
    <t>54</t>
  </si>
  <si>
    <t>01-01-2021</t>
  </si>
  <si>
    <t>fortnightly</t>
  </si>
  <si>
    <t>28-09-2020</t>
  </si>
  <si>
    <t>01-03-2021</t>
  </si>
  <si>
    <t>76000</t>
  </si>
  <si>
    <t>Repayment Schedule for single tranche(Part Payment part payment on non emi date) with Multi reshcheduling with 365 days calculation</t>
  </si>
  <si>
    <t>Repayment Schedule for single tranche(Part Payment part payment on non emi date) with Multi reshcheduling with 360 days calculation</t>
  </si>
  <si>
    <t>10-10-2020</t>
  </si>
  <si>
    <t>30-01-2021</t>
  </si>
  <si>
    <t>Repayment Schedule for single tranche(Interest Rate Increase/Decrease on EMI date) with Multi reshcheduling with 365 days calculation</t>
  </si>
  <si>
    <t>Repayment Schedule for single tranche(Interest Rate Increase/Decrease on EMI date) with Multi reshcheduling with 360 days calculation</t>
  </si>
  <si>
    <t>Repayment Schedule for single tranche(Interest Rate Increase/Decrease on Non-EMI date) with Multi reshcheduling with 365 days calculation</t>
  </si>
  <si>
    <t>Repayment Schedule for single tranche(Interest Rate Increase/Decrease on Non-EMI date) with Multi reshcheduling with 360 days calculation</t>
  </si>
  <si>
    <t>9.56</t>
  </si>
  <si>
    <t>15.5678</t>
  </si>
  <si>
    <t>Repayment Schedule for single tranche(Loan TermChange: decrese loan term on EMI Date) with Multi reshcheduling with 365 days calculation</t>
  </si>
  <si>
    <t>Repayment Schedule for single tranche(Loan TermChange: decrese loan term on EMI Date) with Multi reshcheduling with 360 days calculation</t>
  </si>
  <si>
    <t>10-09-2020</t>
  </si>
  <si>
    <t>Repayment Schedule for single tranche(Loan TermChange: decrese loan term on Non-EMI Date) with Multi reshcheduling with 365 days calculation</t>
  </si>
  <si>
    <t>Repayment Schedule for single tranche(Loan TermChange: decrese loan term on Non-EMI Date) with Multi reshcheduling with 360 days calculation</t>
  </si>
  <si>
    <t>03</t>
  </si>
  <si>
    <t>annually</t>
  </si>
  <si>
    <t>RepayMent  Schedule  for Annually withPre EMI Y (365logic)</t>
  </si>
  <si>
    <t>03-08-2021</t>
  </si>
  <si>
    <t>03-08-2022</t>
  </si>
  <si>
    <t>03-08-2024</t>
  </si>
  <si>
    <t>11</t>
  </si>
  <si>
    <t>03-08-2027</t>
  </si>
  <si>
    <t>700000</t>
  </si>
  <si>
    <t>date2</t>
  </si>
  <si>
    <t>tenor2</t>
  </si>
  <si>
    <t>quarterly</t>
  </si>
  <si>
    <t>RepayMent  Schedule  for Quarterly withPre EMI Y (365logic)</t>
  </si>
  <si>
    <t>RepayMent  Schedule  for Quarterly withPre EMI Y (360logic)</t>
  </si>
  <si>
    <t>RepayMent  Schedule  for Annually withPre EMI Y (360logic)</t>
  </si>
  <si>
    <t>03-08-2026</t>
  </si>
  <si>
    <t>26</t>
  </si>
  <si>
    <t>200000</t>
  </si>
  <si>
    <t>RepayMent  Schedule  for SemiAnnualy withPre EMI Y (365logic)</t>
  </si>
  <si>
    <t>RepayMent  Schedule  for SemiAnnualy withPre EMI Y (360logic)</t>
  </si>
  <si>
    <t>semi_annually</t>
  </si>
  <si>
    <t>03-02-2022</t>
  </si>
  <si>
    <t>70000</t>
  </si>
  <si>
    <t>Multi type  rescheduling on emi date in different month (tenure, roi, part payment)</t>
  </si>
  <si>
    <t>16-05-2015</t>
  </si>
  <si>
    <t>Multi type  rescheduling on emi date in different month (roi, part payment)</t>
  </si>
  <si>
    <t>Days before</t>
  </si>
  <si>
    <t>After</t>
  </si>
  <si>
    <t>16-08-2014</t>
  </si>
  <si>
    <t>Multi Rescheduling  on emi date( same reschedule type: Part Payment)</t>
  </si>
  <si>
    <t>21-09-2014</t>
  </si>
  <si>
    <t>Multi Rescheduling  on emi date( same reschedule type: ROI)</t>
  </si>
  <si>
    <t>14-09-2014</t>
  </si>
  <si>
    <t>61</t>
  </si>
  <si>
    <t>Multi Rescheduling  on emi date( same reschedule type: Tenure)</t>
  </si>
  <si>
    <t>Updated interest</t>
  </si>
  <si>
    <t>Tenure</t>
  </si>
  <si>
    <t>26-08-2014</t>
  </si>
  <si>
    <t>Multi type  rescheduling on emi date in same month (tenure, roi, part payment)</t>
  </si>
  <si>
    <t>Interest Change date</t>
  </si>
  <si>
    <t>Repayment Amount</t>
  </si>
  <si>
    <t xml:space="preserve">Updated Interest </t>
  </si>
  <si>
    <t>7000000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</si>
</sst>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 * #,##0.00_ ;_ * \-#,##0.00_ ;_ * &quot;-&quot;??_ ;_ @_ "/>
    <numFmt numFmtId="164" formatCode="_(* #,##0.00_);_(* \(#,##0.00\);_(* &quot;-&quot;??_);_(@_)"/>
  </numFmts>
  <fonts count="1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0"/>
      <color indexed="8"/>
      <name val="Verdana"/>
      <family val="2"/>
    </font>
    <font>
      <sz val="10"/>
      <color indexed="8"/>
      <name val="Verdana"/>
      <family val="2"/>
    </font>
    <font>
      <sz val="11"/>
      <color indexed="8"/>
      <name val="Calibri"/>
      <family val="2"/>
    </font>
    <font>
      <sz val="8"/>
      <name val="Calibri"/>
      <family val="2"/>
      <scheme val="minor"/>
    </font>
    <font>
      <b/>
      <sz val="10"/>
      <name val="Arial"/>
      <family val="2"/>
    </font>
    <font>
      <b/>
      <sz val="11"/>
      <color theme="1"/>
      <name val="Calibri"/>
      <family val="2"/>
      <scheme val="minor"/>
    </font>
    <font>
      <sz val="10"/>
      <name val="Arial"/>
      <family val="2"/>
    </font>
    <font>
      <sz val="12"/>
      <name val="Calibri Light"/>
      <family val="2"/>
      <scheme val="major"/>
    </font>
  </fonts>
  <fills count="27">
    <fill>
      <patternFill patternType="none"/>
    </fill>
    <fill>
      <patternFill patternType="gray125"/>
    </fill>
    <fill>
      <patternFill patternType="solid">
        <fgColor theme="9" tint="0.59999389629810485"/>
        <bgColor indexed="64"/>
      </patternFill>
    </fill>
    <fill>
      <patternFill patternType="solid">
        <fgColor rgb="FFFFFF00"/>
        <bgColor indexed="22"/>
      </patternFill>
    </fill>
    <fill>
      <patternFill patternType="solid">
        <fgColor indexed="51"/>
        <bgColor indexed="13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/>
        <bgColor indexed="13"/>
      </patternFill>
    </fill>
    <fill>
      <patternFill patternType="solid">
        <fgColor theme="9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9" tint="0.39997558519241921"/>
        <bgColor indexed="13"/>
      </patternFill>
    </fill>
    <fill>
      <patternFill patternType="solid">
        <fgColor rgb="FFFF000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4" tint="0.59999389629810485"/>
        <bgColor indexed="13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59999389629810485"/>
        <bgColor indexed="13"/>
      </patternFill>
    </fill>
    <fill>
      <patternFill patternType="solid">
        <fgColor rgb="FFFFC000"/>
        <bgColor indexed="13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3" tint="0.79998168889431442"/>
        <bgColor indexed="13"/>
      </patternFill>
    </fill>
  </fills>
  <borders count="1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/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64"/>
      </left>
      <right/>
      <top/>
      <bottom/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9" fontId="1" fillId="0" borderId="0" applyFont="0" applyFill="0" applyBorder="0" applyAlignment="0" applyProtection="0"/>
  </cellStyleXfs>
  <cellXfs count="225">
    <xf numFmtId="0" fontId="0" fillId="0" borderId="0" xfId="0"/>
    <xf numFmtId="0" fontId="0" fillId="0" borderId="2" xfId="0" quotePrefix="1" applyBorder="1"/>
    <xf numFmtId="164" fontId="4" fillId="0" borderId="2" xfId="1" applyNumberFormat="1" applyFont="1" applyBorder="1" applyAlignment="1" applyProtection="1"/>
    <xf numFmtId="164" fontId="4" fillId="0" borderId="2" xfId="1" quotePrefix="1" applyNumberFormat="1" applyFont="1" applyBorder="1" applyAlignment="1" applyProtection="1"/>
    <xf numFmtId="164" fontId="0" fillId="0" borderId="0" xfId="0" quotePrefix="1" applyNumberFormat="1"/>
    <xf numFmtId="49" fontId="2" fillId="3" borderId="2" xfId="0" applyNumberFormat="1" applyFont="1" applyFill="1" applyBorder="1" applyAlignment="1">
      <alignment horizontal="center" vertical="center"/>
    </xf>
    <xf numFmtId="49" fontId="0" fillId="2" borderId="1" xfId="0" applyNumberFormat="1" applyFill="1" applyBorder="1" applyAlignment="1">
      <alignment horizontal="center"/>
    </xf>
    <xf numFmtId="49" fontId="0" fillId="0" borderId="1" xfId="0" quotePrefix="1" applyNumberFormat="1" applyBorder="1" applyAlignment="1">
      <alignment horizontal="center"/>
    </xf>
    <xf numFmtId="49" fontId="0" fillId="0" borderId="1" xfId="0" quotePrefix="1" applyNumberFormat="1" applyBorder="1"/>
    <xf numFmtId="49" fontId="0" fillId="0" borderId="1" xfId="0" quotePrefix="1" applyNumberFormat="1" applyFill="1" applyBorder="1"/>
    <xf numFmtId="43" fontId="4" fillId="0" borderId="2" xfId="1" quotePrefix="1" applyFont="1" applyBorder="1" applyAlignment="1" applyProtection="1"/>
    <xf numFmtId="0" fontId="0" fillId="2" borderId="1" xfId="0" applyFill="1" applyBorder="1" applyAlignment="1">
      <alignment horizontal="center"/>
    </xf>
    <xf numFmtId="0" fontId="0" fillId="0" borderId="1" xfId="0" applyBorder="1" applyAlignment="1">
      <alignment horizontal="center"/>
    </xf>
    <xf numFmtId="49" fontId="2" fillId="3" borderId="1" xfId="0" applyNumberFormat="1" applyFont="1" applyFill="1" applyBorder="1" applyAlignment="1">
      <alignment horizontal="center" vertical="center"/>
    </xf>
    <xf numFmtId="43" fontId="4" fillId="0" borderId="1" xfId="1" applyFont="1" applyBorder="1" applyAlignment="1" applyProtection="1"/>
    <xf numFmtId="0" fontId="2" fillId="4" borderId="0" xfId="0" applyFont="1" applyFill="1"/>
    <xf numFmtId="43" fontId="0" fillId="0" borderId="1" xfId="0" applyNumberFormat="1" applyBorder="1"/>
    <xf numFmtId="0" fontId="2" fillId="4" borderId="1" xfId="0" applyFont="1" applyFill="1" applyBorder="1"/>
    <xf numFmtId="9" fontId="2" fillId="4" borderId="1" xfId="0" applyNumberFormat="1" applyFont="1" applyFill="1" applyBorder="1" applyAlignment="1">
      <alignment horizontal="right"/>
    </xf>
    <xf numFmtId="43" fontId="4" fillId="0" borderId="1" xfId="1" applyNumberFormat="1" applyFont="1" applyBorder="1" applyAlignment="1" applyProtection="1"/>
    <xf numFmtId="49" fontId="0" fillId="0" borderId="1" xfId="0" quotePrefix="1" applyNumberFormat="1" applyFill="1" applyBorder="1" applyAlignment="1">
      <alignment horizontal="center"/>
    </xf>
    <xf numFmtId="15" fontId="3" fillId="5" borderId="2" xfId="0" applyNumberFormat="1" applyFont="1" applyFill="1" applyBorder="1"/>
    <xf numFmtId="15" fontId="2" fillId="4" borderId="0" xfId="0" applyNumberFormat="1" applyFont="1" applyFill="1" applyAlignment="1">
      <alignment horizontal="right"/>
    </xf>
    <xf numFmtId="43" fontId="6" fillId="4" borderId="0" xfId="1" applyFont="1" applyFill="1" applyBorder="1" applyAlignment="1" applyProtection="1">
      <alignment horizontal="right"/>
    </xf>
    <xf numFmtId="43" fontId="6" fillId="7" borderId="0" xfId="1" applyFont="1" applyFill="1" applyBorder="1" applyAlignment="1" applyProtection="1">
      <alignment horizontal="right"/>
    </xf>
    <xf numFmtId="0" fontId="7" fillId="6" borderId="0" xfId="0" applyFont="1" applyFill="1" applyAlignment="1"/>
    <xf numFmtId="15" fontId="7" fillId="8" borderId="0" xfId="0" applyNumberFormat="1" applyFont="1" applyFill="1"/>
    <xf numFmtId="2" fontId="7" fillId="8" borderId="0" xfId="0" applyNumberFormat="1" applyFont="1" applyFill="1"/>
    <xf numFmtId="0" fontId="7" fillId="8" borderId="0" xfId="0" applyFont="1" applyFill="1" applyAlignment="1"/>
    <xf numFmtId="15" fontId="3" fillId="9" borderId="2" xfId="0" applyNumberFormat="1" applyFont="1" applyFill="1" applyBorder="1"/>
    <xf numFmtId="0" fontId="7" fillId="8" borderId="3" xfId="0" applyFont="1" applyFill="1" applyBorder="1" applyAlignment="1"/>
    <xf numFmtId="15" fontId="3" fillId="10" borderId="2" xfId="0" applyNumberFormat="1" applyFont="1" applyFill="1" applyBorder="1"/>
    <xf numFmtId="0" fontId="7" fillId="8" borderId="0" xfId="0" applyFont="1" applyFill="1"/>
    <xf numFmtId="43" fontId="0" fillId="0" borderId="0" xfId="0" applyNumberFormat="1"/>
    <xf numFmtId="2" fontId="0" fillId="0" borderId="1" xfId="0" quotePrefix="1" applyNumberFormat="1" applyFill="1" applyBorder="1" applyAlignment="1">
      <alignment horizontal="center"/>
    </xf>
    <xf numFmtId="49" fontId="0" fillId="0" borderId="1" xfId="0" quotePrefix="1" applyNumberFormat="1" applyFill="1" applyBorder="1" applyAlignment="1"/>
    <xf numFmtId="15" fontId="3" fillId="0" borderId="2" xfId="0" applyNumberFormat="1" applyFont="1" applyBorder="1"/>
    <xf numFmtId="43" fontId="6" fillId="11" borderId="0" xfId="1" applyFont="1" applyFill="1" applyBorder="1" applyAlignment="1" applyProtection="1">
      <alignment horizontal="right" vertical="center"/>
    </xf>
    <xf numFmtId="0" fontId="0" fillId="12" borderId="1" xfId="0" applyFill="1" applyBorder="1" applyAlignment="1">
      <alignment horizontal="center"/>
    </xf>
    <xf numFmtId="49" fontId="0" fillId="12" borderId="1" xfId="0" quotePrefix="1" applyNumberFormat="1" applyFill="1" applyBorder="1" applyAlignment="1">
      <alignment horizontal="center"/>
    </xf>
    <xf numFmtId="49" fontId="0" fillId="12" borderId="1" xfId="0" quotePrefix="1" applyNumberFormat="1" applyFill="1" applyBorder="1"/>
    <xf numFmtId="49" fontId="0" fillId="12" borderId="1" xfId="0" quotePrefix="1" applyNumberFormat="1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quotePrefix="1" applyFill="1" applyBorder="1"/>
    <xf numFmtId="49" fontId="0" fillId="0" borderId="1" xfId="0" applyNumberFormat="1" applyFill="1" applyBorder="1"/>
    <xf numFmtId="0" fontId="0" fillId="0" borderId="2" xfId="0" applyBorder="1"/>
    <xf numFmtId="43" fontId="4" fillId="0" borderId="2" xfId="1" applyFont="1" applyBorder="1" applyAlignment="1" applyProtection="1"/>
    <xf numFmtId="4" fontId="4" fillId="0" borderId="2" xfId="1" applyNumberFormat="1" applyFont="1" applyBorder="1" applyAlignment="1" applyProtection="1"/>
    <xf numFmtId="43" fontId="4" fillId="8" borderId="2" xfId="1" applyFont="1" applyFill="1" applyBorder="1" applyAlignment="1" applyProtection="1"/>
    <xf numFmtId="49" fontId="0" fillId="0" borderId="1" xfId="0" quotePrefix="1" applyNumberFormat="1" applyFill="1" applyBorder="1" applyAlignment="1">
      <alignment horizontal="left"/>
    </xf>
    <xf numFmtId="14" fontId="7" fillId="13" borderId="0" xfId="0" applyNumberFormat="1" applyFont="1" applyFill="1"/>
    <xf numFmtId="9" fontId="7" fillId="13" borderId="0" xfId="0" applyNumberFormat="1" applyFont="1" applyFill="1"/>
    <xf numFmtId="43" fontId="6" fillId="0" borderId="0" xfId="1" applyFont="1" applyFill="1" applyBorder="1" applyAlignment="1" applyProtection="1">
      <alignment horizontal="right"/>
    </xf>
    <xf numFmtId="15" fontId="3" fillId="0" borderId="2" xfId="0" applyNumberFormat="1" applyFont="1" applyFill="1" applyBorder="1"/>
    <xf numFmtId="15" fontId="3" fillId="14" borderId="2" xfId="0" applyNumberFormat="1" applyFont="1" applyFill="1" applyBorder="1"/>
    <xf numFmtId="15" fontId="3" fillId="15" borderId="2" xfId="0" applyNumberFormat="1" applyFont="1" applyFill="1" applyBorder="1"/>
    <xf numFmtId="2" fontId="7" fillId="13" borderId="0" xfId="0" applyNumberFormat="1" applyFont="1" applyFill="1"/>
    <xf numFmtId="49" fontId="2" fillId="3" borderId="4" xfId="0" applyNumberFormat="1" applyFont="1" applyFill="1" applyBorder="1" applyAlignment="1">
      <alignment horizontal="center" vertical="center"/>
    </xf>
    <xf numFmtId="49" fontId="2" fillId="3" borderId="5" xfId="0" applyNumberFormat="1" applyFont="1" applyFill="1" applyBorder="1" applyAlignment="1">
      <alignment horizontal="center" vertical="center"/>
    </xf>
    <xf numFmtId="0" fontId="0" fillId="0" borderId="6" xfId="0" quotePrefix="1" applyBorder="1"/>
    <xf numFmtId="164" fontId="4" fillId="0" borderId="6" xfId="1" applyNumberFormat="1" applyFont="1" applyBorder="1" applyAlignment="1" applyProtection="1"/>
    <xf numFmtId="43" fontId="4" fillId="0" borderId="7" xfId="1" applyNumberFormat="1" applyFont="1" applyBorder="1" applyAlignment="1" applyProtection="1"/>
    <xf numFmtId="43" fontId="4" fillId="0" borderId="7" xfId="1" applyFont="1" applyBorder="1" applyAlignment="1" applyProtection="1"/>
    <xf numFmtId="43" fontId="0" fillId="0" borderId="7" xfId="0" applyNumberFormat="1" applyBorder="1"/>
    <xf numFmtId="49" fontId="2" fillId="0" borderId="1" xfId="0" applyNumberFormat="1" applyFont="1" applyFill="1" applyBorder="1" applyAlignment="1">
      <alignment horizontal="center" vertical="center"/>
    </xf>
    <xf numFmtId="43" fontId="8" fillId="0" borderId="0" xfId="1" applyFont="1" applyFill="1" applyBorder="1" applyAlignment="1" applyProtection="1">
      <alignment horizontal="right"/>
    </xf>
    <xf numFmtId="49" fontId="3" fillId="0" borderId="1" xfId="0" quotePrefix="1" applyNumberFormat="1" applyFont="1" applyFill="1" applyBorder="1" applyAlignment="1">
      <alignment horizontal="center" vertical="center"/>
    </xf>
    <xf numFmtId="43" fontId="4" fillId="0" borderId="2" xfId="1" applyFont="1" applyFill="1" applyBorder="1" applyAlignment="1" applyProtection="1"/>
    <xf numFmtId="0" fontId="0" fillId="16" borderId="0" xfId="0" applyFill="1"/>
    <xf numFmtId="15" fontId="3" fillId="16" borderId="2" xfId="0" applyNumberFormat="1" applyFont="1" applyFill="1" applyBorder="1"/>
    <xf numFmtId="0" fontId="0" fillId="0" borderId="0" xfId="0" quotePrefix="1"/>
    <xf numFmtId="49" fontId="0" fillId="0" borderId="1" xfId="0" applyNumberFormat="1" applyBorder="1" applyAlignment="1">
      <alignment horizontal="center"/>
    </xf>
    <xf numFmtId="0" fontId="0" fillId="16" borderId="1" xfId="0" applyFill="1" applyBorder="1"/>
    <xf numFmtId="15" fontId="0" fillId="16" borderId="1" xfId="0" applyNumberFormat="1" applyFill="1" applyBorder="1"/>
    <xf numFmtId="0" fontId="2" fillId="4" borderId="7" xfId="0" applyFont="1" applyFill="1" applyBorder="1"/>
    <xf numFmtId="9" fontId="2" fillId="4" borderId="7" xfId="0" applyNumberFormat="1" applyFont="1" applyFill="1" applyBorder="1" applyAlignment="1">
      <alignment horizontal="right"/>
    </xf>
    <xf numFmtId="0" fontId="0" fillId="16" borderId="7" xfId="0" applyFill="1" applyBorder="1"/>
    <xf numFmtId="15" fontId="2" fillId="4" borderId="1" xfId="0" applyNumberFormat="1" applyFont="1" applyFill="1" applyBorder="1" applyAlignment="1">
      <alignment horizontal="right"/>
    </xf>
    <xf numFmtId="43" fontId="6" fillId="11" borderId="1" xfId="1" applyFont="1" applyFill="1" applyBorder="1" applyAlignment="1" applyProtection="1">
      <alignment horizontal="right" vertical="center"/>
    </xf>
    <xf numFmtId="0" fontId="7" fillId="8" borderId="1" xfId="0" applyFont="1" applyFill="1" applyBorder="1" applyAlignment="1"/>
    <xf numFmtId="15" fontId="7" fillId="8" borderId="1" xfId="0" applyNumberFormat="1" applyFont="1" applyFill="1" applyBorder="1"/>
    <xf numFmtId="10" fontId="0" fillId="16" borderId="1" xfId="0" applyNumberFormat="1" applyFill="1" applyBorder="1"/>
    <xf numFmtId="0" fontId="7" fillId="8" borderId="1" xfId="0" applyFont="1" applyFill="1" applyBorder="1"/>
    <xf numFmtId="0" fontId="0" fillId="16" borderId="2" xfId="0" applyFill="1" applyBorder="1"/>
    <xf numFmtId="0" fontId="0" fillId="0" borderId="2" xfId="0" applyFill="1" applyBorder="1"/>
    <xf numFmtId="15" fontId="0" fillId="16" borderId="0" xfId="0" applyNumberFormat="1" applyFill="1"/>
    <xf numFmtId="9" fontId="0" fillId="16" borderId="1" xfId="0" applyNumberFormat="1" applyFill="1" applyBorder="1"/>
    <xf numFmtId="0" fontId="0" fillId="16" borderId="1" xfId="0" applyNumberFormat="1" applyFill="1" applyBorder="1"/>
    <xf numFmtId="2" fontId="0" fillId="16" borderId="0" xfId="0" applyNumberFormat="1" applyFill="1"/>
    <xf numFmtId="43" fontId="4" fillId="16" borderId="2" xfId="1" applyFont="1" applyFill="1" applyBorder="1" applyAlignment="1" applyProtection="1"/>
    <xf numFmtId="4" fontId="4" fillId="16" borderId="2" xfId="1" applyNumberFormat="1" applyFont="1" applyFill="1" applyBorder="1" applyAlignment="1" applyProtection="1"/>
    <xf numFmtId="4" fontId="4" fillId="0" borderId="2" xfId="1" applyNumberFormat="1" applyFont="1" applyFill="1" applyBorder="1" applyAlignment="1" applyProtection="1"/>
    <xf numFmtId="0" fontId="0" fillId="0" borderId="1" xfId="0" applyBorder="1"/>
    <xf numFmtId="15" fontId="3" fillId="0" borderId="2" xfId="0" quotePrefix="1" applyNumberFormat="1" applyFont="1" applyBorder="1"/>
    <xf numFmtId="4" fontId="4" fillId="0" borderId="1" xfId="1" applyNumberFormat="1" applyFont="1" applyBorder="1" applyAlignment="1" applyProtection="1"/>
    <xf numFmtId="2" fontId="0" fillId="0" borderId="1" xfId="0" applyNumberFormat="1" applyBorder="1"/>
    <xf numFmtId="15" fontId="3" fillId="16" borderId="2" xfId="0" quotePrefix="1" applyNumberFormat="1" applyFont="1" applyFill="1" applyBorder="1"/>
    <xf numFmtId="0" fontId="0" fillId="16" borderId="2" xfId="0" quotePrefix="1" applyFill="1" applyBorder="1"/>
    <xf numFmtId="43" fontId="4" fillId="16" borderId="1" xfId="1" applyFont="1" applyFill="1" applyBorder="1" applyAlignment="1" applyProtection="1"/>
    <xf numFmtId="4" fontId="4" fillId="16" borderId="1" xfId="1" applyNumberFormat="1" applyFont="1" applyFill="1" applyBorder="1" applyAlignment="1" applyProtection="1"/>
    <xf numFmtId="2" fontId="0" fillId="16" borderId="1" xfId="0" applyNumberFormat="1" applyFill="1" applyBorder="1"/>
    <xf numFmtId="43" fontId="4" fillId="0" borderId="1" xfId="1" applyFont="1" applyFill="1" applyBorder="1" applyAlignment="1" applyProtection="1"/>
    <xf numFmtId="0" fontId="0" fillId="16" borderId="8" xfId="0" quotePrefix="1" applyFill="1" applyBorder="1"/>
    <xf numFmtId="43" fontId="4" fillId="0" borderId="9" xfId="1" applyFont="1" applyFill="1" applyBorder="1" applyAlignment="1" applyProtection="1"/>
    <xf numFmtId="43" fontId="0" fillId="16" borderId="0" xfId="0" applyNumberFormat="1" applyFill="1"/>
    <xf numFmtId="43" fontId="4" fillId="16" borderId="9" xfId="1" applyFont="1" applyFill="1" applyBorder="1" applyAlignment="1" applyProtection="1"/>
    <xf numFmtId="43" fontId="0" fillId="0" borderId="9" xfId="0" applyNumberFormat="1" applyFill="1" applyBorder="1"/>
    <xf numFmtId="15" fontId="2" fillId="4" borderId="1" xfId="0" quotePrefix="1" applyNumberFormat="1" applyFont="1" applyFill="1" applyBorder="1" applyAlignment="1">
      <alignment horizontal="right"/>
    </xf>
    <xf numFmtId="15" fontId="3" fillId="0" borderId="1" xfId="0" quotePrefix="1" applyNumberFormat="1" applyFont="1" applyBorder="1"/>
    <xf numFmtId="14" fontId="3" fillId="0" borderId="1" xfId="0" quotePrefix="1" applyNumberFormat="1" applyFont="1" applyBorder="1"/>
    <xf numFmtId="14" fontId="3" fillId="16" borderId="1" xfId="0" quotePrefix="1" applyNumberFormat="1" applyFont="1" applyFill="1" applyBorder="1"/>
    <xf numFmtId="43" fontId="0" fillId="16" borderId="1" xfId="0" applyNumberFormat="1" applyFill="1" applyBorder="1"/>
    <xf numFmtId="15" fontId="3" fillId="16" borderId="1" xfId="0" quotePrefix="1" applyNumberFormat="1" applyFont="1" applyFill="1" applyBorder="1"/>
    <xf numFmtId="43" fontId="4" fillId="0" borderId="0" xfId="1" applyFont="1" applyBorder="1" applyAlignment="1" applyProtection="1"/>
    <xf numFmtId="43" fontId="0" fillId="0" borderId="0" xfId="0" applyNumberFormat="1" applyBorder="1"/>
    <xf numFmtId="9" fontId="0" fillId="0" borderId="1" xfId="2" quotePrefix="1" applyFont="1" applyFill="1" applyBorder="1" applyAlignment="1">
      <alignment horizontal="center"/>
    </xf>
    <xf numFmtId="0" fontId="0" fillId="0" borderId="1" xfId="2" quotePrefix="1" applyNumberFormat="1" applyFont="1" applyFill="1" applyBorder="1" applyAlignment="1">
      <alignment horizontal="center"/>
    </xf>
    <xf numFmtId="15" fontId="3" fillId="17" borderId="2" xfId="0" applyNumberFormat="1" applyFont="1" applyFill="1" applyBorder="1"/>
    <xf numFmtId="0" fontId="0" fillId="17" borderId="2" xfId="0" quotePrefix="1" applyFill="1" applyBorder="1"/>
    <xf numFmtId="164" fontId="4" fillId="17" borderId="2" xfId="1" applyNumberFormat="1" applyFont="1" applyFill="1" applyBorder="1" applyAlignment="1" applyProtection="1"/>
    <xf numFmtId="43" fontId="4" fillId="17" borderId="1" xfId="1" applyNumberFormat="1" applyFont="1" applyFill="1" applyBorder="1" applyAlignment="1" applyProtection="1"/>
    <xf numFmtId="49" fontId="2" fillId="3" borderId="6" xfId="0" applyNumberFormat="1" applyFont="1" applyFill="1" applyBorder="1" applyAlignment="1">
      <alignment horizontal="center" vertical="center"/>
    </xf>
    <xf numFmtId="49" fontId="2" fillId="3" borderId="7" xfId="0" applyNumberFormat="1" applyFont="1" applyFill="1" applyBorder="1" applyAlignment="1">
      <alignment horizontal="center" vertical="center"/>
    </xf>
    <xf numFmtId="0" fontId="0" fillId="15" borderId="1" xfId="0" applyFont="1" applyFill="1" applyBorder="1" applyAlignment="1">
      <alignment horizontal="left"/>
    </xf>
    <xf numFmtId="15" fontId="0" fillId="15" borderId="1" xfId="0" applyNumberFormat="1" applyFont="1" applyFill="1" applyBorder="1" applyAlignment="1">
      <alignment horizontal="left"/>
    </xf>
    <xf numFmtId="43" fontId="8" fillId="18" borderId="1" xfId="1" applyFont="1" applyFill="1" applyBorder="1" applyAlignment="1" applyProtection="1">
      <alignment horizontal="left"/>
    </xf>
    <xf numFmtId="2" fontId="0" fillId="15" borderId="1" xfId="0" applyNumberFormat="1" applyFont="1" applyFill="1" applyBorder="1" applyAlignment="1">
      <alignment horizontal="left"/>
    </xf>
    <xf numFmtId="0" fontId="0" fillId="15" borderId="2" xfId="0" quotePrefix="1" applyFill="1" applyBorder="1"/>
    <xf numFmtId="164" fontId="0" fillId="15" borderId="0" xfId="0" quotePrefix="1" applyNumberFormat="1" applyFill="1"/>
    <xf numFmtId="164" fontId="4" fillId="15" borderId="2" xfId="1" applyNumberFormat="1" applyFont="1" applyFill="1" applyBorder="1" applyAlignment="1" applyProtection="1"/>
    <xf numFmtId="43" fontId="4" fillId="15" borderId="1" xfId="1" applyNumberFormat="1" applyFont="1" applyFill="1" applyBorder="1" applyAlignment="1" applyProtection="1"/>
    <xf numFmtId="0" fontId="7" fillId="19" borderId="1" xfId="0" applyFont="1" applyFill="1" applyBorder="1" applyAlignment="1"/>
    <xf numFmtId="0" fontId="0" fillId="19" borderId="1" xfId="0" applyFill="1" applyBorder="1"/>
    <xf numFmtId="15" fontId="7" fillId="19" borderId="1" xfId="0" applyNumberFormat="1" applyFont="1" applyFill="1" applyBorder="1"/>
    <xf numFmtId="43" fontId="6" fillId="20" borderId="1" xfId="1" applyFont="1" applyFill="1" applyBorder="1" applyAlignment="1" applyProtection="1">
      <alignment horizontal="right"/>
    </xf>
    <xf numFmtId="2" fontId="7" fillId="19" borderId="1" xfId="0" applyNumberFormat="1" applyFont="1" applyFill="1" applyBorder="1"/>
    <xf numFmtId="0" fontId="7" fillId="15" borderId="1" xfId="0" applyFont="1" applyFill="1" applyBorder="1" applyAlignment="1">
      <alignment horizontal="left"/>
    </xf>
    <xf numFmtId="0" fontId="0" fillId="15" borderId="1" xfId="0" applyFill="1" applyBorder="1" applyAlignment="1">
      <alignment horizontal="left"/>
    </xf>
    <xf numFmtId="43" fontId="6" fillId="18" borderId="1" xfId="1" applyFont="1" applyFill="1" applyBorder="1" applyAlignment="1" applyProtection="1">
      <alignment horizontal="left" vertical="center"/>
    </xf>
    <xf numFmtId="9" fontId="7" fillId="15" borderId="1" xfId="0" applyNumberFormat="1" applyFont="1" applyFill="1" applyBorder="1" applyAlignment="1">
      <alignment horizontal="left"/>
    </xf>
    <xf numFmtId="164" fontId="0" fillId="16" borderId="0" xfId="0" quotePrefix="1" applyNumberFormat="1" applyFill="1"/>
    <xf numFmtId="164" fontId="4" fillId="16" borderId="2" xfId="1" applyNumberFormat="1" applyFont="1" applyFill="1" applyBorder="1" applyAlignment="1" applyProtection="1"/>
    <xf numFmtId="43" fontId="4" fillId="16" borderId="1" xfId="1" applyNumberFormat="1" applyFont="1" applyFill="1" applyBorder="1" applyAlignment="1" applyProtection="1"/>
    <xf numFmtId="0" fontId="7" fillId="15" borderId="9" xfId="0" applyFont="1" applyFill="1" applyBorder="1" applyAlignment="1">
      <alignment horizontal="left"/>
    </xf>
    <xf numFmtId="0" fontId="0" fillId="0" borderId="2" xfId="0" quotePrefix="1" applyFill="1" applyBorder="1"/>
    <xf numFmtId="164" fontId="4" fillId="0" borderId="2" xfId="1" applyNumberFormat="1" applyFont="1" applyFill="1" applyBorder="1" applyAlignment="1" applyProtection="1"/>
    <xf numFmtId="43" fontId="4" fillId="0" borderId="1" xfId="1" applyNumberFormat="1" applyFont="1" applyFill="1" applyBorder="1" applyAlignment="1" applyProtection="1"/>
    <xf numFmtId="43" fontId="6" fillId="21" borderId="1" xfId="1" applyFont="1" applyFill="1" applyBorder="1" applyAlignment="1" applyProtection="1">
      <alignment horizontal="right" vertical="center"/>
    </xf>
    <xf numFmtId="0" fontId="7" fillId="15" borderId="1" xfId="0" applyNumberFormat="1" applyFont="1" applyFill="1" applyBorder="1" applyAlignment="1">
      <alignment horizontal="left"/>
    </xf>
    <xf numFmtId="49" fontId="2" fillId="3" borderId="10" xfId="0" applyNumberFormat="1" applyFont="1" applyFill="1" applyBorder="1" applyAlignment="1">
      <alignment horizontal="center" vertical="center"/>
    </xf>
    <xf numFmtId="49" fontId="2" fillId="3" borderId="9" xfId="0" applyNumberFormat="1" applyFont="1" applyFill="1" applyBorder="1" applyAlignment="1">
      <alignment horizontal="center" vertical="center"/>
    </xf>
    <xf numFmtId="15" fontId="3" fillId="9" borderId="1" xfId="0" applyNumberFormat="1" applyFont="1" applyFill="1" applyBorder="1"/>
    <xf numFmtId="0" fontId="0" fillId="0" borderId="1" xfId="0" quotePrefix="1" applyBorder="1"/>
    <xf numFmtId="164" fontId="0" fillId="0" borderId="1" xfId="0" quotePrefix="1" applyNumberFormat="1" applyBorder="1"/>
    <xf numFmtId="164" fontId="4" fillId="0" borderId="1" xfId="1" quotePrefix="1" applyNumberFormat="1" applyFont="1" applyBorder="1" applyAlignment="1" applyProtection="1"/>
    <xf numFmtId="43" fontId="6" fillId="4" borderId="1" xfId="1" applyFont="1" applyFill="1" applyBorder="1" applyAlignment="1" applyProtection="1">
      <alignment horizontal="right"/>
    </xf>
    <xf numFmtId="164" fontId="4" fillId="0" borderId="1" xfId="1" applyNumberFormat="1" applyFont="1" applyBorder="1" applyAlignment="1" applyProtection="1"/>
    <xf numFmtId="15" fontId="3" fillId="16" borderId="1" xfId="0" applyNumberFormat="1" applyFont="1" applyFill="1" applyBorder="1"/>
    <xf numFmtId="0" fontId="0" fillId="16" borderId="1" xfId="0" quotePrefix="1" applyFill="1" applyBorder="1"/>
    <xf numFmtId="164" fontId="0" fillId="16" borderId="1" xfId="0" quotePrefix="1" applyNumberFormat="1" applyFill="1" applyBorder="1"/>
    <xf numFmtId="164" fontId="4" fillId="16" borderId="1" xfId="1" applyNumberFormat="1" applyFont="1" applyFill="1" applyBorder="1" applyAlignment="1" applyProtection="1"/>
    <xf numFmtId="43" fontId="6" fillId="7" borderId="1" xfId="1" applyFont="1" applyFill="1" applyBorder="1" applyAlignment="1" applyProtection="1">
      <alignment horizontal="right"/>
    </xf>
    <xf numFmtId="0" fontId="7" fillId="6" borderId="1" xfId="0" applyFont="1" applyFill="1" applyBorder="1" applyAlignment="1"/>
    <xf numFmtId="2" fontId="7" fillId="8" borderId="1" xfId="0" applyNumberFormat="1" applyFont="1" applyFill="1" applyBorder="1"/>
    <xf numFmtId="49" fontId="0" fillId="0" borderId="1" xfId="0" quotePrefix="1" applyNumberFormat="1" applyBorder="1" applyAlignment="1">
      <alignment horizontal="left"/>
    </xf>
    <xf numFmtId="43" fontId="6" fillId="7" borderId="1" xfId="1" applyFont="1" applyFill="1" applyBorder="1" applyAlignment="1" applyProtection="1">
      <alignment horizontal="right" vertical="center"/>
    </xf>
    <xf numFmtId="0" fontId="2" fillId="4" borderId="1" xfId="0" applyFont="1" applyFill="1" applyBorder="1" applyAlignment="1">
      <alignment horizontal="left"/>
    </xf>
    <xf numFmtId="0" fontId="0" fillId="9" borderId="2" xfId="0" applyFill="1" applyBorder="1"/>
    <xf numFmtId="0" fontId="0" fillId="22" borderId="2" xfId="0" applyFill="1" applyBorder="1"/>
    <xf numFmtId="43" fontId="4" fillId="22" borderId="2" xfId="1" applyFont="1" applyFill="1" applyBorder="1" applyAlignment="1" applyProtection="1"/>
    <xf numFmtId="4" fontId="4" fillId="22" borderId="2" xfId="1" applyNumberFormat="1" applyFont="1" applyFill="1" applyBorder="1" applyAlignment="1" applyProtection="1"/>
    <xf numFmtId="43" fontId="4" fillId="9" borderId="2" xfId="1" applyFont="1" applyFill="1" applyBorder="1" applyAlignment="1" applyProtection="1"/>
    <xf numFmtId="4" fontId="4" fillId="9" borderId="2" xfId="1" applyNumberFormat="1" applyFont="1" applyFill="1" applyBorder="1" applyAlignment="1" applyProtection="1"/>
    <xf numFmtId="15" fontId="3" fillId="23" borderId="2" xfId="0" applyNumberFormat="1" applyFont="1" applyFill="1" applyBorder="1"/>
    <xf numFmtId="0" fontId="0" fillId="23" borderId="2" xfId="0" applyFill="1" applyBorder="1"/>
    <xf numFmtId="43" fontId="4" fillId="23" borderId="2" xfId="1" applyFont="1" applyFill="1" applyBorder="1" applyAlignment="1" applyProtection="1"/>
    <xf numFmtId="4" fontId="4" fillId="23" borderId="2" xfId="1" applyNumberFormat="1" applyFont="1" applyFill="1" applyBorder="1" applyAlignment="1" applyProtection="1"/>
    <xf numFmtId="9" fontId="7" fillId="8" borderId="1" xfId="0" applyNumberFormat="1" applyFont="1" applyFill="1" applyBorder="1"/>
    <xf numFmtId="15" fontId="3" fillId="22" borderId="2" xfId="0" applyNumberFormat="1" applyFont="1" applyFill="1" applyBorder="1"/>
    <xf numFmtId="9" fontId="7" fillId="19" borderId="1" xfId="2" applyFont="1" applyFill="1" applyBorder="1"/>
    <xf numFmtId="43" fontId="4" fillId="0" borderId="10" xfId="1" applyFont="1" applyFill="1" applyBorder="1" applyAlignment="1" applyProtection="1"/>
    <xf numFmtId="0" fontId="9" fillId="9" borderId="1" xfId="0" applyFont="1" applyFill="1" applyBorder="1" applyAlignment="1">
      <alignment horizontal="left" vertical="top"/>
    </xf>
    <xf numFmtId="9" fontId="0" fillId="15" borderId="1" xfId="2" applyFont="1" applyFill="1" applyBorder="1" applyAlignment="1">
      <alignment horizontal="left"/>
    </xf>
    <xf numFmtId="0" fontId="0" fillId="15" borderId="1" xfId="2" applyNumberFormat="1" applyFont="1" applyFill="1" applyBorder="1" applyAlignment="1">
      <alignment horizontal="left"/>
    </xf>
    <xf numFmtId="0" fontId="7" fillId="19" borderId="1" xfId="2" applyNumberFormat="1" applyFont="1" applyFill="1" applyBorder="1"/>
    <xf numFmtId="49" fontId="0" fillId="0" borderId="11" xfId="0" quotePrefix="1" applyNumberFormat="1" applyFill="1" applyBorder="1" applyAlignment="1">
      <alignment horizontal="center"/>
    </xf>
    <xf numFmtId="0" fontId="0" fillId="0" borderId="1" xfId="0" applyFill="1" applyBorder="1" applyAlignment="1">
      <alignment horizontal="center" vertical="top"/>
    </xf>
    <xf numFmtId="49" fontId="0" fillId="0" borderId="1" xfId="0" quotePrefix="1" applyNumberFormat="1" applyFill="1" applyBorder="1" applyAlignment="1">
      <alignment horizontal="center" vertical="top"/>
    </xf>
    <xf numFmtId="49" fontId="0" fillId="0" borderId="1" xfId="0" applyNumberFormat="1" applyFill="1" applyBorder="1" applyAlignment="1">
      <alignment horizontal="center" vertical="top"/>
    </xf>
    <xf numFmtId="0" fontId="0" fillId="19" borderId="1" xfId="0" applyFont="1" applyFill="1" applyBorder="1" applyAlignment="1">
      <alignment horizontal="left"/>
    </xf>
    <xf numFmtId="0" fontId="0" fillId="16" borderId="1" xfId="0" applyFont="1" applyFill="1" applyBorder="1" applyAlignment="1">
      <alignment horizontal="left"/>
    </xf>
    <xf numFmtId="0" fontId="7" fillId="16" borderId="1" xfId="0" applyFont="1" applyFill="1" applyBorder="1" applyAlignment="1"/>
    <xf numFmtId="0" fontId="7" fillId="16" borderId="1" xfId="2" applyNumberFormat="1" applyFont="1" applyFill="1" applyBorder="1"/>
    <xf numFmtId="15" fontId="7" fillId="16" borderId="1" xfId="0" applyNumberFormat="1" applyFont="1" applyFill="1" applyBorder="1"/>
    <xf numFmtId="14" fontId="0" fillId="6" borderId="0" xfId="0" quotePrefix="1" applyNumberFormat="1" applyFill="1"/>
    <xf numFmtId="0" fontId="0" fillId="6" borderId="0" xfId="0" quotePrefix="1" applyFill="1"/>
    <xf numFmtId="14" fontId="0" fillId="0" borderId="1" xfId="0" quotePrefix="1" applyNumberFormat="1" applyFill="1" applyBorder="1"/>
    <xf numFmtId="14" fontId="0" fillId="0" borderId="1" xfId="0" quotePrefix="1" applyNumberFormat="1" applyBorder="1"/>
    <xf numFmtId="0" fontId="0" fillId="12" borderId="1" xfId="0" applyFill="1" applyBorder="1" applyAlignment="1">
      <alignment horizontal="center" vertical="top"/>
    </xf>
    <xf numFmtId="49" fontId="0" fillId="12" borderId="1" xfId="0" quotePrefix="1" applyNumberFormat="1" applyFill="1" applyBorder="1" applyAlignment="1">
      <alignment horizontal="center" vertical="top"/>
    </xf>
    <xf numFmtId="49" fontId="0" fillId="12" borderId="1" xfId="0" applyNumberFormat="1" applyFill="1" applyBorder="1" applyAlignment="1">
      <alignment horizontal="center" vertical="top"/>
    </xf>
    <xf numFmtId="14" fontId="0" fillId="12" borderId="1" xfId="0" quotePrefix="1" applyNumberFormat="1" applyFill="1" applyBorder="1"/>
    <xf numFmtId="0" fontId="0" fillId="12" borderId="1" xfId="0" applyFill="1" applyBorder="1"/>
    <xf numFmtId="0" fontId="0" fillId="12" borderId="1" xfId="0" quotePrefix="1" applyFill="1" applyBorder="1"/>
    <xf numFmtId="15" fontId="3" fillId="24" borderId="2" xfId="0" applyNumberFormat="1" applyFont="1" applyFill="1" applyBorder="1"/>
    <xf numFmtId="0" fontId="0" fillId="24" borderId="2" xfId="0" applyFill="1" applyBorder="1"/>
    <xf numFmtId="43" fontId="4" fillId="24" borderId="2" xfId="1" applyFont="1" applyFill="1" applyBorder="1" applyAlignment="1" applyProtection="1"/>
    <xf numFmtId="4" fontId="4" fillId="24" borderId="2" xfId="1" applyNumberFormat="1" applyFont="1" applyFill="1" applyBorder="1" applyAlignment="1" applyProtection="1"/>
    <xf numFmtId="0" fontId="0" fillId="25" borderId="1" xfId="0" applyFill="1" applyBorder="1"/>
    <xf numFmtId="15" fontId="0" fillId="25" borderId="1" xfId="0" applyNumberFormat="1" applyFill="1" applyBorder="1"/>
    <xf numFmtId="0" fontId="0" fillId="25" borderId="0" xfId="0" applyFill="1"/>
    <xf numFmtId="0" fontId="7" fillId="8" borderId="7" xfId="0" applyFont="1" applyFill="1" applyBorder="1"/>
    <xf numFmtId="43" fontId="6" fillId="26" borderId="1" xfId="1" applyFont="1" applyFill="1" applyBorder="1" applyAlignment="1" applyProtection="1">
      <alignment horizontal="right" vertical="center"/>
    </xf>
    <xf numFmtId="15" fontId="3" fillId="25" borderId="2" xfId="0" applyNumberFormat="1" applyFont="1" applyFill="1" applyBorder="1"/>
    <xf numFmtId="0" fontId="0" fillId="25" borderId="2" xfId="0" applyFill="1" applyBorder="1"/>
    <xf numFmtId="43" fontId="4" fillId="25" borderId="2" xfId="1" applyFont="1" applyFill="1" applyBorder="1" applyAlignment="1" applyProtection="1"/>
    <xf numFmtId="4" fontId="4" fillId="25" borderId="2" xfId="1" applyNumberFormat="1" applyFont="1" applyFill="1" applyBorder="1" applyAlignment="1" applyProtection="1"/>
    <xf numFmtId="9" fontId="6" fillId="7" borderId="1" xfId="2" applyFont="1" applyFill="1" applyBorder="1" applyAlignment="1" applyProtection="1">
      <alignment horizontal="right" vertical="center"/>
    </xf>
    <xf numFmtId="9" fontId="6" fillId="11" borderId="1" xfId="2" applyFont="1" applyFill="1" applyBorder="1" applyAlignment="1" applyProtection="1">
      <alignment horizontal="right" vertical="center"/>
    </xf>
    <xf numFmtId="0" fontId="6" fillId="7" borderId="1" xfId="2" applyNumberFormat="1" applyFont="1" applyFill="1" applyBorder="1" applyAlignment="1" applyProtection="1">
      <alignment horizontal="right" vertical="center"/>
    </xf>
    <xf numFmtId="0" fontId="6" fillId="11" borderId="1" xfId="2" applyNumberFormat="1" applyFont="1" applyFill="1" applyBorder="1" applyAlignment="1" applyProtection="1">
      <alignment horizontal="right" vertical="center"/>
    </xf>
    <xf numFmtId="15" fontId="7" fillId="22" borderId="1" xfId="0" applyNumberFormat="1" applyFont="1" applyFill="1" applyBorder="1"/>
    <xf numFmtId="0" fontId="7" fillId="22" borderId="7" xfId="0" applyFont="1" applyFill="1" applyBorder="1"/>
    <xf numFmtId="9" fontId="7" fillId="22" borderId="7" xfId="2" applyFont="1" applyFill="1" applyBorder="1" applyAlignment="1"/>
  </cellXfs>
  <cellStyles count="3">
    <cellStyle name="Comma" xfId="1" builtinId="3"/>
    <cellStyle name="Normal" xfId="0" builtinId="0"/>
    <cellStyle name="Percent" xfId="2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70" Type="http://schemas.openxmlformats.org/officeDocument/2006/relationships/worksheet" Target="worksheets/sheet170.xml"/><Relationship Id="rId191" Type="http://schemas.openxmlformats.org/officeDocument/2006/relationships/worksheet" Target="worksheets/sheet191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181" Type="http://schemas.openxmlformats.org/officeDocument/2006/relationships/worksheet" Target="worksheets/sheet181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71" Type="http://schemas.openxmlformats.org/officeDocument/2006/relationships/worksheet" Target="worksheets/sheet171.xml"/><Relationship Id="rId192" Type="http://schemas.openxmlformats.org/officeDocument/2006/relationships/worksheet" Target="worksheets/sheet192.xml"/><Relationship Id="rId12" Type="http://schemas.openxmlformats.org/officeDocument/2006/relationships/worksheet" Target="worksheets/sheet12.xml"/><Relationship Id="rId33" Type="http://schemas.openxmlformats.org/officeDocument/2006/relationships/worksheet" Target="worksheets/sheet33.xml"/><Relationship Id="rId108" Type="http://schemas.openxmlformats.org/officeDocument/2006/relationships/worksheet" Target="worksheets/sheet108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5" Type="http://schemas.openxmlformats.org/officeDocument/2006/relationships/worksheet" Target="worksheets/sheet75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61" Type="http://schemas.openxmlformats.org/officeDocument/2006/relationships/worksheet" Target="worksheets/sheet161.xml"/><Relationship Id="rId182" Type="http://schemas.openxmlformats.org/officeDocument/2006/relationships/worksheet" Target="worksheets/sheet182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5" Type="http://schemas.openxmlformats.org/officeDocument/2006/relationships/worksheet" Target="worksheets/sheet65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51" Type="http://schemas.openxmlformats.org/officeDocument/2006/relationships/worksheet" Target="worksheets/sheet151.xml"/><Relationship Id="rId172" Type="http://schemas.openxmlformats.org/officeDocument/2006/relationships/worksheet" Target="worksheets/sheet172.xml"/><Relationship Id="rId193" Type="http://schemas.openxmlformats.org/officeDocument/2006/relationships/theme" Target="theme/theme1.xml"/><Relationship Id="rId13" Type="http://schemas.openxmlformats.org/officeDocument/2006/relationships/worksheet" Target="worksheets/sheet13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167" Type="http://schemas.openxmlformats.org/officeDocument/2006/relationships/worksheet" Target="worksheets/sheet167.xml"/><Relationship Id="rId188" Type="http://schemas.openxmlformats.org/officeDocument/2006/relationships/worksheet" Target="worksheets/sheet188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worksheet" Target="worksheets/sheet162.xml"/><Relationship Id="rId183" Type="http://schemas.openxmlformats.org/officeDocument/2006/relationships/worksheet" Target="worksheets/sheet183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178" Type="http://schemas.openxmlformats.org/officeDocument/2006/relationships/worksheet" Target="worksheets/sheet178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73" Type="http://schemas.openxmlformats.org/officeDocument/2006/relationships/worksheet" Target="worksheets/sheet173.xml"/><Relationship Id="rId194" Type="http://schemas.openxmlformats.org/officeDocument/2006/relationships/styles" Target="styles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168" Type="http://schemas.openxmlformats.org/officeDocument/2006/relationships/worksheet" Target="worksheets/sheet16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worksheet" Target="worksheets/sheet163.xml"/><Relationship Id="rId184" Type="http://schemas.openxmlformats.org/officeDocument/2006/relationships/worksheet" Target="worksheets/sheet184.xml"/><Relationship Id="rId189" Type="http://schemas.openxmlformats.org/officeDocument/2006/relationships/worksheet" Target="worksheets/sheet189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74" Type="http://schemas.openxmlformats.org/officeDocument/2006/relationships/worksheet" Target="worksheets/sheet174.xml"/><Relationship Id="rId179" Type="http://schemas.openxmlformats.org/officeDocument/2006/relationships/worksheet" Target="worksheets/sheet179.xml"/><Relationship Id="rId195" Type="http://schemas.openxmlformats.org/officeDocument/2006/relationships/sharedStrings" Target="sharedStrings.xml"/><Relationship Id="rId190" Type="http://schemas.openxmlformats.org/officeDocument/2006/relationships/worksheet" Target="worksheets/sheet190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worksheet" Target="worksheets/sheet164.xml"/><Relationship Id="rId169" Type="http://schemas.openxmlformats.org/officeDocument/2006/relationships/worksheet" Target="worksheets/sheet169.xml"/><Relationship Id="rId185" Type="http://schemas.openxmlformats.org/officeDocument/2006/relationships/worksheet" Target="worksheets/sheet185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80" Type="http://schemas.openxmlformats.org/officeDocument/2006/relationships/worksheet" Target="worksheets/sheet180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75" Type="http://schemas.openxmlformats.org/officeDocument/2006/relationships/worksheet" Target="worksheets/sheet175.xml"/><Relationship Id="rId196" Type="http://schemas.openxmlformats.org/officeDocument/2006/relationships/calcChain" Target="calcChain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worksheet" Target="worksheets/sheet165.xml"/><Relationship Id="rId186" Type="http://schemas.openxmlformats.org/officeDocument/2006/relationships/worksheet" Target="worksheets/sheet186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Relationship Id="rId176" Type="http://schemas.openxmlformats.org/officeDocument/2006/relationships/worksheet" Target="worksheets/sheet176.xml"/><Relationship Id="rId17" Type="http://schemas.openxmlformats.org/officeDocument/2006/relationships/worksheet" Target="worksheets/sheet17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24" Type="http://schemas.openxmlformats.org/officeDocument/2006/relationships/worksheet" Target="worksheets/sheet124.xml"/><Relationship Id="rId70" Type="http://schemas.openxmlformats.org/officeDocument/2006/relationships/worksheet" Target="worksheets/sheet70.xml"/><Relationship Id="rId91" Type="http://schemas.openxmlformats.org/officeDocument/2006/relationships/worksheet" Target="worksheets/sheet91.xml"/><Relationship Id="rId145" Type="http://schemas.openxmlformats.org/officeDocument/2006/relationships/worksheet" Target="worksheets/sheet145.xml"/><Relationship Id="rId166" Type="http://schemas.openxmlformats.org/officeDocument/2006/relationships/worksheet" Target="worksheets/sheet166.xml"/><Relationship Id="rId187" Type="http://schemas.openxmlformats.org/officeDocument/2006/relationships/worksheet" Target="worksheets/sheet187.xml"/><Relationship Id="rId1" Type="http://schemas.openxmlformats.org/officeDocument/2006/relationships/worksheet" Target="worksheets/sheet1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60" Type="http://schemas.openxmlformats.org/officeDocument/2006/relationships/worksheet" Target="worksheets/sheet60.xml"/><Relationship Id="rId81" Type="http://schemas.openxmlformats.org/officeDocument/2006/relationships/worksheet" Target="worksheets/sheet81.xml"/><Relationship Id="rId135" Type="http://schemas.openxmlformats.org/officeDocument/2006/relationships/worksheet" Target="worksheets/sheet135.xml"/><Relationship Id="rId156" Type="http://schemas.openxmlformats.org/officeDocument/2006/relationships/worksheet" Target="worksheets/sheet156.xml"/><Relationship Id="rId177" Type="http://schemas.openxmlformats.org/officeDocument/2006/relationships/worksheet" Target="worksheets/sheet177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6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8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9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0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1.bin"/></Relationships>
</file>

<file path=xl/worksheets/_rels/sheet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2.bin"/></Relationships>
</file>

<file path=xl/worksheets/_rels/sheet8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3.bin"/></Relationships>
</file>

<file path=xl/worksheets/_rels/sheet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4.bin"/></Relationships>
</file>

<file path=xl/worksheets/_rels/sheet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5.bin"/></Relationships>
</file>

<file path=xl/worksheets/_rels/sheet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6.bin"/></Relationships>
</file>

<file path=xl/worksheets/_rels/sheet9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7.bin"/></Relationships>
</file>

<file path=xl/worksheets/_rels/sheet9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8.bin"/></Relationships>
</file>

<file path=xl/worksheets/_rels/sheet9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9.bin"/></Relationships>
</file>

<file path=xl/worksheets/_rels/sheet9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0.bin"/></Relationships>
</file>

<file path=xl/worksheets/_rels/sheet9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1.bin"/></Relationships>
</file>

<file path=xl/worksheets/_rels/sheet10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2.bin"/></Relationships>
</file>

<file path=xl/worksheets/_rels/sheet10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3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4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5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6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7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8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9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0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1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2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3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4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5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6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7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8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9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0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1.bin"/></Relationships>
</file>

<file path=xl/worksheets/_rels/sheet12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2.bin"/></Relationships>
</file>

<file path=xl/worksheets/_rels/sheet12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3.bin"/></Relationships>
</file>

<file path=xl/worksheets/_rels/sheet12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4.bin"/></Relationships>
</file>

<file path=xl/worksheets/_rels/sheet1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5.bin"/></Relationships>
</file>

<file path=xl/worksheets/_rels/sheet1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6.bin"/></Relationships>
</file>

<file path=xl/worksheets/_rels/sheet1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7.bin"/></Relationships>
</file>

<file path=xl/worksheets/_rels/sheet1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8.bin"/></Relationships>
</file>

<file path=xl/worksheets/_rels/sheet1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9.bin"/></Relationships>
</file>

<file path=xl/worksheets/_rels/sheet1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0.bin"/></Relationships>
</file>

<file path=xl/worksheets/_rels/sheet1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1.bin"/></Relationships>
</file>

<file path=xl/worksheets/_rels/sheet1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2.bin"/></Relationships>
</file>

<file path=xl/worksheets/_rels/sheet1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3.bin"/></Relationships>
</file>

<file path=xl/worksheets/_rels/sheet1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4.bin"/></Relationships>
</file>

<file path=xl/worksheets/_rels/sheet1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5.bin"/></Relationships>
</file>

<file path=xl/worksheets/_rels/sheet1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6.bin"/></Relationships>
</file>

<file path=xl/worksheets/_rels/sheet1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7.bin"/></Relationships>
</file>

<file path=xl/worksheets/_rels/sheet1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8.bin"/></Relationships>
</file>

<file path=xl/worksheets/_rels/sheet1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9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4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5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6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7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8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9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0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1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2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3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4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5.bin"/></Relationships>
</file>

<file path=xl/worksheets/_rels/sheet16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6.bin"/></Relationships>
</file>

<file path=xl/worksheets/_rels/sheet16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7.bin"/></Relationships>
</file>

<file path=xl/worksheets/_rels/sheet1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8.bin"/></Relationships>
</file>

<file path=xl/worksheets/_rels/sheet1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9.bin"/></Relationships>
</file>

<file path=xl/worksheets/_rels/sheet1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0.bin"/></Relationships>
</file>

<file path=xl/worksheets/_rels/sheet1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1.bin"/></Relationships>
</file>

<file path=xl/worksheets/_rels/sheet1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2.bin"/></Relationships>
</file>

<file path=xl/worksheets/_rels/sheet1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3.bin"/></Relationships>
</file>

<file path=xl/worksheets/_rels/sheet1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4.bin"/></Relationships>
</file>

<file path=xl/worksheets/_rels/sheet1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5.bin"/></Relationships>
</file>

<file path=xl/worksheets/_rels/sheet1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6.bin"/></Relationships>
</file>

<file path=xl/worksheets/_rels/sheet1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7.bin"/></Relationships>
</file>

<file path=xl/worksheets/_rels/sheet1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8.bin"/></Relationships>
</file>

<file path=xl/worksheets/_rels/sheet1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9.bin"/></Relationships>
</file>

<file path=xl/worksheets/_rels/sheet1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0.bin"/></Relationships>
</file>

<file path=xl/worksheets/_rels/sheet1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1.bin"/></Relationships>
</file>

<file path=xl/worksheets/_rels/sheet18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2.bin"/></Relationships>
</file>

<file path=xl/worksheets/_rels/sheet18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3.bin"/></Relationships>
</file>

<file path=xl/worksheets/_rels/sheet18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4.bin"/></Relationships>
</file>

<file path=xl/worksheets/_rels/sheet18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5.bin"/></Relationships>
</file>

<file path=xl/worksheets/_rels/sheet19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6.bin"/></Relationships>
</file>

<file path=xl/worksheets/_rels/sheet19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06E796-F4AB-4B90-AEBF-E1408C905E51}">
  <sheetPr codeName="Sheet1"/>
  <dimension ref="A1:R3"/>
  <sheetViews>
    <sheetView workbookViewId="0">
      <selection activeCell="R2" sqref="R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76.57031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0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44</v>
      </c>
      <c r="P2" s="20" t="s">
        <v>45</v>
      </c>
      <c r="Q2" s="20" t="s">
        <v>46</v>
      </c>
      <c r="R2" s="9" t="s">
        <v>38</v>
      </c>
    </row>
    <row r="3" spans="1:18" x14ac:dyDescent="0.25">
      <c r="A3" s="12" t="s">
        <v>0</v>
      </c>
      <c r="B3" s="7" t="s">
        <v>9</v>
      </c>
      <c r="C3" s="7" t="s">
        <v>39</v>
      </c>
      <c r="D3" s="8" t="s">
        <v>40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0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44</v>
      </c>
      <c r="P3" s="20" t="s">
        <v>45</v>
      </c>
      <c r="Q3" s="20" t="s">
        <v>46</v>
      </c>
      <c r="R3" s="9" t="s">
        <v>54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CFCE2F-D87D-4C09-9B79-F0DBA3A2FD64}">
  <sheetPr codeName="Sheet2"/>
  <dimension ref="A1:J67"/>
  <sheetViews>
    <sheetView topLeftCell="FP1" zoomScale="97" zoomScaleNormal="100" workbookViewId="0">
      <pane ySplit="3" topLeftCell="A4" activePane="bottomLeft" state="frozen"/>
      <selection activeCell="O2" sqref="O2:Q3"/>
      <selection pane="bottomLeft" activeCell="O2" sqref="O2:Q3"/>
    </sheetView>
  </sheetViews>
  <sheetFormatPr defaultRowHeight="15" x14ac:dyDescent="0.25"/>
  <cols>
    <col min="1" max="1" width="15.28515625" bestFit="1" customWidth="1"/>
    <col min="2" max="2" width="12.42578125" bestFit="1" customWidth="1"/>
    <col min="3" max="3" width="23" bestFit="1" customWidth="1"/>
    <col min="4" max="4" width="17.85546875" bestFit="1" customWidth="1"/>
    <col min="5" max="5" width="31.140625" bestFit="1" customWidth="1"/>
    <col min="6" max="7" width="18.7109375" bestFit="1" customWidth="1"/>
    <col min="8" max="8" width="15.5703125" bestFit="1" customWidth="1"/>
    <col min="9" max="9" width="27.85546875" bestFit="1" customWidth="1"/>
    <col min="10" max="10" width="15.42578125" bestFit="1" customWidth="1"/>
  </cols>
  <sheetData>
    <row r="1" spans="1:10" x14ac:dyDescent="0.25">
      <c r="A1" s="17" t="s">
        <v>33</v>
      </c>
      <c r="B1" s="22">
        <v>41855</v>
      </c>
      <c r="C1" s="15" t="s">
        <v>37</v>
      </c>
      <c r="D1" s="23">
        <f>ROUNDUP(34326798.9648496,0)</f>
        <v>34326799</v>
      </c>
      <c r="E1" s="25" t="s">
        <v>51</v>
      </c>
      <c r="F1" s="24">
        <f>ROUNDUP(34073094.9044647,0)</f>
        <v>34073095</v>
      </c>
      <c r="G1" s="28" t="s">
        <v>52</v>
      </c>
      <c r="H1" s="26">
        <v>42160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41856</v>
      </c>
      <c r="B4" s="1">
        <f>_xlfn.DAYS(A4,B1)</f>
        <v>1</v>
      </c>
      <c r="C4" s="10" t="s">
        <v>28</v>
      </c>
      <c r="D4" s="3" t="s">
        <v>15</v>
      </c>
      <c r="E4" s="19">
        <f>ROUNDUP(F4*$B$2*B4/365,0)</f>
        <v>406850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-0.68493150686845183</v>
      </c>
    </row>
    <row r="5" spans="1:10" x14ac:dyDescent="0.25">
      <c r="A5" s="29">
        <v>41887</v>
      </c>
      <c r="B5" s="1">
        <f>_xlfn.DAYS(A5,A4)</f>
        <v>31</v>
      </c>
      <c r="C5" s="4">
        <f>$D$1</f>
        <v>34326799</v>
      </c>
      <c r="D5" s="2">
        <f t="shared" ref="D5:D40" si="0">C5-E5</f>
        <v>21714470.23</v>
      </c>
      <c r="E5" s="19">
        <f>ROUND(F5*$B$2*B5/365,2)</f>
        <v>12612328.77</v>
      </c>
      <c r="F5" s="2">
        <f>G4</f>
        <v>990000000</v>
      </c>
      <c r="G5" s="2">
        <f>F5-D5</f>
        <v>968285529.76999998</v>
      </c>
      <c r="H5" s="14">
        <f t="shared" ref="H5:H33" si="1">F5*$B$2*B5/365</f>
        <v>12612328.767123288</v>
      </c>
      <c r="I5" s="16">
        <f t="shared" ref="I5:I33" si="2">H5-E5</f>
        <v>-2.8767120093107224E-3</v>
      </c>
    </row>
    <row r="6" spans="1:10" x14ac:dyDescent="0.25">
      <c r="A6" s="29">
        <v>41917</v>
      </c>
      <c r="B6" s="1">
        <f t="shared" ref="B6:B67" si="3">_xlfn.DAYS(A6,A5)</f>
        <v>30</v>
      </c>
      <c r="C6" s="4">
        <f t="shared" ref="C6:C41" si="4">$D$1</f>
        <v>34326799</v>
      </c>
      <c r="D6" s="2">
        <f t="shared" si="0"/>
        <v>22389032.189999998</v>
      </c>
      <c r="E6" s="19">
        <f t="shared" ref="E6:E39" si="5">ROUND(F6*$B$2*B6/365,2)</f>
        <v>11937766.810000001</v>
      </c>
      <c r="F6" s="2">
        <f t="shared" ref="F6:F40" si="6">G5</f>
        <v>968285529.76999998</v>
      </c>
      <c r="G6" s="2">
        <f t="shared" ref="G6:G40" si="7">F6-D6</f>
        <v>945896497.57999992</v>
      </c>
      <c r="H6" s="14">
        <f t="shared" si="1"/>
        <v>11937766.805383561</v>
      </c>
      <c r="I6" s="16">
        <f t="shared" si="2"/>
        <v>-4.6164393424987793E-3</v>
      </c>
    </row>
    <row r="7" spans="1:10" x14ac:dyDescent="0.25">
      <c r="A7" s="29">
        <v>41948</v>
      </c>
      <c r="B7" s="1">
        <f t="shared" si="3"/>
        <v>31</v>
      </c>
      <c r="C7" s="4">
        <f t="shared" si="4"/>
        <v>34326799</v>
      </c>
      <c r="D7" s="2">
        <f t="shared" si="0"/>
        <v>22276336.77</v>
      </c>
      <c r="E7" s="19">
        <f t="shared" si="5"/>
        <v>12050462.23</v>
      </c>
      <c r="F7" s="2">
        <f t="shared" si="6"/>
        <v>945896497.57999992</v>
      </c>
      <c r="G7" s="2">
        <f t="shared" si="7"/>
        <v>923620160.80999994</v>
      </c>
      <c r="H7" s="14">
        <f t="shared" si="1"/>
        <v>12050462.229443835</v>
      </c>
      <c r="I7" s="16">
        <f t="shared" si="2"/>
        <v>-5.5616535246372223E-4</v>
      </c>
    </row>
    <row r="8" spans="1:10" x14ac:dyDescent="0.25">
      <c r="A8" s="29">
        <v>41978</v>
      </c>
      <c r="B8" s="1">
        <f t="shared" si="3"/>
        <v>30</v>
      </c>
      <c r="C8" s="4">
        <f t="shared" si="4"/>
        <v>34326799</v>
      </c>
      <c r="D8" s="2">
        <f t="shared" si="0"/>
        <v>22939701.130000003</v>
      </c>
      <c r="E8" s="19">
        <f t="shared" si="5"/>
        <v>11387097.869999999</v>
      </c>
      <c r="F8" s="2">
        <f t="shared" si="6"/>
        <v>923620160.80999994</v>
      </c>
      <c r="G8" s="2">
        <f t="shared" si="7"/>
        <v>900680459.67999995</v>
      </c>
      <c r="H8" s="14">
        <f t="shared" si="1"/>
        <v>11387097.872999998</v>
      </c>
      <c r="I8" s="16">
        <f t="shared" si="2"/>
        <v>2.9999986290931702E-3</v>
      </c>
    </row>
    <row r="9" spans="1:10" x14ac:dyDescent="0.25">
      <c r="A9" s="29">
        <v>42009</v>
      </c>
      <c r="B9" s="1">
        <f t="shared" si="3"/>
        <v>31</v>
      </c>
      <c r="C9" s="4">
        <f t="shared" si="4"/>
        <v>34326799</v>
      </c>
      <c r="D9" s="2">
        <f t="shared" si="0"/>
        <v>22852376.710000001</v>
      </c>
      <c r="E9" s="19">
        <f t="shared" si="5"/>
        <v>11474422.289999999</v>
      </c>
      <c r="F9" s="2">
        <f t="shared" si="6"/>
        <v>900680459.67999995</v>
      </c>
      <c r="G9" s="2">
        <f t="shared" si="7"/>
        <v>877828082.96999991</v>
      </c>
      <c r="H9" s="14">
        <f t="shared" si="1"/>
        <v>11474422.294553423</v>
      </c>
      <c r="I9" s="16">
        <f t="shared" si="2"/>
        <v>4.5534241944551468E-3</v>
      </c>
    </row>
    <row r="10" spans="1:10" x14ac:dyDescent="0.25">
      <c r="A10" s="29">
        <v>42040</v>
      </c>
      <c r="B10" s="1">
        <f t="shared" si="3"/>
        <v>31</v>
      </c>
      <c r="C10" s="4">
        <f t="shared" si="4"/>
        <v>34326799</v>
      </c>
      <c r="D10" s="2">
        <f t="shared" si="0"/>
        <v>23143509.719999999</v>
      </c>
      <c r="E10" s="19">
        <f t="shared" si="5"/>
        <v>11183289.279999999</v>
      </c>
      <c r="F10" s="2">
        <f t="shared" si="6"/>
        <v>877828082.96999991</v>
      </c>
      <c r="G10" s="2">
        <f t="shared" si="7"/>
        <v>854684573.24999988</v>
      </c>
      <c r="H10" s="14">
        <f t="shared" si="1"/>
        <v>11183289.276193149</v>
      </c>
      <c r="I10" s="16">
        <f t="shared" si="2"/>
        <v>-3.80684994161129E-3</v>
      </c>
    </row>
    <row r="11" spans="1:10" x14ac:dyDescent="0.25">
      <c r="A11" s="29">
        <v>42068</v>
      </c>
      <c r="B11" s="1">
        <f t="shared" si="3"/>
        <v>28</v>
      </c>
      <c r="C11" s="4">
        <f t="shared" si="4"/>
        <v>34326799</v>
      </c>
      <c r="D11" s="2">
        <f t="shared" si="0"/>
        <v>24492072.399999999</v>
      </c>
      <c r="E11" s="19">
        <f t="shared" si="5"/>
        <v>9834726.5999999996</v>
      </c>
      <c r="F11" s="2">
        <f t="shared" si="6"/>
        <v>854684573.24999988</v>
      </c>
      <c r="G11" s="2">
        <f t="shared" si="7"/>
        <v>830192500.8499999</v>
      </c>
      <c r="H11" s="14">
        <f t="shared" si="1"/>
        <v>9834726.5963013694</v>
      </c>
      <c r="I11" s="16">
        <f t="shared" si="2"/>
        <v>-3.6986302584409714E-3</v>
      </c>
    </row>
    <row r="12" spans="1:10" x14ac:dyDescent="0.25">
      <c r="A12" s="29">
        <v>42099</v>
      </c>
      <c r="B12" s="1">
        <f t="shared" si="3"/>
        <v>31</v>
      </c>
      <c r="C12" s="4">
        <f t="shared" si="4"/>
        <v>34326799</v>
      </c>
      <c r="D12" s="2">
        <f t="shared" si="0"/>
        <v>23750373.990000002</v>
      </c>
      <c r="E12" s="19">
        <f t="shared" si="5"/>
        <v>10576425.01</v>
      </c>
      <c r="F12" s="2">
        <f t="shared" si="6"/>
        <v>830192500.8499999</v>
      </c>
      <c r="G12" s="2">
        <f t="shared" si="7"/>
        <v>806442126.8599999</v>
      </c>
      <c r="H12" s="14">
        <f t="shared" si="1"/>
        <v>10576425.010828765</v>
      </c>
      <c r="I12" s="16">
        <f t="shared" si="2"/>
        <v>8.2876533269882202E-4</v>
      </c>
    </row>
    <row r="13" spans="1:10" x14ac:dyDescent="0.25">
      <c r="A13" s="29">
        <v>42129</v>
      </c>
      <c r="B13" s="1">
        <f t="shared" si="3"/>
        <v>30</v>
      </c>
      <c r="C13" s="4">
        <f t="shared" si="4"/>
        <v>34326799</v>
      </c>
      <c r="D13" s="2">
        <f t="shared" si="0"/>
        <v>24384361.82</v>
      </c>
      <c r="E13" s="19">
        <f t="shared" si="5"/>
        <v>9942437.1799999997</v>
      </c>
      <c r="F13" s="2">
        <f t="shared" si="6"/>
        <v>806442126.8599999</v>
      </c>
      <c r="G13" s="2">
        <f t="shared" si="7"/>
        <v>782057765.03999984</v>
      </c>
      <c r="H13" s="14">
        <f t="shared" si="1"/>
        <v>9942437.1804657523</v>
      </c>
      <c r="I13" s="16">
        <f t="shared" si="2"/>
        <v>4.6575255692005157E-4</v>
      </c>
    </row>
    <row r="14" spans="1:10" x14ac:dyDescent="0.25">
      <c r="A14" s="29">
        <v>42160</v>
      </c>
      <c r="B14" s="1">
        <f t="shared" si="3"/>
        <v>31</v>
      </c>
      <c r="C14" s="4">
        <f t="shared" si="4"/>
        <v>34326799</v>
      </c>
      <c r="D14" s="2">
        <f t="shared" si="0"/>
        <v>24363597.34</v>
      </c>
      <c r="E14" s="19">
        <f t="shared" si="5"/>
        <v>9963201.6600000001</v>
      </c>
      <c r="F14" s="2">
        <f t="shared" si="6"/>
        <v>782057765.03999984</v>
      </c>
      <c r="G14" s="2">
        <f t="shared" si="7"/>
        <v>757694167.69999981</v>
      </c>
      <c r="H14" s="14">
        <f t="shared" si="1"/>
        <v>9963201.6642082166</v>
      </c>
      <c r="I14" s="16">
        <f t="shared" si="2"/>
        <v>4.2082164436578751E-3</v>
      </c>
    </row>
    <row r="15" spans="1:10" x14ac:dyDescent="0.25">
      <c r="A15" s="29">
        <v>42190</v>
      </c>
      <c r="B15" s="1">
        <f t="shared" si="3"/>
        <v>30</v>
      </c>
      <c r="C15" s="4">
        <f t="shared" si="4"/>
        <v>34326799</v>
      </c>
      <c r="D15" s="2">
        <f t="shared" si="0"/>
        <v>24985364.060000002</v>
      </c>
      <c r="E15" s="19">
        <f t="shared" si="5"/>
        <v>9341434.9399999995</v>
      </c>
      <c r="F15" s="2">
        <f t="shared" si="6"/>
        <v>757694167.69999981</v>
      </c>
      <c r="G15" s="2">
        <f t="shared" si="7"/>
        <v>732708803.63999987</v>
      </c>
      <c r="H15" s="14">
        <f t="shared" si="1"/>
        <v>9341434.9442465734</v>
      </c>
      <c r="I15" s="16">
        <f t="shared" si="2"/>
        <v>4.2465738952159882E-3</v>
      </c>
    </row>
    <row r="16" spans="1:10" x14ac:dyDescent="0.25">
      <c r="A16" s="29">
        <v>42221</v>
      </c>
      <c r="B16" s="1">
        <f t="shared" si="3"/>
        <v>31</v>
      </c>
      <c r="C16" s="4">
        <f t="shared" si="4"/>
        <v>34326799</v>
      </c>
      <c r="D16" s="2">
        <f t="shared" si="0"/>
        <v>24992289.579999998</v>
      </c>
      <c r="E16" s="19">
        <f t="shared" si="5"/>
        <v>9334509.4199999999</v>
      </c>
      <c r="F16" s="2">
        <f t="shared" si="6"/>
        <v>732708803.63999987</v>
      </c>
      <c r="G16" s="2">
        <f t="shared" si="7"/>
        <v>707716514.05999982</v>
      </c>
      <c r="H16" s="14">
        <f t="shared" si="1"/>
        <v>9334509.4162356146</v>
      </c>
      <c r="I16" s="16">
        <f t="shared" si="2"/>
        <v>-3.7643853574991226E-3</v>
      </c>
    </row>
    <row r="17" spans="1:9" x14ac:dyDescent="0.25">
      <c r="A17" s="29">
        <v>42252</v>
      </c>
      <c r="B17" s="1">
        <f t="shared" si="3"/>
        <v>31</v>
      </c>
      <c r="C17" s="4">
        <f t="shared" si="4"/>
        <v>34326799</v>
      </c>
      <c r="D17" s="2">
        <f t="shared" si="0"/>
        <v>25310684.509999998</v>
      </c>
      <c r="E17" s="19">
        <f t="shared" si="5"/>
        <v>9016114.4900000002</v>
      </c>
      <c r="F17" s="2">
        <f t="shared" si="6"/>
        <v>707716514.05999982</v>
      </c>
      <c r="G17" s="2">
        <f t="shared" si="7"/>
        <v>682405829.54999983</v>
      </c>
      <c r="H17" s="14">
        <f t="shared" si="1"/>
        <v>9016114.494189037</v>
      </c>
      <c r="I17" s="16">
        <f t="shared" si="2"/>
        <v>4.1890367865562439E-3</v>
      </c>
    </row>
    <row r="18" spans="1:9" x14ac:dyDescent="0.25">
      <c r="A18" s="29">
        <v>42282</v>
      </c>
      <c r="B18" s="1">
        <f t="shared" si="3"/>
        <v>30</v>
      </c>
      <c r="C18" s="4">
        <f t="shared" si="4"/>
        <v>34326799</v>
      </c>
      <c r="D18" s="2">
        <f t="shared" si="0"/>
        <v>25913576.439999998</v>
      </c>
      <c r="E18" s="19">
        <f t="shared" si="5"/>
        <v>8413222.5600000005</v>
      </c>
      <c r="F18" s="2">
        <f t="shared" si="6"/>
        <v>682405829.54999983</v>
      </c>
      <c r="G18" s="2">
        <f t="shared" si="7"/>
        <v>656492253.1099999</v>
      </c>
      <c r="H18" s="14">
        <f t="shared" si="1"/>
        <v>8413222.5560958888</v>
      </c>
      <c r="I18" s="16">
        <f t="shared" si="2"/>
        <v>-3.9041116833686829E-3</v>
      </c>
    </row>
    <row r="19" spans="1:9" x14ac:dyDescent="0.25">
      <c r="A19" s="29">
        <v>42313</v>
      </c>
      <c r="B19" s="1">
        <f t="shared" si="3"/>
        <v>31</v>
      </c>
      <c r="C19" s="4">
        <f t="shared" si="4"/>
        <v>34326799</v>
      </c>
      <c r="D19" s="2">
        <f t="shared" si="0"/>
        <v>25963267.559999999</v>
      </c>
      <c r="E19" s="19">
        <f t="shared" si="5"/>
        <v>8363531.4400000004</v>
      </c>
      <c r="F19" s="2">
        <f t="shared" si="6"/>
        <v>656492253.1099999</v>
      </c>
      <c r="G19" s="2">
        <f t="shared" si="7"/>
        <v>630528985.54999995</v>
      </c>
      <c r="H19" s="14">
        <f t="shared" si="1"/>
        <v>8363531.4437301364</v>
      </c>
      <c r="I19" s="16">
        <f t="shared" si="2"/>
        <v>3.7301359698176384E-3</v>
      </c>
    </row>
    <row r="20" spans="1:9" x14ac:dyDescent="0.25">
      <c r="A20" s="29">
        <v>42343</v>
      </c>
      <c r="B20" s="1">
        <f t="shared" si="3"/>
        <v>30</v>
      </c>
      <c r="C20" s="4">
        <f t="shared" si="4"/>
        <v>34326799</v>
      </c>
      <c r="D20" s="2">
        <f t="shared" si="0"/>
        <v>26553153.969999999</v>
      </c>
      <c r="E20" s="19">
        <f t="shared" si="5"/>
        <v>7773645.0300000003</v>
      </c>
      <c r="F20" s="2">
        <f t="shared" si="6"/>
        <v>630528985.54999995</v>
      </c>
      <c r="G20" s="2">
        <f t="shared" si="7"/>
        <v>603975831.57999992</v>
      </c>
      <c r="H20" s="14">
        <f t="shared" si="1"/>
        <v>7773645.0273287669</v>
      </c>
      <c r="I20" s="16">
        <f t="shared" si="2"/>
        <v>-2.6712333783507347E-3</v>
      </c>
    </row>
    <row r="21" spans="1:9" x14ac:dyDescent="0.25">
      <c r="A21" s="29">
        <v>42374</v>
      </c>
      <c r="B21" s="1">
        <f t="shared" si="3"/>
        <v>31</v>
      </c>
      <c r="C21" s="4">
        <f t="shared" si="4"/>
        <v>34326799</v>
      </c>
      <c r="D21" s="2">
        <f t="shared" si="0"/>
        <v>26632312.379999999</v>
      </c>
      <c r="E21" s="19">
        <f t="shared" si="5"/>
        <v>7694486.6200000001</v>
      </c>
      <c r="F21" s="2">
        <f t="shared" si="6"/>
        <v>603975831.57999992</v>
      </c>
      <c r="G21" s="2">
        <f t="shared" si="7"/>
        <v>577343519.19999993</v>
      </c>
      <c r="H21" s="14">
        <f t="shared" si="1"/>
        <v>7694486.6214986295</v>
      </c>
      <c r="I21" s="16">
        <f t="shared" si="2"/>
        <v>1.4986293390393257E-3</v>
      </c>
    </row>
    <row r="22" spans="1:9" x14ac:dyDescent="0.25">
      <c r="A22" s="29">
        <v>42405</v>
      </c>
      <c r="B22" s="1">
        <f t="shared" si="3"/>
        <v>31</v>
      </c>
      <c r="C22" s="4">
        <f t="shared" si="4"/>
        <v>34326799</v>
      </c>
      <c r="D22" s="2">
        <f t="shared" si="0"/>
        <v>26971600.740000002</v>
      </c>
      <c r="E22" s="19">
        <f t="shared" si="5"/>
        <v>7355198.2599999998</v>
      </c>
      <c r="F22" s="2">
        <f t="shared" si="6"/>
        <v>577343519.19999993</v>
      </c>
      <c r="G22" s="2">
        <f t="shared" si="7"/>
        <v>550371918.45999992</v>
      </c>
      <c r="H22" s="14">
        <f t="shared" si="1"/>
        <v>7355198.258301368</v>
      </c>
      <c r="I22" s="16">
        <f t="shared" si="2"/>
        <v>-1.6986317932605743E-3</v>
      </c>
    </row>
    <row r="23" spans="1:9" x14ac:dyDescent="0.25">
      <c r="A23" s="29">
        <v>42434</v>
      </c>
      <c r="B23" s="1">
        <f t="shared" si="3"/>
        <v>29</v>
      </c>
      <c r="C23" s="4">
        <f t="shared" si="4"/>
        <v>34326799</v>
      </c>
      <c r="D23" s="2">
        <f t="shared" si="0"/>
        <v>27767572.030000001</v>
      </c>
      <c r="E23" s="19">
        <f t="shared" si="5"/>
        <v>6559226.9699999997</v>
      </c>
      <c r="F23" s="2">
        <f t="shared" si="6"/>
        <v>550371918.45999992</v>
      </c>
      <c r="G23" s="2">
        <f t="shared" si="7"/>
        <v>522604346.42999995</v>
      </c>
      <c r="H23" s="14">
        <f t="shared" si="1"/>
        <v>6559226.9734273953</v>
      </c>
      <c r="I23" s="16">
        <f t="shared" si="2"/>
        <v>3.4273955971002579E-3</v>
      </c>
    </row>
    <row r="24" spans="1:9" x14ac:dyDescent="0.25">
      <c r="A24" s="29">
        <v>42465</v>
      </c>
      <c r="B24" s="1">
        <f t="shared" si="3"/>
        <v>31</v>
      </c>
      <c r="C24" s="4">
        <f t="shared" si="4"/>
        <v>34326799</v>
      </c>
      <c r="D24" s="2">
        <f t="shared" si="0"/>
        <v>27668962.809999999</v>
      </c>
      <c r="E24" s="19">
        <f t="shared" si="5"/>
        <v>6657836.1900000004</v>
      </c>
      <c r="F24" s="2">
        <f t="shared" si="6"/>
        <v>522604346.42999995</v>
      </c>
      <c r="G24" s="2">
        <f t="shared" si="7"/>
        <v>494935383.61999995</v>
      </c>
      <c r="H24" s="14">
        <f t="shared" si="1"/>
        <v>6657836.1942452053</v>
      </c>
      <c r="I24" s="16">
        <f t="shared" si="2"/>
        <v>4.2452048510313034E-3</v>
      </c>
    </row>
    <row r="25" spans="1:9" x14ac:dyDescent="0.25">
      <c r="A25" s="29">
        <v>42495</v>
      </c>
      <c r="B25" s="1">
        <f t="shared" si="3"/>
        <v>30</v>
      </c>
      <c r="C25" s="4">
        <f t="shared" si="4"/>
        <v>34326799</v>
      </c>
      <c r="D25" s="2">
        <f t="shared" si="0"/>
        <v>28224855.91</v>
      </c>
      <c r="E25" s="19">
        <f t="shared" si="5"/>
        <v>6101943.0899999999</v>
      </c>
      <c r="F25" s="2">
        <f t="shared" si="6"/>
        <v>494935383.61999995</v>
      </c>
      <c r="G25" s="2">
        <f t="shared" si="7"/>
        <v>466710527.70999992</v>
      </c>
      <c r="H25" s="14">
        <f t="shared" si="1"/>
        <v>6101943.0857260264</v>
      </c>
      <c r="I25" s="16">
        <f t="shared" si="2"/>
        <v>-4.2739734053611755E-3</v>
      </c>
    </row>
    <row r="26" spans="1:9" x14ac:dyDescent="0.25">
      <c r="A26" s="29">
        <v>42526</v>
      </c>
      <c r="B26" s="1">
        <f t="shared" si="3"/>
        <v>31</v>
      </c>
      <c r="C26" s="4">
        <f t="shared" si="4"/>
        <v>34326799</v>
      </c>
      <c r="D26" s="2">
        <f t="shared" si="0"/>
        <v>28381034.740000002</v>
      </c>
      <c r="E26" s="19">
        <f t="shared" si="5"/>
        <v>5945764.2599999998</v>
      </c>
      <c r="F26" s="2">
        <f t="shared" si="6"/>
        <v>466710527.70999992</v>
      </c>
      <c r="G26" s="2">
        <f t="shared" si="7"/>
        <v>438329492.96999991</v>
      </c>
      <c r="H26" s="14">
        <f t="shared" si="1"/>
        <v>5945764.2571273958</v>
      </c>
      <c r="I26" s="16">
        <f t="shared" si="2"/>
        <v>-2.8726039454340935E-3</v>
      </c>
    </row>
    <row r="27" spans="1:9" x14ac:dyDescent="0.25">
      <c r="A27" s="29">
        <v>42556</v>
      </c>
      <c r="B27" s="1">
        <f t="shared" si="3"/>
        <v>30</v>
      </c>
      <c r="C27" s="4">
        <f t="shared" si="4"/>
        <v>34326799</v>
      </c>
      <c r="D27" s="2">
        <f t="shared" si="0"/>
        <v>28922736.759999998</v>
      </c>
      <c r="E27" s="19">
        <f t="shared" si="5"/>
        <v>5404062.2400000002</v>
      </c>
      <c r="F27" s="2">
        <f t="shared" si="6"/>
        <v>438329492.96999991</v>
      </c>
      <c r="G27" s="2">
        <f t="shared" si="7"/>
        <v>409406756.20999992</v>
      </c>
      <c r="H27" s="14">
        <f t="shared" si="1"/>
        <v>5404062.2420958895</v>
      </c>
      <c r="I27" s="16">
        <f t="shared" si="2"/>
        <v>2.0958893001079559E-3</v>
      </c>
    </row>
    <row r="28" spans="1:9" x14ac:dyDescent="0.25">
      <c r="A28" s="29">
        <v>42587</v>
      </c>
      <c r="B28" s="1">
        <f t="shared" si="3"/>
        <v>31</v>
      </c>
      <c r="C28" s="4">
        <f t="shared" si="4"/>
        <v>34326799</v>
      </c>
      <c r="D28" s="2">
        <f t="shared" si="0"/>
        <v>29111069.09</v>
      </c>
      <c r="E28" s="19">
        <f t="shared" si="5"/>
        <v>5215729.91</v>
      </c>
      <c r="F28" s="2">
        <f t="shared" si="6"/>
        <v>409406756.20999992</v>
      </c>
      <c r="G28" s="2">
        <f t="shared" si="7"/>
        <v>380295687.11999995</v>
      </c>
      <c r="H28" s="14">
        <f t="shared" si="1"/>
        <v>5215729.9078808213</v>
      </c>
      <c r="I28" s="16">
        <f t="shared" si="2"/>
        <v>-2.1191788837313652E-3</v>
      </c>
    </row>
    <row r="29" spans="1:9" x14ac:dyDescent="0.25">
      <c r="A29" s="29">
        <v>42618</v>
      </c>
      <c r="B29" s="1">
        <f t="shared" si="3"/>
        <v>31</v>
      </c>
      <c r="C29" s="4">
        <f t="shared" si="4"/>
        <v>34326799</v>
      </c>
      <c r="D29" s="2">
        <f t="shared" si="0"/>
        <v>29481936.140000001</v>
      </c>
      <c r="E29" s="19">
        <f t="shared" si="5"/>
        <v>4844862.8600000003</v>
      </c>
      <c r="F29" s="2">
        <f t="shared" si="6"/>
        <v>380295687.11999995</v>
      </c>
      <c r="G29" s="2">
        <f t="shared" si="7"/>
        <v>350813750.97999996</v>
      </c>
      <c r="H29" s="14">
        <f t="shared" si="1"/>
        <v>4844862.8633095883</v>
      </c>
      <c r="I29" s="16">
        <f t="shared" si="2"/>
        <v>3.3095879480242729E-3</v>
      </c>
    </row>
    <row r="30" spans="1:9" x14ac:dyDescent="0.25">
      <c r="A30" s="29">
        <v>42648</v>
      </c>
      <c r="B30" s="1">
        <f t="shared" si="3"/>
        <v>30</v>
      </c>
      <c r="C30" s="4">
        <f t="shared" si="4"/>
        <v>34326799</v>
      </c>
      <c r="D30" s="2">
        <f t="shared" si="0"/>
        <v>30001697.960000001</v>
      </c>
      <c r="E30" s="19">
        <f t="shared" si="5"/>
        <v>4325101.04</v>
      </c>
      <c r="F30" s="2">
        <f t="shared" si="6"/>
        <v>350813750.97999996</v>
      </c>
      <c r="G30" s="2">
        <f t="shared" si="7"/>
        <v>320812053.01999998</v>
      </c>
      <c r="H30" s="14">
        <f t="shared" si="1"/>
        <v>4325101.0394794513</v>
      </c>
      <c r="I30" s="16">
        <f t="shared" si="2"/>
        <v>-5.2054878324270248E-4</v>
      </c>
    </row>
    <row r="31" spans="1:9" x14ac:dyDescent="0.25">
      <c r="A31" s="29">
        <v>42679</v>
      </c>
      <c r="B31" s="1">
        <f t="shared" si="3"/>
        <v>31</v>
      </c>
      <c r="C31" s="4">
        <f t="shared" si="4"/>
        <v>34326799</v>
      </c>
      <c r="D31" s="2">
        <f t="shared" si="0"/>
        <v>30239741.34</v>
      </c>
      <c r="E31" s="19">
        <f t="shared" si="5"/>
        <v>4087057.66</v>
      </c>
      <c r="F31" s="2">
        <f t="shared" si="6"/>
        <v>320812053.01999998</v>
      </c>
      <c r="G31" s="2">
        <f t="shared" si="7"/>
        <v>290572311.68000001</v>
      </c>
      <c r="H31" s="14">
        <f t="shared" si="1"/>
        <v>4087057.6617616434</v>
      </c>
      <c r="I31" s="16">
        <f t="shared" si="2"/>
        <v>1.7616432160139084E-3</v>
      </c>
    </row>
    <row r="32" spans="1:9" x14ac:dyDescent="0.25">
      <c r="A32" s="29">
        <v>42709</v>
      </c>
      <c r="B32" s="1">
        <f t="shared" si="3"/>
        <v>30</v>
      </c>
      <c r="C32" s="4">
        <f t="shared" si="4"/>
        <v>34326799</v>
      </c>
      <c r="D32" s="2">
        <f t="shared" si="0"/>
        <v>30744400.640000001</v>
      </c>
      <c r="E32" s="19">
        <f t="shared" si="5"/>
        <v>3582398.36</v>
      </c>
      <c r="F32" s="2">
        <f t="shared" si="6"/>
        <v>290572311.68000001</v>
      </c>
      <c r="G32" s="2">
        <f t="shared" si="7"/>
        <v>259827911.04000002</v>
      </c>
      <c r="H32" s="14">
        <f t="shared" si="1"/>
        <v>3582398.3631780818</v>
      </c>
      <c r="I32" s="16">
        <f t="shared" si="2"/>
        <v>3.1780819408595562E-3</v>
      </c>
    </row>
    <row r="33" spans="1:9" x14ac:dyDescent="0.25">
      <c r="A33" s="29">
        <v>42740</v>
      </c>
      <c r="B33" s="1">
        <f t="shared" si="3"/>
        <v>31</v>
      </c>
      <c r="C33" s="4">
        <f t="shared" si="4"/>
        <v>34326799</v>
      </c>
      <c r="D33" s="2">
        <f t="shared" si="0"/>
        <v>31016662.600000001</v>
      </c>
      <c r="E33" s="19">
        <f t="shared" si="5"/>
        <v>3310136.4</v>
      </c>
      <c r="F33" s="2">
        <f t="shared" si="6"/>
        <v>259827911.04000002</v>
      </c>
      <c r="G33" s="2">
        <f t="shared" si="7"/>
        <v>228811248.44000003</v>
      </c>
      <c r="H33" s="14">
        <f t="shared" si="1"/>
        <v>3310136.4009205485</v>
      </c>
      <c r="I33" s="16">
        <f t="shared" si="2"/>
        <v>9.2054856941103935E-4</v>
      </c>
    </row>
    <row r="34" spans="1:9" x14ac:dyDescent="0.25">
      <c r="A34" s="29">
        <v>42771</v>
      </c>
      <c r="B34" s="1">
        <f t="shared" si="3"/>
        <v>31</v>
      </c>
      <c r="C34" s="4">
        <f t="shared" si="4"/>
        <v>34326799</v>
      </c>
      <c r="D34" s="2">
        <f t="shared" si="0"/>
        <v>31411806.379999999</v>
      </c>
      <c r="E34" s="19">
        <f t="shared" si="5"/>
        <v>2914992.62</v>
      </c>
      <c r="F34" s="2">
        <f t="shared" si="6"/>
        <v>228811248.44000003</v>
      </c>
      <c r="G34" s="2">
        <f t="shared" si="7"/>
        <v>197399442.06000003</v>
      </c>
      <c r="H34" s="14"/>
      <c r="I34" s="16"/>
    </row>
    <row r="35" spans="1:9" x14ac:dyDescent="0.25">
      <c r="A35" s="29">
        <v>42799</v>
      </c>
      <c r="B35" s="1">
        <f t="shared" si="3"/>
        <v>28</v>
      </c>
      <c r="C35" s="4">
        <f t="shared" si="4"/>
        <v>34326799</v>
      </c>
      <c r="D35" s="2">
        <f t="shared" si="0"/>
        <v>32055353.370000001</v>
      </c>
      <c r="E35" s="19">
        <f t="shared" si="5"/>
        <v>2271445.63</v>
      </c>
      <c r="F35" s="2">
        <f t="shared" si="6"/>
        <v>197399442.06000003</v>
      </c>
      <c r="G35" s="2">
        <f t="shared" si="7"/>
        <v>165344088.69000003</v>
      </c>
      <c r="H35" s="14"/>
      <c r="I35" s="16"/>
    </row>
    <row r="36" spans="1:9" x14ac:dyDescent="0.25">
      <c r="A36" s="29">
        <v>42830</v>
      </c>
      <c r="B36" s="1">
        <f t="shared" si="3"/>
        <v>31</v>
      </c>
      <c r="C36" s="4">
        <f t="shared" si="4"/>
        <v>34326799</v>
      </c>
      <c r="D36" s="2">
        <f t="shared" si="0"/>
        <v>32220360.609999999</v>
      </c>
      <c r="E36" s="19">
        <f t="shared" si="5"/>
        <v>2106438.39</v>
      </c>
      <c r="F36" s="2">
        <f t="shared" si="6"/>
        <v>165344088.69000003</v>
      </c>
      <c r="G36" s="2">
        <f t="shared" si="7"/>
        <v>133123728.08000003</v>
      </c>
      <c r="H36" s="14"/>
      <c r="I36" s="16"/>
    </row>
    <row r="37" spans="1:9" x14ac:dyDescent="0.25">
      <c r="A37" s="29">
        <v>42860</v>
      </c>
      <c r="B37" s="1">
        <f t="shared" si="3"/>
        <v>30</v>
      </c>
      <c r="C37" s="4">
        <f t="shared" si="4"/>
        <v>34326799</v>
      </c>
      <c r="D37" s="2">
        <f t="shared" si="0"/>
        <v>32685547.559999999</v>
      </c>
      <c r="E37" s="19">
        <f t="shared" si="5"/>
        <v>1641251.44</v>
      </c>
      <c r="F37" s="2">
        <f t="shared" si="6"/>
        <v>133123728.08000003</v>
      </c>
      <c r="G37" s="2">
        <f t="shared" si="7"/>
        <v>100438180.52000003</v>
      </c>
      <c r="H37" s="14"/>
      <c r="I37" s="16"/>
    </row>
    <row r="38" spans="1:9" x14ac:dyDescent="0.25">
      <c r="A38" s="29">
        <v>42891</v>
      </c>
      <c r="B38" s="1">
        <f t="shared" si="3"/>
        <v>31</v>
      </c>
      <c r="C38" s="4">
        <f t="shared" si="4"/>
        <v>34326799</v>
      </c>
      <c r="D38" s="2">
        <f t="shared" si="0"/>
        <v>33047244.100000001</v>
      </c>
      <c r="E38" s="19">
        <f t="shared" si="5"/>
        <v>1279554.8999999999</v>
      </c>
      <c r="F38" s="2">
        <f t="shared" si="6"/>
        <v>100438180.52000003</v>
      </c>
      <c r="G38" s="2">
        <f t="shared" si="7"/>
        <v>67390936.420000017</v>
      </c>
      <c r="H38" s="14"/>
      <c r="I38" s="16"/>
    </row>
    <row r="39" spans="1:9" x14ac:dyDescent="0.25">
      <c r="A39" s="29">
        <v>42921</v>
      </c>
      <c r="B39" s="1">
        <f t="shared" si="3"/>
        <v>30</v>
      </c>
      <c r="C39" s="4">
        <f t="shared" si="4"/>
        <v>34326799</v>
      </c>
      <c r="D39" s="2">
        <f t="shared" si="0"/>
        <v>33495951.84</v>
      </c>
      <c r="E39" s="19">
        <f t="shared" si="5"/>
        <v>830847.16</v>
      </c>
      <c r="F39" s="2">
        <f t="shared" si="6"/>
        <v>67390936.420000017</v>
      </c>
      <c r="G39" s="2">
        <f t="shared" si="7"/>
        <v>33894984.580000013</v>
      </c>
      <c r="H39" s="14"/>
      <c r="I39" s="16"/>
    </row>
    <row r="40" spans="1:9" x14ac:dyDescent="0.25">
      <c r="A40" s="29">
        <v>42952</v>
      </c>
      <c r="B40" s="1">
        <f t="shared" si="3"/>
        <v>31</v>
      </c>
      <c r="C40" s="4">
        <f t="shared" si="4"/>
        <v>34326799</v>
      </c>
      <c r="D40" s="2">
        <f t="shared" si="0"/>
        <v>33894984.580000013</v>
      </c>
      <c r="E40" s="19">
        <v>431814.4199999866</v>
      </c>
      <c r="F40" s="2">
        <f t="shared" si="6"/>
        <v>33894984.580000013</v>
      </c>
      <c r="G40" s="2">
        <f t="shared" si="7"/>
        <v>0</v>
      </c>
      <c r="H40" s="14"/>
      <c r="I40" s="16"/>
    </row>
    <row r="41" spans="1:9" x14ac:dyDescent="0.25">
      <c r="A41" s="21">
        <v>42160</v>
      </c>
      <c r="B41" s="1" t="s">
        <v>50</v>
      </c>
      <c r="C41" s="4">
        <f t="shared" si="4"/>
        <v>34326799</v>
      </c>
      <c r="D41" s="2">
        <f t="shared" ref="D41" si="8">C41-E41</f>
        <v>24363597.34</v>
      </c>
      <c r="E41" s="19">
        <f>ROUND(F14*$B$2*B14/365,2)</f>
        <v>9963201.6600000001</v>
      </c>
      <c r="F41" s="2">
        <f>G13</f>
        <v>782057765.03999984</v>
      </c>
      <c r="G41" s="2">
        <f>F14-D14</f>
        <v>757694167.69999981</v>
      </c>
      <c r="H41" s="14"/>
      <c r="I41" s="16"/>
    </row>
    <row r="42" spans="1:9" x14ac:dyDescent="0.25">
      <c r="A42" s="21">
        <v>42190</v>
      </c>
      <c r="B42" s="1">
        <f t="shared" si="3"/>
        <v>30</v>
      </c>
      <c r="C42" s="4">
        <f>$F$1</f>
        <v>34073095</v>
      </c>
      <c r="D42" s="2">
        <f t="shared" ref="D42" si="9">C42-E42</f>
        <v>24800701.149999999</v>
      </c>
      <c r="E42" s="19">
        <f>ROUND(F42*$B$2*B42/365,2)</f>
        <v>9272393.8499999996</v>
      </c>
      <c r="F42" s="2">
        <f>G14-J1</f>
        <v>752094167.69999981</v>
      </c>
      <c r="G42" s="2">
        <f>F42-D42</f>
        <v>727293466.54999983</v>
      </c>
      <c r="H42" s="14"/>
      <c r="I42" s="16"/>
    </row>
    <row r="43" spans="1:9" x14ac:dyDescent="0.25">
      <c r="A43" s="21">
        <v>42221</v>
      </c>
      <c r="B43" s="1">
        <f t="shared" si="3"/>
        <v>31</v>
      </c>
      <c r="C43" s="4">
        <f t="shared" ref="C43:C67" si="10">$F$1</f>
        <v>34073095</v>
      </c>
      <c r="D43" s="2">
        <f t="shared" ref="D43:D67" si="11">C43-E43</f>
        <v>24807575.490000002</v>
      </c>
      <c r="E43" s="19">
        <f t="shared" ref="E43:E66" si="12">ROUND(F43*$B$2*B43/365,2)</f>
        <v>9265519.5099999998</v>
      </c>
      <c r="F43" s="2">
        <f>G42</f>
        <v>727293466.54999983</v>
      </c>
      <c r="G43" s="2">
        <f t="shared" ref="G43:G67" si="13">F43-D43</f>
        <v>702485891.05999982</v>
      </c>
      <c r="H43" s="14"/>
      <c r="I43" s="16"/>
    </row>
    <row r="44" spans="1:9" x14ac:dyDescent="0.25">
      <c r="A44" s="21">
        <v>42252</v>
      </c>
      <c r="B44" s="1">
        <f t="shared" si="3"/>
        <v>31</v>
      </c>
      <c r="C44" s="4">
        <f t="shared" si="10"/>
        <v>34073095</v>
      </c>
      <c r="D44" s="2">
        <f t="shared" si="11"/>
        <v>25123617.210000001</v>
      </c>
      <c r="E44" s="19">
        <f t="shared" si="12"/>
        <v>8949477.7899999991</v>
      </c>
      <c r="F44" s="2">
        <f t="shared" ref="F44:F67" si="14">G43</f>
        <v>702485891.05999982</v>
      </c>
      <c r="G44" s="2">
        <f t="shared" si="13"/>
        <v>677362273.84999979</v>
      </c>
      <c r="H44" s="14"/>
      <c r="I44" s="16"/>
    </row>
    <row r="45" spans="1:9" x14ac:dyDescent="0.25">
      <c r="A45" s="21">
        <v>42282</v>
      </c>
      <c r="B45" s="1">
        <f t="shared" si="3"/>
        <v>30</v>
      </c>
      <c r="C45" s="4">
        <f t="shared" si="10"/>
        <v>34073095</v>
      </c>
      <c r="D45" s="2">
        <f t="shared" si="11"/>
        <v>25722053.27</v>
      </c>
      <c r="E45" s="19">
        <f t="shared" si="12"/>
        <v>8351041.7300000004</v>
      </c>
      <c r="F45" s="2">
        <f t="shared" si="14"/>
        <v>677362273.84999979</v>
      </c>
      <c r="G45" s="2">
        <f t="shared" si="13"/>
        <v>651640220.5799998</v>
      </c>
      <c r="H45" s="14"/>
      <c r="I45" s="16"/>
    </row>
    <row r="46" spans="1:9" x14ac:dyDescent="0.25">
      <c r="A46" s="21">
        <v>42313</v>
      </c>
      <c r="B46" s="1">
        <f t="shared" si="3"/>
        <v>31</v>
      </c>
      <c r="C46" s="4">
        <f t="shared" si="10"/>
        <v>34073095</v>
      </c>
      <c r="D46" s="2">
        <f t="shared" si="11"/>
        <v>25771377.120000001</v>
      </c>
      <c r="E46" s="19">
        <f t="shared" si="12"/>
        <v>8301717.8799999999</v>
      </c>
      <c r="F46" s="2">
        <f t="shared" si="14"/>
        <v>651640220.5799998</v>
      </c>
      <c r="G46" s="2">
        <f t="shared" si="13"/>
        <v>625868843.4599998</v>
      </c>
      <c r="H46" s="14"/>
      <c r="I46" s="16"/>
    </row>
    <row r="47" spans="1:9" x14ac:dyDescent="0.25">
      <c r="A47" s="21">
        <v>42343</v>
      </c>
      <c r="B47" s="1">
        <f t="shared" si="3"/>
        <v>30</v>
      </c>
      <c r="C47" s="4">
        <f t="shared" si="10"/>
        <v>34073095</v>
      </c>
      <c r="D47" s="2">
        <f t="shared" si="11"/>
        <v>26356903.780000001</v>
      </c>
      <c r="E47" s="19">
        <f t="shared" si="12"/>
        <v>7716191.2199999997</v>
      </c>
      <c r="F47" s="2">
        <f t="shared" si="14"/>
        <v>625868843.4599998</v>
      </c>
      <c r="G47" s="2">
        <f t="shared" si="13"/>
        <v>599511939.67999983</v>
      </c>
      <c r="H47" s="14"/>
      <c r="I47" s="16"/>
    </row>
    <row r="48" spans="1:9" x14ac:dyDescent="0.25">
      <c r="A48" s="21">
        <v>42374</v>
      </c>
      <c r="B48" s="1">
        <f t="shared" si="3"/>
        <v>31</v>
      </c>
      <c r="C48" s="4">
        <f t="shared" si="10"/>
        <v>34073095</v>
      </c>
      <c r="D48" s="2">
        <f t="shared" si="11"/>
        <v>26435477.140000001</v>
      </c>
      <c r="E48" s="19">
        <f t="shared" si="12"/>
        <v>7637617.8600000003</v>
      </c>
      <c r="F48" s="2">
        <f t="shared" si="14"/>
        <v>599511939.67999983</v>
      </c>
      <c r="G48" s="2">
        <f t="shared" si="13"/>
        <v>573076462.53999984</v>
      </c>
      <c r="H48" s="14"/>
      <c r="I48" s="16"/>
    </row>
    <row r="49" spans="1:9" x14ac:dyDescent="0.25">
      <c r="A49" s="21">
        <v>42405</v>
      </c>
      <c r="B49" s="1">
        <f t="shared" si="3"/>
        <v>31</v>
      </c>
      <c r="C49" s="4">
        <f t="shared" si="10"/>
        <v>34073095</v>
      </c>
      <c r="D49" s="2">
        <f t="shared" si="11"/>
        <v>26772257.870000001</v>
      </c>
      <c r="E49" s="19">
        <f t="shared" si="12"/>
        <v>7300837.1299999999</v>
      </c>
      <c r="F49" s="2">
        <f t="shared" si="14"/>
        <v>573076462.53999984</v>
      </c>
      <c r="G49" s="2">
        <f t="shared" si="13"/>
        <v>546304204.66999984</v>
      </c>
      <c r="H49" s="14"/>
      <c r="I49" s="16"/>
    </row>
    <row r="50" spans="1:9" x14ac:dyDescent="0.25">
      <c r="A50" s="21">
        <v>42434</v>
      </c>
      <c r="B50" s="1">
        <f t="shared" si="3"/>
        <v>29</v>
      </c>
      <c r="C50" s="4">
        <f t="shared" si="10"/>
        <v>34073095</v>
      </c>
      <c r="D50" s="2">
        <f t="shared" si="11"/>
        <v>27562346.259999998</v>
      </c>
      <c r="E50" s="19">
        <f t="shared" si="12"/>
        <v>6510748.7400000002</v>
      </c>
      <c r="F50" s="2">
        <f t="shared" si="14"/>
        <v>546304204.66999984</v>
      </c>
      <c r="G50" s="2">
        <f t="shared" si="13"/>
        <v>518741858.40999985</v>
      </c>
      <c r="H50" s="14"/>
      <c r="I50" s="16"/>
    </row>
    <row r="51" spans="1:9" x14ac:dyDescent="0.25">
      <c r="A51" s="21">
        <v>42465</v>
      </c>
      <c r="B51" s="1">
        <f t="shared" si="3"/>
        <v>31</v>
      </c>
      <c r="C51" s="4">
        <f t="shared" si="10"/>
        <v>34073095</v>
      </c>
      <c r="D51" s="2">
        <f t="shared" si="11"/>
        <v>27464465.84</v>
      </c>
      <c r="E51" s="19">
        <f t="shared" si="12"/>
        <v>6608629.1600000001</v>
      </c>
      <c r="F51" s="2">
        <f t="shared" si="14"/>
        <v>518741858.40999985</v>
      </c>
      <c r="G51" s="2">
        <f t="shared" si="13"/>
        <v>491277392.56999987</v>
      </c>
      <c r="H51" s="14"/>
      <c r="I51" s="16"/>
    </row>
    <row r="52" spans="1:9" x14ac:dyDescent="0.25">
      <c r="A52" s="21">
        <v>42495</v>
      </c>
      <c r="B52" s="1">
        <f t="shared" si="3"/>
        <v>30</v>
      </c>
      <c r="C52" s="4">
        <f t="shared" si="10"/>
        <v>34073095</v>
      </c>
      <c r="D52" s="2">
        <f t="shared" si="11"/>
        <v>28016250.43</v>
      </c>
      <c r="E52" s="19">
        <f t="shared" si="12"/>
        <v>6056844.5700000003</v>
      </c>
      <c r="F52" s="2">
        <f t="shared" si="14"/>
        <v>491277392.56999987</v>
      </c>
      <c r="G52" s="2">
        <f t="shared" si="13"/>
        <v>463261142.13999987</v>
      </c>
      <c r="H52" s="14"/>
      <c r="I52" s="16"/>
    </row>
    <row r="53" spans="1:9" x14ac:dyDescent="0.25">
      <c r="A53" s="21">
        <v>42526</v>
      </c>
      <c r="B53" s="1">
        <f t="shared" si="3"/>
        <v>31</v>
      </c>
      <c r="C53" s="4">
        <f t="shared" si="10"/>
        <v>34073095</v>
      </c>
      <c r="D53" s="2">
        <f t="shared" si="11"/>
        <v>28171274.969999999</v>
      </c>
      <c r="E53" s="19">
        <f t="shared" si="12"/>
        <v>5901820.0300000003</v>
      </c>
      <c r="F53" s="2">
        <f t="shared" si="14"/>
        <v>463261142.13999987</v>
      </c>
      <c r="G53" s="2">
        <f t="shared" si="13"/>
        <v>435089867.16999984</v>
      </c>
      <c r="H53" s="14"/>
      <c r="I53" s="16"/>
    </row>
    <row r="54" spans="1:9" x14ac:dyDescent="0.25">
      <c r="A54" s="21">
        <v>42556</v>
      </c>
      <c r="B54" s="1">
        <f t="shared" si="3"/>
        <v>30</v>
      </c>
      <c r="C54" s="4">
        <f t="shared" si="10"/>
        <v>34073095</v>
      </c>
      <c r="D54" s="2">
        <f t="shared" si="11"/>
        <v>28708973.350000001</v>
      </c>
      <c r="E54" s="19">
        <f t="shared" si="12"/>
        <v>5364121.6500000004</v>
      </c>
      <c r="F54" s="2">
        <f t="shared" si="14"/>
        <v>435089867.16999984</v>
      </c>
      <c r="G54" s="2">
        <f t="shared" si="13"/>
        <v>406380893.81999981</v>
      </c>
      <c r="H54" s="14"/>
      <c r="I54" s="16"/>
    </row>
    <row r="55" spans="1:9" x14ac:dyDescent="0.25">
      <c r="A55" s="21">
        <v>42587</v>
      </c>
      <c r="B55" s="1">
        <f t="shared" si="3"/>
        <v>31</v>
      </c>
      <c r="C55" s="4">
        <f t="shared" si="10"/>
        <v>34073095</v>
      </c>
      <c r="D55" s="2">
        <f t="shared" si="11"/>
        <v>28895913.75</v>
      </c>
      <c r="E55" s="19">
        <f t="shared" si="12"/>
        <v>5177181.25</v>
      </c>
      <c r="F55" s="2">
        <f t="shared" si="14"/>
        <v>406380893.81999981</v>
      </c>
      <c r="G55" s="2">
        <f t="shared" si="13"/>
        <v>377484980.06999981</v>
      </c>
      <c r="H55" s="14"/>
      <c r="I55" s="16"/>
    </row>
    <row r="56" spans="1:9" x14ac:dyDescent="0.25">
      <c r="A56" s="21">
        <v>42618</v>
      </c>
      <c r="B56" s="1">
        <f t="shared" si="3"/>
        <v>31</v>
      </c>
      <c r="C56" s="4">
        <f t="shared" si="10"/>
        <v>34073095</v>
      </c>
      <c r="D56" s="2">
        <f t="shared" si="11"/>
        <v>29264039.77</v>
      </c>
      <c r="E56" s="19">
        <f t="shared" si="12"/>
        <v>4809055.2300000004</v>
      </c>
      <c r="F56" s="2">
        <f t="shared" si="14"/>
        <v>377484980.06999981</v>
      </c>
      <c r="G56" s="2">
        <f t="shared" si="13"/>
        <v>348220940.29999983</v>
      </c>
      <c r="H56" s="14"/>
      <c r="I56" s="16"/>
    </row>
    <row r="57" spans="1:9" x14ac:dyDescent="0.25">
      <c r="A57" s="21">
        <v>42648</v>
      </c>
      <c r="B57" s="1">
        <f t="shared" si="3"/>
        <v>30</v>
      </c>
      <c r="C57" s="4">
        <f t="shared" si="10"/>
        <v>34073095</v>
      </c>
      <c r="D57" s="2">
        <f t="shared" si="11"/>
        <v>29779960.120000001</v>
      </c>
      <c r="E57" s="19">
        <f t="shared" si="12"/>
        <v>4293134.88</v>
      </c>
      <c r="F57" s="2">
        <f t="shared" si="14"/>
        <v>348220940.29999983</v>
      </c>
      <c r="G57" s="2">
        <f t="shared" si="13"/>
        <v>318440980.17999983</v>
      </c>
      <c r="H57" s="14"/>
      <c r="I57" s="16"/>
    </row>
    <row r="58" spans="1:9" x14ac:dyDescent="0.25">
      <c r="A58" s="21">
        <v>42679</v>
      </c>
      <c r="B58" s="1">
        <f t="shared" si="3"/>
        <v>31</v>
      </c>
      <c r="C58" s="4">
        <f t="shared" si="10"/>
        <v>34073095</v>
      </c>
      <c r="D58" s="2">
        <f t="shared" si="11"/>
        <v>30016244.16</v>
      </c>
      <c r="E58" s="19">
        <f t="shared" si="12"/>
        <v>4056850.84</v>
      </c>
      <c r="F58" s="2">
        <f t="shared" si="14"/>
        <v>318440980.17999983</v>
      </c>
      <c r="G58" s="2">
        <f t="shared" si="13"/>
        <v>288424736.0199998</v>
      </c>
      <c r="H58" s="14"/>
      <c r="I58" s="16"/>
    </row>
    <row r="59" spans="1:9" x14ac:dyDescent="0.25">
      <c r="A59" s="21">
        <v>42709</v>
      </c>
      <c r="B59" s="1">
        <f t="shared" si="3"/>
        <v>30</v>
      </c>
      <c r="C59" s="4">
        <f t="shared" si="10"/>
        <v>34073095</v>
      </c>
      <c r="D59" s="2">
        <f t="shared" si="11"/>
        <v>30517173.600000001</v>
      </c>
      <c r="E59" s="19">
        <f t="shared" si="12"/>
        <v>3555921.4</v>
      </c>
      <c r="F59" s="2">
        <f t="shared" si="14"/>
        <v>288424736.0199998</v>
      </c>
      <c r="G59" s="2">
        <f t="shared" si="13"/>
        <v>257907562.41999981</v>
      </c>
      <c r="H59" s="14"/>
      <c r="I59" s="16"/>
    </row>
    <row r="60" spans="1:9" x14ac:dyDescent="0.25">
      <c r="A60" s="21">
        <v>42740</v>
      </c>
      <c r="B60" s="1">
        <f t="shared" si="3"/>
        <v>31</v>
      </c>
      <c r="C60" s="4">
        <f t="shared" si="10"/>
        <v>34073095</v>
      </c>
      <c r="D60" s="2">
        <f t="shared" si="11"/>
        <v>30787423.309999999</v>
      </c>
      <c r="E60" s="19">
        <f t="shared" si="12"/>
        <v>3285671.69</v>
      </c>
      <c r="F60" s="2">
        <f t="shared" si="14"/>
        <v>257907562.41999981</v>
      </c>
      <c r="G60" s="2">
        <f t="shared" si="13"/>
        <v>227120139.10999981</v>
      </c>
      <c r="H60" s="14"/>
      <c r="I60" s="16"/>
    </row>
    <row r="61" spans="1:9" x14ac:dyDescent="0.25">
      <c r="A61" s="21">
        <v>42771</v>
      </c>
      <c r="B61" s="1">
        <f t="shared" si="3"/>
        <v>31</v>
      </c>
      <c r="C61" s="4">
        <f t="shared" si="10"/>
        <v>34073095</v>
      </c>
      <c r="D61" s="2">
        <f t="shared" si="11"/>
        <v>31179646.649999999</v>
      </c>
      <c r="E61" s="19">
        <f t="shared" si="12"/>
        <v>2893448.35</v>
      </c>
      <c r="F61" s="2">
        <f t="shared" si="14"/>
        <v>227120139.10999981</v>
      </c>
      <c r="G61" s="2">
        <f t="shared" si="13"/>
        <v>195940492.4599998</v>
      </c>
      <c r="H61" s="14"/>
      <c r="I61" s="16"/>
    </row>
    <row r="62" spans="1:9" x14ac:dyDescent="0.25">
      <c r="A62" s="21">
        <v>42799</v>
      </c>
      <c r="B62" s="1">
        <f t="shared" si="3"/>
        <v>28</v>
      </c>
      <c r="C62" s="4">
        <f t="shared" si="10"/>
        <v>34073095</v>
      </c>
      <c r="D62" s="2">
        <f t="shared" si="11"/>
        <v>31818437.280000001</v>
      </c>
      <c r="E62" s="19">
        <f t="shared" si="12"/>
        <v>2254657.7200000002</v>
      </c>
      <c r="F62" s="2">
        <f t="shared" si="14"/>
        <v>195940492.4599998</v>
      </c>
      <c r="G62" s="2">
        <f t="shared" si="13"/>
        <v>164122055.1799998</v>
      </c>
      <c r="H62" s="14"/>
      <c r="I62" s="16"/>
    </row>
    <row r="63" spans="1:9" x14ac:dyDescent="0.25">
      <c r="A63" s="21">
        <v>42830</v>
      </c>
      <c r="B63" s="1">
        <f t="shared" si="3"/>
        <v>31</v>
      </c>
      <c r="C63" s="4">
        <f t="shared" si="10"/>
        <v>34073095</v>
      </c>
      <c r="D63" s="2">
        <f t="shared" si="11"/>
        <v>31982224.98</v>
      </c>
      <c r="E63" s="19">
        <f t="shared" si="12"/>
        <v>2090870.02</v>
      </c>
      <c r="F63" s="2">
        <f t="shared" si="14"/>
        <v>164122055.1799998</v>
      </c>
      <c r="G63" s="2">
        <f t="shared" si="13"/>
        <v>132139830.19999979</v>
      </c>
      <c r="H63" s="14"/>
      <c r="I63" s="16"/>
    </row>
    <row r="64" spans="1:9" x14ac:dyDescent="0.25">
      <c r="A64" s="21">
        <v>42860</v>
      </c>
      <c r="B64" s="1">
        <f t="shared" si="3"/>
        <v>30</v>
      </c>
      <c r="C64" s="4">
        <f t="shared" si="10"/>
        <v>34073095</v>
      </c>
      <c r="D64" s="2">
        <f t="shared" si="11"/>
        <v>32443973.809999999</v>
      </c>
      <c r="E64" s="19">
        <f t="shared" si="12"/>
        <v>1629121.19</v>
      </c>
      <c r="F64" s="2">
        <f t="shared" si="14"/>
        <v>132139830.19999979</v>
      </c>
      <c r="G64" s="2">
        <f t="shared" si="13"/>
        <v>99695856.389999792</v>
      </c>
      <c r="H64" s="14"/>
      <c r="I64" s="16"/>
    </row>
    <row r="65" spans="1:9" x14ac:dyDescent="0.25">
      <c r="A65" s="21">
        <v>42891</v>
      </c>
      <c r="B65" s="1">
        <f t="shared" si="3"/>
        <v>31</v>
      </c>
      <c r="C65" s="4">
        <f t="shared" si="10"/>
        <v>34073095</v>
      </c>
      <c r="D65" s="2">
        <f t="shared" si="11"/>
        <v>32802997.100000001</v>
      </c>
      <c r="E65" s="19">
        <f t="shared" si="12"/>
        <v>1270097.8999999999</v>
      </c>
      <c r="F65" s="2">
        <f t="shared" si="14"/>
        <v>99695856.389999792</v>
      </c>
      <c r="G65" s="2">
        <f t="shared" si="13"/>
        <v>66892859.28999979</v>
      </c>
      <c r="H65" s="14"/>
      <c r="I65" s="16"/>
    </row>
    <row r="66" spans="1:9" x14ac:dyDescent="0.25">
      <c r="A66" s="21">
        <v>42921</v>
      </c>
      <c r="B66" s="1">
        <f t="shared" si="3"/>
        <v>30</v>
      </c>
      <c r="C66" s="4">
        <f t="shared" si="10"/>
        <v>34073095</v>
      </c>
      <c r="D66" s="2">
        <f t="shared" si="11"/>
        <v>33248388.52</v>
      </c>
      <c r="E66" s="19">
        <f t="shared" si="12"/>
        <v>824706.48</v>
      </c>
      <c r="F66" s="2">
        <f t="shared" si="14"/>
        <v>66892859.28999979</v>
      </c>
      <c r="G66" s="2">
        <f t="shared" si="13"/>
        <v>33644470.769999787</v>
      </c>
      <c r="H66" s="14"/>
      <c r="I66" s="16"/>
    </row>
    <row r="67" spans="1:9" x14ac:dyDescent="0.25">
      <c r="A67" s="21">
        <v>42952</v>
      </c>
      <c r="B67" s="1">
        <f t="shared" si="3"/>
        <v>31</v>
      </c>
      <c r="C67" s="4">
        <f t="shared" si="10"/>
        <v>34073095</v>
      </c>
      <c r="D67" s="2">
        <f t="shared" si="11"/>
        <v>33644470.769999787</v>
      </c>
      <c r="E67" s="19">
        <v>428624.23000020924</v>
      </c>
      <c r="F67" s="2">
        <f t="shared" si="14"/>
        <v>33644470.769999787</v>
      </c>
      <c r="G67" s="2">
        <f t="shared" si="13"/>
        <v>0</v>
      </c>
      <c r="H67" s="14"/>
      <c r="I67" s="16"/>
    </row>
  </sheetData>
  <phoneticPr fontId="5" type="noConversion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AB3A7-6E28-4C60-8B53-4B235CEA25FB}">
  <sheetPr codeName="Sheet3"/>
  <dimension ref="A1:J67"/>
  <sheetViews>
    <sheetView zoomScale="81" zoomScaleNormal="70" workbookViewId="0">
      <pane ySplit="3" topLeftCell="A35" activePane="bottomLeft" state="frozen"/>
      <selection activeCell="O2" sqref="O2:Q3"/>
      <selection pane="bottomLeft" activeCell="O2" sqref="O2:Q3"/>
    </sheetView>
  </sheetViews>
  <sheetFormatPr defaultRowHeight="15" x14ac:dyDescent="0.25"/>
  <cols>
    <col min="1" max="1" width="15.28515625" bestFit="1" customWidth="1"/>
    <col min="2" max="2" width="13.42578125" bestFit="1" customWidth="1"/>
    <col min="3" max="3" width="23" bestFit="1" customWidth="1"/>
    <col min="4" max="4" width="17.85546875" bestFit="1" customWidth="1"/>
    <col min="5" max="5" width="31.140625" bestFit="1" customWidth="1"/>
    <col min="6" max="6" width="18.7109375" bestFit="1" customWidth="1"/>
    <col min="7" max="7" width="24.42578125" bestFit="1" customWidth="1"/>
    <col min="8" max="8" width="16.7109375" bestFit="1" customWidth="1"/>
    <col min="9" max="9" width="27.85546875" bestFit="1" customWidth="1"/>
    <col min="10" max="10" width="15.42578125" bestFit="1" customWidth="1"/>
  </cols>
  <sheetData>
    <row r="1" spans="1:10" x14ac:dyDescent="0.25">
      <c r="A1" s="17" t="s">
        <v>33</v>
      </c>
      <c r="B1" s="22">
        <v>41855</v>
      </c>
      <c r="C1" s="15" t="s">
        <v>37</v>
      </c>
      <c r="D1" s="23">
        <f>ROUNDUP(34318675.2191522,0)</f>
        <v>34318676</v>
      </c>
      <c r="E1" s="25" t="s">
        <v>51</v>
      </c>
      <c r="F1" s="24">
        <f>ROUNDUP(34065066.0482889,0)</f>
        <v>34065067</v>
      </c>
      <c r="G1" s="28" t="s">
        <v>52</v>
      </c>
      <c r="H1" s="26">
        <v>42160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41856</v>
      </c>
      <c r="B4" s="1">
        <f>DAYS360(B1,A4,TRUE)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-5650.6849315068685</v>
      </c>
    </row>
    <row r="5" spans="1:10" x14ac:dyDescent="0.25">
      <c r="A5" s="29">
        <v>41887</v>
      </c>
      <c r="B5" s="1">
        <f>DAYS360(A4,A5)</f>
        <v>30</v>
      </c>
      <c r="C5" s="4">
        <f>$D$1</f>
        <v>34318676</v>
      </c>
      <c r="D5" s="2">
        <f t="shared" ref="D5:D67" si="0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>
        <f t="shared" ref="H5:H33" si="1">F5*$B$2*B5/365</f>
        <v>12205479.452054795</v>
      </c>
      <c r="I5" s="16">
        <f t="shared" ref="I5:I33" si="2">H5-E5</f>
        <v>-169520.54794520512</v>
      </c>
    </row>
    <row r="6" spans="1:10" x14ac:dyDescent="0.25">
      <c r="A6" s="29">
        <v>41917</v>
      </c>
      <c r="B6" s="1">
        <f t="shared" ref="B6:B40" si="3">DAYS360(A5,A6)</f>
        <v>30</v>
      </c>
      <c r="C6" s="4">
        <f t="shared" ref="C6:C41" si="4">$D$1</f>
        <v>34318676</v>
      </c>
      <c r="D6" s="2">
        <f t="shared" si="0"/>
        <v>22217971.949999999</v>
      </c>
      <c r="E6" s="19">
        <f t="shared" ref="E6:E39" si="5">ROUND(F6*$B$2*B6/360,2)</f>
        <v>12100704.050000001</v>
      </c>
      <c r="F6" s="2">
        <f t="shared" ref="F6:F40" si="6">G5</f>
        <v>968056324</v>
      </c>
      <c r="G6" s="2">
        <f t="shared" ref="G6:G40" si="7">F6-D6</f>
        <v>945838352.04999995</v>
      </c>
      <c r="H6" s="14">
        <f t="shared" si="1"/>
        <v>11934940.980821919</v>
      </c>
      <c r="I6" s="16">
        <f t="shared" si="2"/>
        <v>-165763.06917808205</v>
      </c>
    </row>
    <row r="7" spans="1:10" x14ac:dyDescent="0.25">
      <c r="A7" s="29">
        <v>41948</v>
      </c>
      <c r="B7" s="1">
        <f t="shared" si="3"/>
        <v>30</v>
      </c>
      <c r="C7" s="4">
        <f t="shared" si="4"/>
        <v>34318676</v>
      </c>
      <c r="D7" s="2">
        <f t="shared" si="0"/>
        <v>22495696.600000001</v>
      </c>
      <c r="E7" s="19">
        <f t="shared" si="5"/>
        <v>11822979.4</v>
      </c>
      <c r="F7" s="2">
        <f t="shared" si="6"/>
        <v>945838352.04999995</v>
      </c>
      <c r="G7" s="2">
        <f t="shared" si="7"/>
        <v>923342655.44999993</v>
      </c>
      <c r="H7" s="14">
        <f t="shared" si="1"/>
        <v>11661020.778698629</v>
      </c>
      <c r="I7" s="16">
        <f t="shared" si="2"/>
        <v>-161958.6213013716</v>
      </c>
    </row>
    <row r="8" spans="1:10" x14ac:dyDescent="0.25">
      <c r="A8" s="29">
        <v>41978</v>
      </c>
      <c r="B8" s="1">
        <f t="shared" si="3"/>
        <v>30</v>
      </c>
      <c r="C8" s="4">
        <f t="shared" si="4"/>
        <v>34318676</v>
      </c>
      <c r="D8" s="2">
        <f t="shared" si="0"/>
        <v>22776892.810000002</v>
      </c>
      <c r="E8" s="19">
        <f t="shared" si="5"/>
        <v>11541783.189999999</v>
      </c>
      <c r="F8" s="2">
        <f t="shared" si="6"/>
        <v>923342655.44999993</v>
      </c>
      <c r="G8" s="2">
        <f t="shared" si="7"/>
        <v>900565762.63999987</v>
      </c>
      <c r="H8" s="14">
        <f t="shared" si="1"/>
        <v>11383676.574041095</v>
      </c>
      <c r="I8" s="16">
        <f t="shared" si="2"/>
        <v>-158106.61595890485</v>
      </c>
    </row>
    <row r="9" spans="1:10" x14ac:dyDescent="0.25">
      <c r="A9" s="29">
        <v>42009</v>
      </c>
      <c r="B9" s="1">
        <f t="shared" si="3"/>
        <v>30</v>
      </c>
      <c r="C9" s="4">
        <f t="shared" si="4"/>
        <v>34318676</v>
      </c>
      <c r="D9" s="2">
        <f t="shared" si="0"/>
        <v>23061603.969999999</v>
      </c>
      <c r="E9" s="19">
        <f t="shared" si="5"/>
        <v>11257072.029999999</v>
      </c>
      <c r="F9" s="2">
        <f t="shared" si="6"/>
        <v>900565762.63999987</v>
      </c>
      <c r="G9" s="2">
        <f t="shared" si="7"/>
        <v>877504158.66999984</v>
      </c>
      <c r="H9" s="14">
        <f t="shared" si="1"/>
        <v>11102865.566794518</v>
      </c>
      <c r="I9" s="16">
        <f t="shared" si="2"/>
        <v>-154206.46320548095</v>
      </c>
    </row>
    <row r="10" spans="1:10" x14ac:dyDescent="0.25">
      <c r="A10" s="29">
        <v>42040</v>
      </c>
      <c r="B10" s="1">
        <f t="shared" si="3"/>
        <v>30</v>
      </c>
      <c r="C10" s="4">
        <f t="shared" si="4"/>
        <v>34318676</v>
      </c>
      <c r="D10" s="2">
        <f t="shared" si="0"/>
        <v>23349874.02</v>
      </c>
      <c r="E10" s="19">
        <f t="shared" si="5"/>
        <v>10968801.98</v>
      </c>
      <c r="F10" s="2">
        <f t="shared" si="6"/>
        <v>877504158.66999984</v>
      </c>
      <c r="G10" s="2">
        <f t="shared" si="7"/>
        <v>854154284.64999986</v>
      </c>
      <c r="H10" s="14">
        <f t="shared" si="1"/>
        <v>10818544.421958903</v>
      </c>
      <c r="I10" s="16">
        <f t="shared" si="2"/>
        <v>-150257.5580410976</v>
      </c>
    </row>
    <row r="11" spans="1:10" x14ac:dyDescent="0.25">
      <c r="A11" s="29">
        <v>42068</v>
      </c>
      <c r="B11" s="1">
        <f t="shared" si="3"/>
        <v>30</v>
      </c>
      <c r="C11" s="4">
        <f t="shared" si="4"/>
        <v>34318676</v>
      </c>
      <c r="D11" s="2">
        <f t="shared" si="0"/>
        <v>23641747.439999998</v>
      </c>
      <c r="E11" s="19">
        <f t="shared" si="5"/>
        <v>10676928.560000001</v>
      </c>
      <c r="F11" s="2">
        <f t="shared" si="6"/>
        <v>854154284.64999986</v>
      </c>
      <c r="G11" s="2">
        <f t="shared" si="7"/>
        <v>830512537.2099998</v>
      </c>
      <c r="H11" s="14">
        <f t="shared" si="1"/>
        <v>10530669.262808217</v>
      </c>
      <c r="I11" s="16">
        <f t="shared" si="2"/>
        <v>-146259.29719178379</v>
      </c>
    </row>
    <row r="12" spans="1:10" x14ac:dyDescent="0.25">
      <c r="A12" s="29">
        <v>42099</v>
      </c>
      <c r="B12" s="1">
        <f t="shared" si="3"/>
        <v>30</v>
      </c>
      <c r="C12" s="4">
        <f t="shared" si="4"/>
        <v>34318676</v>
      </c>
      <c r="D12" s="2">
        <f t="shared" si="0"/>
        <v>23937269.280000001</v>
      </c>
      <c r="E12" s="19">
        <f t="shared" si="5"/>
        <v>10381406.720000001</v>
      </c>
      <c r="F12" s="2">
        <f t="shared" si="6"/>
        <v>830512537.2099998</v>
      </c>
      <c r="G12" s="2">
        <f t="shared" si="7"/>
        <v>806575267.92999983</v>
      </c>
      <c r="H12" s="14">
        <f t="shared" si="1"/>
        <v>10239195.664232872</v>
      </c>
      <c r="I12" s="16">
        <f t="shared" si="2"/>
        <v>-142211.05576712824</v>
      </c>
    </row>
    <row r="13" spans="1:10" x14ac:dyDescent="0.25">
      <c r="A13" s="29">
        <v>42129</v>
      </c>
      <c r="B13" s="1">
        <f t="shared" si="3"/>
        <v>30</v>
      </c>
      <c r="C13" s="4">
        <f t="shared" si="4"/>
        <v>34318676</v>
      </c>
      <c r="D13" s="2">
        <f t="shared" si="0"/>
        <v>24236485.149999999</v>
      </c>
      <c r="E13" s="19">
        <f t="shared" si="5"/>
        <v>10082190.85</v>
      </c>
      <c r="F13" s="2">
        <f t="shared" si="6"/>
        <v>806575267.92999983</v>
      </c>
      <c r="G13" s="2">
        <f t="shared" si="7"/>
        <v>782338782.77999985</v>
      </c>
      <c r="H13" s="14">
        <f t="shared" si="1"/>
        <v>9944078.6457123272</v>
      </c>
      <c r="I13" s="16">
        <f t="shared" si="2"/>
        <v>-138112.20428767242</v>
      </c>
    </row>
    <row r="14" spans="1:10" x14ac:dyDescent="0.25">
      <c r="A14" s="29">
        <v>42160</v>
      </c>
      <c r="B14" s="1">
        <f t="shared" si="3"/>
        <v>30</v>
      </c>
      <c r="C14" s="4">
        <f t="shared" si="4"/>
        <v>34318676</v>
      </c>
      <c r="D14" s="2">
        <f t="shared" si="0"/>
        <v>24539441.219999999</v>
      </c>
      <c r="E14" s="19">
        <f t="shared" si="5"/>
        <v>9779234.7799999993</v>
      </c>
      <c r="F14" s="2">
        <f t="shared" si="6"/>
        <v>782338782.77999985</v>
      </c>
      <c r="G14" s="2">
        <f t="shared" si="7"/>
        <v>757799341.55999982</v>
      </c>
      <c r="H14" s="14">
        <f t="shared" si="1"/>
        <v>9645272.6644109562</v>
      </c>
      <c r="I14" s="16">
        <f t="shared" si="2"/>
        <v>-133962.11558904313</v>
      </c>
    </row>
    <row r="15" spans="1:10" x14ac:dyDescent="0.25">
      <c r="A15" s="29">
        <v>42190</v>
      </c>
      <c r="B15" s="1">
        <f t="shared" si="3"/>
        <v>30</v>
      </c>
      <c r="C15" s="4">
        <f t="shared" si="4"/>
        <v>34318676</v>
      </c>
      <c r="D15" s="2">
        <f t="shared" si="0"/>
        <v>24846184.23</v>
      </c>
      <c r="E15" s="19">
        <f t="shared" si="5"/>
        <v>9472491.7699999996</v>
      </c>
      <c r="F15" s="2">
        <f t="shared" si="6"/>
        <v>757799341.55999982</v>
      </c>
      <c r="G15" s="2">
        <f t="shared" si="7"/>
        <v>732953157.3299998</v>
      </c>
      <c r="H15" s="14">
        <f t="shared" si="1"/>
        <v>9342731.60827397</v>
      </c>
      <c r="I15" s="16">
        <f t="shared" si="2"/>
        <v>-129760.16172602959</v>
      </c>
    </row>
    <row r="16" spans="1:10" x14ac:dyDescent="0.25">
      <c r="A16" s="29">
        <v>42221</v>
      </c>
      <c r="B16" s="1">
        <f t="shared" si="3"/>
        <v>30</v>
      </c>
      <c r="C16" s="4">
        <f t="shared" si="4"/>
        <v>34318676</v>
      </c>
      <c r="D16" s="2">
        <f t="shared" si="0"/>
        <v>25156761.530000001</v>
      </c>
      <c r="E16" s="19">
        <f t="shared" si="5"/>
        <v>9161914.4700000007</v>
      </c>
      <c r="F16" s="2">
        <f t="shared" si="6"/>
        <v>732953157.3299998</v>
      </c>
      <c r="G16" s="2">
        <f t="shared" si="7"/>
        <v>707796395.79999983</v>
      </c>
      <c r="H16" s="14">
        <f t="shared" si="1"/>
        <v>9036408.7889999971</v>
      </c>
      <c r="I16" s="16">
        <f t="shared" si="2"/>
        <v>-125505.68100000359</v>
      </c>
    </row>
    <row r="17" spans="1:9" x14ac:dyDescent="0.25">
      <c r="A17" s="29">
        <v>42252</v>
      </c>
      <c r="B17" s="1">
        <f t="shared" si="3"/>
        <v>30</v>
      </c>
      <c r="C17" s="4">
        <f t="shared" si="4"/>
        <v>34318676</v>
      </c>
      <c r="D17" s="2">
        <f t="shared" si="0"/>
        <v>25471221.050000001</v>
      </c>
      <c r="E17" s="19">
        <f t="shared" si="5"/>
        <v>8847454.9499999993</v>
      </c>
      <c r="F17" s="2">
        <f t="shared" si="6"/>
        <v>707796395.79999983</v>
      </c>
      <c r="G17" s="2">
        <f t="shared" si="7"/>
        <v>682325174.74999988</v>
      </c>
      <c r="H17" s="14">
        <f t="shared" si="1"/>
        <v>8726256.9345205463</v>
      </c>
      <c r="I17" s="16">
        <f t="shared" si="2"/>
        <v>-121198.01547945291</v>
      </c>
    </row>
    <row r="18" spans="1:9" x14ac:dyDescent="0.25">
      <c r="A18" s="29">
        <v>42282</v>
      </c>
      <c r="B18" s="1">
        <f t="shared" si="3"/>
        <v>30</v>
      </c>
      <c r="C18" s="4">
        <f t="shared" si="4"/>
        <v>34318676</v>
      </c>
      <c r="D18" s="2">
        <f t="shared" si="0"/>
        <v>25789611.32</v>
      </c>
      <c r="E18" s="19">
        <f t="shared" si="5"/>
        <v>8529064.6799999997</v>
      </c>
      <c r="F18" s="2">
        <f t="shared" si="6"/>
        <v>682325174.74999988</v>
      </c>
      <c r="G18" s="2">
        <f t="shared" si="7"/>
        <v>656535563.42999983</v>
      </c>
      <c r="H18" s="14">
        <f t="shared" si="1"/>
        <v>8412228.181849312</v>
      </c>
      <c r="I18" s="16">
        <f t="shared" si="2"/>
        <v>-116836.49815068766</v>
      </c>
    </row>
    <row r="19" spans="1:9" x14ac:dyDescent="0.25">
      <c r="A19" s="29">
        <v>42313</v>
      </c>
      <c r="B19" s="1">
        <f t="shared" si="3"/>
        <v>30</v>
      </c>
      <c r="C19" s="4">
        <f t="shared" si="4"/>
        <v>34318676</v>
      </c>
      <c r="D19" s="2">
        <f t="shared" si="0"/>
        <v>26111981.460000001</v>
      </c>
      <c r="E19" s="19">
        <f t="shared" si="5"/>
        <v>8206694.54</v>
      </c>
      <c r="F19" s="2">
        <f t="shared" si="6"/>
        <v>656535563.42999983</v>
      </c>
      <c r="G19" s="2">
        <f t="shared" si="7"/>
        <v>630423581.96999979</v>
      </c>
      <c r="H19" s="14">
        <f t="shared" si="1"/>
        <v>8094274.0696849301</v>
      </c>
      <c r="I19" s="16">
        <f t="shared" si="2"/>
        <v>-112420.47031506989</v>
      </c>
    </row>
    <row r="20" spans="1:9" x14ac:dyDescent="0.25">
      <c r="A20" s="29">
        <v>42343</v>
      </c>
      <c r="B20" s="1">
        <f t="shared" si="3"/>
        <v>30</v>
      </c>
      <c r="C20" s="4">
        <f t="shared" si="4"/>
        <v>34318676</v>
      </c>
      <c r="D20" s="2">
        <f t="shared" si="0"/>
        <v>26438381.23</v>
      </c>
      <c r="E20" s="19">
        <f t="shared" si="5"/>
        <v>7880294.7699999996</v>
      </c>
      <c r="F20" s="2">
        <f t="shared" si="6"/>
        <v>630423581.96999979</v>
      </c>
      <c r="G20" s="2">
        <f t="shared" si="7"/>
        <v>603985200.73999977</v>
      </c>
      <c r="H20" s="14">
        <f t="shared" si="1"/>
        <v>7772345.5311369831</v>
      </c>
      <c r="I20" s="16">
        <f t="shared" si="2"/>
        <v>-107949.23886301648</v>
      </c>
    </row>
    <row r="21" spans="1:9" x14ac:dyDescent="0.25">
      <c r="A21" s="29">
        <v>42374</v>
      </c>
      <c r="B21" s="1">
        <f t="shared" si="3"/>
        <v>30</v>
      </c>
      <c r="C21" s="4">
        <f t="shared" si="4"/>
        <v>34318676</v>
      </c>
      <c r="D21" s="2">
        <f t="shared" si="0"/>
        <v>26768860.990000002</v>
      </c>
      <c r="E21" s="19">
        <f t="shared" si="5"/>
        <v>7549815.0099999998</v>
      </c>
      <c r="F21" s="2">
        <f t="shared" si="6"/>
        <v>603985200.73999977</v>
      </c>
      <c r="G21" s="2">
        <f t="shared" si="7"/>
        <v>577216339.74999976</v>
      </c>
      <c r="H21" s="14">
        <f t="shared" si="1"/>
        <v>7446392.8858356122</v>
      </c>
      <c r="I21" s="16">
        <f t="shared" si="2"/>
        <v>-103422.12416438758</v>
      </c>
    </row>
    <row r="22" spans="1:9" x14ac:dyDescent="0.25">
      <c r="A22" s="29">
        <v>42405</v>
      </c>
      <c r="B22" s="1">
        <f t="shared" si="3"/>
        <v>30</v>
      </c>
      <c r="C22" s="4">
        <f t="shared" si="4"/>
        <v>34318676</v>
      </c>
      <c r="D22" s="2">
        <f t="shared" si="0"/>
        <v>27103471.75</v>
      </c>
      <c r="E22" s="19">
        <f t="shared" si="5"/>
        <v>7215204.25</v>
      </c>
      <c r="F22" s="2">
        <f t="shared" si="6"/>
        <v>577216339.74999976</v>
      </c>
      <c r="G22" s="2">
        <f t="shared" si="7"/>
        <v>550112867.99999976</v>
      </c>
      <c r="H22" s="14">
        <f t="shared" si="1"/>
        <v>7116365.8325342443</v>
      </c>
      <c r="I22" s="16">
        <f t="shared" si="2"/>
        <v>-98838.417465755716</v>
      </c>
    </row>
    <row r="23" spans="1:9" x14ac:dyDescent="0.25">
      <c r="A23" s="29">
        <v>42434</v>
      </c>
      <c r="B23" s="1">
        <f t="shared" si="3"/>
        <v>30</v>
      </c>
      <c r="C23" s="4">
        <f t="shared" si="4"/>
        <v>34318676</v>
      </c>
      <c r="D23" s="2">
        <f t="shared" si="0"/>
        <v>27442265.149999999</v>
      </c>
      <c r="E23" s="19">
        <f t="shared" si="5"/>
        <v>6876410.8499999996</v>
      </c>
      <c r="F23" s="2">
        <f t="shared" si="6"/>
        <v>550112867.99999976</v>
      </c>
      <c r="G23" s="2">
        <f t="shared" si="7"/>
        <v>522670602.84999979</v>
      </c>
      <c r="H23" s="14">
        <f t="shared" si="1"/>
        <v>6782213.4410958868</v>
      </c>
      <c r="I23" s="16">
        <f t="shared" si="2"/>
        <v>-94197.408904112875</v>
      </c>
    </row>
    <row r="24" spans="1:9" x14ac:dyDescent="0.25">
      <c r="A24" s="29">
        <v>42465</v>
      </c>
      <c r="B24" s="1">
        <f t="shared" si="3"/>
        <v>30</v>
      </c>
      <c r="C24" s="4">
        <f t="shared" si="4"/>
        <v>34318676</v>
      </c>
      <c r="D24" s="2">
        <f t="shared" si="0"/>
        <v>27785293.460000001</v>
      </c>
      <c r="E24" s="19">
        <f t="shared" si="5"/>
        <v>6533382.54</v>
      </c>
      <c r="F24" s="2">
        <f t="shared" si="6"/>
        <v>522670602.84999979</v>
      </c>
      <c r="G24" s="2">
        <f t="shared" si="7"/>
        <v>494885309.38999981</v>
      </c>
      <c r="H24" s="14">
        <f t="shared" si="1"/>
        <v>6443884.144726024</v>
      </c>
      <c r="I24" s="16">
        <f t="shared" si="2"/>
        <v>-89498.395273976028</v>
      </c>
    </row>
    <row r="25" spans="1:9" x14ac:dyDescent="0.25">
      <c r="A25" s="29">
        <v>42495</v>
      </c>
      <c r="B25" s="1">
        <f t="shared" si="3"/>
        <v>30</v>
      </c>
      <c r="C25" s="4">
        <f t="shared" si="4"/>
        <v>34318676</v>
      </c>
      <c r="D25" s="2">
        <f t="shared" si="0"/>
        <v>28132609.629999999</v>
      </c>
      <c r="E25" s="19">
        <f t="shared" si="5"/>
        <v>6186066.3700000001</v>
      </c>
      <c r="F25" s="2">
        <f t="shared" si="6"/>
        <v>494885309.38999981</v>
      </c>
      <c r="G25" s="2">
        <f t="shared" si="7"/>
        <v>466752699.75999981</v>
      </c>
      <c r="H25" s="14">
        <f t="shared" si="1"/>
        <v>6101325.7322054775</v>
      </c>
      <c r="I25" s="16">
        <f t="shared" si="2"/>
        <v>-84740.637794522569</v>
      </c>
    </row>
    <row r="26" spans="1:9" x14ac:dyDescent="0.25">
      <c r="A26" s="29">
        <v>42526</v>
      </c>
      <c r="B26" s="1">
        <f t="shared" si="3"/>
        <v>30</v>
      </c>
      <c r="C26" s="4">
        <f t="shared" si="4"/>
        <v>34318676</v>
      </c>
      <c r="D26" s="2">
        <f t="shared" si="0"/>
        <v>28484267.25</v>
      </c>
      <c r="E26" s="19">
        <f t="shared" si="5"/>
        <v>5834408.75</v>
      </c>
      <c r="F26" s="2">
        <f t="shared" si="6"/>
        <v>466752699.75999981</v>
      </c>
      <c r="G26" s="2">
        <f t="shared" si="7"/>
        <v>438268432.50999981</v>
      </c>
      <c r="H26" s="14">
        <f t="shared" si="1"/>
        <v>5754485.3395068469</v>
      </c>
      <c r="I26" s="16">
        <f t="shared" si="2"/>
        <v>-79923.410493153147</v>
      </c>
    </row>
    <row r="27" spans="1:9" x14ac:dyDescent="0.25">
      <c r="A27" s="29">
        <v>42556</v>
      </c>
      <c r="B27" s="1">
        <f t="shared" si="3"/>
        <v>30</v>
      </c>
      <c r="C27" s="4">
        <f t="shared" si="4"/>
        <v>34318676</v>
      </c>
      <c r="D27" s="2">
        <f t="shared" si="0"/>
        <v>28840320.59</v>
      </c>
      <c r="E27" s="19">
        <f t="shared" si="5"/>
        <v>5478355.4100000001</v>
      </c>
      <c r="F27" s="2">
        <f t="shared" si="6"/>
        <v>438268432.50999981</v>
      </c>
      <c r="G27" s="2">
        <f t="shared" si="7"/>
        <v>409428111.91999984</v>
      </c>
      <c r="H27" s="14">
        <f t="shared" si="1"/>
        <v>5403309.4419041062</v>
      </c>
      <c r="I27" s="16">
        <f t="shared" si="2"/>
        <v>-75045.968095893972</v>
      </c>
    </row>
    <row r="28" spans="1:9" x14ac:dyDescent="0.25">
      <c r="A28" s="29">
        <v>42587</v>
      </c>
      <c r="B28" s="1">
        <f t="shared" si="3"/>
        <v>30</v>
      </c>
      <c r="C28" s="4">
        <f t="shared" si="4"/>
        <v>34318676</v>
      </c>
      <c r="D28" s="2">
        <f t="shared" si="0"/>
        <v>29200824.600000001</v>
      </c>
      <c r="E28" s="19">
        <f t="shared" si="5"/>
        <v>5117851.4000000004</v>
      </c>
      <c r="F28" s="2">
        <f t="shared" si="6"/>
        <v>409428111.91999984</v>
      </c>
      <c r="G28" s="2">
        <f t="shared" si="7"/>
        <v>380227287.31999981</v>
      </c>
      <c r="H28" s="14">
        <f t="shared" si="1"/>
        <v>5047743.8455890389</v>
      </c>
      <c r="I28" s="16">
        <f t="shared" si="2"/>
        <v>-70107.554410961457</v>
      </c>
    </row>
    <row r="29" spans="1:9" x14ac:dyDescent="0.25">
      <c r="A29" s="29">
        <v>42618</v>
      </c>
      <c r="B29" s="1">
        <f t="shared" si="3"/>
        <v>30</v>
      </c>
      <c r="C29" s="4">
        <f t="shared" si="4"/>
        <v>34318676</v>
      </c>
      <c r="D29" s="2">
        <f t="shared" si="0"/>
        <v>29565834.91</v>
      </c>
      <c r="E29" s="19">
        <f t="shared" si="5"/>
        <v>4752841.09</v>
      </c>
      <c r="F29" s="2">
        <f t="shared" si="6"/>
        <v>380227287.31999981</v>
      </c>
      <c r="G29" s="2">
        <f t="shared" si="7"/>
        <v>350661452.40999979</v>
      </c>
      <c r="H29" s="14">
        <f t="shared" si="1"/>
        <v>4687733.6792876683</v>
      </c>
      <c r="I29" s="16">
        <f t="shared" si="2"/>
        <v>-65107.410712331533</v>
      </c>
    </row>
    <row r="30" spans="1:9" x14ac:dyDescent="0.25">
      <c r="A30" s="29">
        <v>42648</v>
      </c>
      <c r="B30" s="1">
        <f t="shared" si="3"/>
        <v>30</v>
      </c>
      <c r="C30" s="4">
        <f t="shared" si="4"/>
        <v>34318676</v>
      </c>
      <c r="D30" s="2">
        <f t="shared" si="0"/>
        <v>29935407.84</v>
      </c>
      <c r="E30" s="19">
        <f t="shared" si="5"/>
        <v>4383268.16</v>
      </c>
      <c r="F30" s="2">
        <f t="shared" si="6"/>
        <v>350661452.40999979</v>
      </c>
      <c r="G30" s="2">
        <f t="shared" si="7"/>
        <v>320726044.56999981</v>
      </c>
      <c r="H30" s="14">
        <f t="shared" si="1"/>
        <v>4323223.3858767096</v>
      </c>
      <c r="I30" s="16">
        <f t="shared" si="2"/>
        <v>-60044.774123290554</v>
      </c>
    </row>
    <row r="31" spans="1:9" x14ac:dyDescent="0.25">
      <c r="A31" s="29">
        <v>42679</v>
      </c>
      <c r="B31" s="1">
        <f t="shared" si="3"/>
        <v>30</v>
      </c>
      <c r="C31" s="4">
        <f t="shared" si="4"/>
        <v>34318676</v>
      </c>
      <c r="D31" s="2">
        <f t="shared" si="0"/>
        <v>30309600.440000001</v>
      </c>
      <c r="E31" s="19">
        <f t="shared" si="5"/>
        <v>4009075.56</v>
      </c>
      <c r="F31" s="2">
        <f t="shared" si="6"/>
        <v>320726044.56999981</v>
      </c>
      <c r="G31" s="2">
        <f t="shared" si="7"/>
        <v>290416444.12999982</v>
      </c>
      <c r="H31" s="14">
        <f t="shared" si="1"/>
        <v>3954156.7138767098</v>
      </c>
      <c r="I31" s="16">
        <f t="shared" si="2"/>
        <v>-54918.846123290248</v>
      </c>
    </row>
    <row r="32" spans="1:9" x14ac:dyDescent="0.25">
      <c r="A32" s="29">
        <v>42709</v>
      </c>
      <c r="B32" s="1">
        <f t="shared" si="3"/>
        <v>30</v>
      </c>
      <c r="C32" s="4">
        <f t="shared" si="4"/>
        <v>34318676</v>
      </c>
      <c r="D32" s="2">
        <f t="shared" si="0"/>
        <v>30688470.449999999</v>
      </c>
      <c r="E32" s="19">
        <f t="shared" si="5"/>
        <v>3630205.55</v>
      </c>
      <c r="F32" s="2">
        <f t="shared" si="6"/>
        <v>290416444.12999982</v>
      </c>
      <c r="G32" s="2">
        <f t="shared" si="7"/>
        <v>259727973.67999983</v>
      </c>
      <c r="H32" s="14">
        <f t="shared" si="1"/>
        <v>3580476.7084520529</v>
      </c>
      <c r="I32" s="16">
        <f t="shared" si="2"/>
        <v>-49728.841547946911</v>
      </c>
    </row>
    <row r="33" spans="1:9" x14ac:dyDescent="0.25">
      <c r="A33" s="29">
        <v>42740</v>
      </c>
      <c r="B33" s="1">
        <f t="shared" si="3"/>
        <v>30</v>
      </c>
      <c r="C33" s="4">
        <f t="shared" si="4"/>
        <v>34318676</v>
      </c>
      <c r="D33" s="2">
        <f t="shared" si="0"/>
        <v>31072076.329999998</v>
      </c>
      <c r="E33" s="19">
        <f t="shared" si="5"/>
        <v>3246599.67</v>
      </c>
      <c r="F33" s="2">
        <f t="shared" si="6"/>
        <v>259727973.67999983</v>
      </c>
      <c r="G33" s="2">
        <f t="shared" si="7"/>
        <v>228655897.34999985</v>
      </c>
      <c r="H33" s="14">
        <f t="shared" si="1"/>
        <v>3202125.7029041075</v>
      </c>
      <c r="I33" s="16">
        <f t="shared" si="2"/>
        <v>-44473.967095892411</v>
      </c>
    </row>
    <row r="34" spans="1:9" x14ac:dyDescent="0.25">
      <c r="A34" s="29">
        <v>42771</v>
      </c>
      <c r="B34" s="1">
        <f t="shared" si="3"/>
        <v>30</v>
      </c>
      <c r="C34" s="4">
        <f t="shared" si="4"/>
        <v>34318676</v>
      </c>
      <c r="D34" s="2">
        <f t="shared" si="0"/>
        <v>31460477.280000001</v>
      </c>
      <c r="E34" s="19">
        <f t="shared" si="5"/>
        <v>2858198.72</v>
      </c>
      <c r="F34" s="2">
        <f t="shared" si="6"/>
        <v>228655897.34999985</v>
      </c>
      <c r="G34" s="2">
        <f t="shared" si="7"/>
        <v>197195420.06999984</v>
      </c>
      <c r="H34" s="14"/>
      <c r="I34" s="16"/>
    </row>
    <row r="35" spans="1:9" x14ac:dyDescent="0.25">
      <c r="A35" s="29">
        <v>42799</v>
      </c>
      <c r="B35" s="1">
        <f t="shared" si="3"/>
        <v>30</v>
      </c>
      <c r="C35" s="4">
        <f t="shared" si="4"/>
        <v>34318676</v>
      </c>
      <c r="D35" s="2">
        <f t="shared" si="0"/>
        <v>31853733.25</v>
      </c>
      <c r="E35" s="19">
        <f t="shared" si="5"/>
        <v>2464942.75</v>
      </c>
      <c r="F35" s="2">
        <f t="shared" si="6"/>
        <v>197195420.06999984</v>
      </c>
      <c r="G35" s="2">
        <f t="shared" si="7"/>
        <v>165341686.81999984</v>
      </c>
      <c r="H35" s="14"/>
      <c r="I35" s="16"/>
    </row>
    <row r="36" spans="1:9" x14ac:dyDescent="0.25">
      <c r="A36" s="29">
        <v>42830</v>
      </c>
      <c r="B36" s="1">
        <f t="shared" si="3"/>
        <v>30</v>
      </c>
      <c r="C36" s="4">
        <f t="shared" si="4"/>
        <v>34318676</v>
      </c>
      <c r="D36" s="2">
        <f t="shared" si="0"/>
        <v>32251904.91</v>
      </c>
      <c r="E36" s="19">
        <f t="shared" si="5"/>
        <v>2066771.09</v>
      </c>
      <c r="F36" s="2">
        <f t="shared" si="6"/>
        <v>165341686.81999984</v>
      </c>
      <c r="G36" s="2">
        <f t="shared" si="7"/>
        <v>133089781.90999985</v>
      </c>
      <c r="H36" s="14"/>
      <c r="I36" s="16"/>
    </row>
    <row r="37" spans="1:9" x14ac:dyDescent="0.25">
      <c r="A37" s="29">
        <v>42860</v>
      </c>
      <c r="B37" s="1">
        <f t="shared" si="3"/>
        <v>30</v>
      </c>
      <c r="C37" s="4">
        <f t="shared" si="4"/>
        <v>34318676</v>
      </c>
      <c r="D37" s="2">
        <f t="shared" si="0"/>
        <v>32655053.73</v>
      </c>
      <c r="E37" s="19">
        <f t="shared" si="5"/>
        <v>1663622.27</v>
      </c>
      <c r="F37" s="2">
        <f t="shared" si="6"/>
        <v>133089781.90999985</v>
      </c>
      <c r="G37" s="2">
        <f t="shared" si="7"/>
        <v>100434728.17999984</v>
      </c>
      <c r="H37" s="14"/>
      <c r="I37" s="16"/>
    </row>
    <row r="38" spans="1:9" x14ac:dyDescent="0.25">
      <c r="A38" s="29">
        <v>42891</v>
      </c>
      <c r="B38" s="1">
        <f t="shared" si="3"/>
        <v>30</v>
      </c>
      <c r="C38" s="4">
        <f t="shared" si="4"/>
        <v>34318676</v>
      </c>
      <c r="D38" s="2">
        <f t="shared" si="0"/>
        <v>33063241.899999999</v>
      </c>
      <c r="E38" s="19">
        <f t="shared" si="5"/>
        <v>1255434.1000000001</v>
      </c>
      <c r="F38" s="2">
        <f t="shared" si="6"/>
        <v>100434728.17999984</v>
      </c>
      <c r="G38" s="2">
        <f t="shared" si="7"/>
        <v>67371486.279999852</v>
      </c>
      <c r="H38" s="14"/>
      <c r="I38" s="16"/>
    </row>
    <row r="39" spans="1:9" x14ac:dyDescent="0.25">
      <c r="A39" s="29">
        <v>42921</v>
      </c>
      <c r="B39" s="1">
        <f t="shared" si="3"/>
        <v>30</v>
      </c>
      <c r="C39" s="4">
        <f t="shared" si="4"/>
        <v>34318676</v>
      </c>
      <c r="D39" s="2">
        <f t="shared" si="0"/>
        <v>33476532.420000002</v>
      </c>
      <c r="E39" s="19">
        <f t="shared" si="5"/>
        <v>842143.58</v>
      </c>
      <c r="F39" s="2">
        <f t="shared" si="6"/>
        <v>67371486.279999852</v>
      </c>
      <c r="G39" s="2">
        <f t="shared" si="7"/>
        <v>33894953.85999985</v>
      </c>
      <c r="H39" s="14"/>
      <c r="I39" s="16"/>
    </row>
    <row r="40" spans="1:9" x14ac:dyDescent="0.25">
      <c r="A40" s="29">
        <v>42952</v>
      </c>
      <c r="B40" s="1">
        <f t="shared" si="3"/>
        <v>30</v>
      </c>
      <c r="C40" s="4">
        <f t="shared" si="4"/>
        <v>34318676</v>
      </c>
      <c r="D40" s="2">
        <f t="shared" si="0"/>
        <v>33894953.85999985</v>
      </c>
      <c r="E40" s="19">
        <v>423722.1400001478</v>
      </c>
      <c r="F40" s="2">
        <f t="shared" si="6"/>
        <v>33894953.85999985</v>
      </c>
      <c r="G40" s="2">
        <f t="shared" si="7"/>
        <v>0</v>
      </c>
      <c r="H40" s="14"/>
      <c r="I40" s="16"/>
    </row>
    <row r="41" spans="1:9" x14ac:dyDescent="0.25">
      <c r="A41" s="21">
        <v>42160</v>
      </c>
      <c r="B41" s="1" t="s">
        <v>55</v>
      </c>
      <c r="C41" s="4">
        <f t="shared" si="4"/>
        <v>34318676</v>
      </c>
      <c r="D41" s="2">
        <f t="shared" si="0"/>
        <v>24539441.219999999</v>
      </c>
      <c r="E41" s="19">
        <f>ROUND(F14*$B$2*B14/360,2)</f>
        <v>9779234.7799999993</v>
      </c>
      <c r="F41" s="2">
        <f>G13</f>
        <v>782338782.77999985</v>
      </c>
      <c r="G41" s="2">
        <f>F14-D14</f>
        <v>757799341.55999982</v>
      </c>
      <c r="H41" s="14"/>
      <c r="I41" s="16"/>
    </row>
    <row r="42" spans="1:9" x14ac:dyDescent="0.25">
      <c r="A42" s="21">
        <v>42190</v>
      </c>
      <c r="B42" s="1">
        <f>DAYS360(A41,A42)</f>
        <v>30</v>
      </c>
      <c r="C42" s="4">
        <f>$F$1</f>
        <v>34065067</v>
      </c>
      <c r="D42" s="2">
        <f t="shared" si="0"/>
        <v>24662575.23</v>
      </c>
      <c r="E42" s="19">
        <f>ROUND(F42*$B$2*B42/360,2)</f>
        <v>9402491.7699999996</v>
      </c>
      <c r="F42" s="2">
        <f>G14-J1</f>
        <v>752199341.55999982</v>
      </c>
      <c r="G42" s="2">
        <f>F42-D42</f>
        <v>727536766.3299998</v>
      </c>
      <c r="H42" s="14"/>
      <c r="I42" s="16"/>
    </row>
    <row r="43" spans="1:9" x14ac:dyDescent="0.25">
      <c r="A43" s="21">
        <v>42221</v>
      </c>
      <c r="B43" s="1">
        <f t="shared" ref="B43:B67" si="8">DAYS360(A42,A43)</f>
        <v>30</v>
      </c>
      <c r="C43" s="4">
        <f t="shared" ref="C43:C67" si="9">$F$1</f>
        <v>34065067</v>
      </c>
      <c r="D43" s="2">
        <f t="shared" si="0"/>
        <v>24970857.420000002</v>
      </c>
      <c r="E43" s="19">
        <f t="shared" ref="E43:E66" si="10">ROUND(F43*$B$2*B43/360,2)</f>
        <v>9094209.5800000001</v>
      </c>
      <c r="F43" s="2">
        <f>G42</f>
        <v>727536766.3299998</v>
      </c>
      <c r="G43" s="2">
        <f t="shared" ref="G43:G67" si="11">F43-D43</f>
        <v>702565908.90999985</v>
      </c>
      <c r="H43" s="14"/>
      <c r="I43" s="16"/>
    </row>
    <row r="44" spans="1:9" x14ac:dyDescent="0.25">
      <c r="A44" s="21">
        <v>42252</v>
      </c>
      <c r="B44" s="1">
        <f t="shared" si="8"/>
        <v>30</v>
      </c>
      <c r="C44" s="4">
        <f t="shared" si="9"/>
        <v>34065067</v>
      </c>
      <c r="D44" s="2">
        <f t="shared" si="0"/>
        <v>25282993.140000001</v>
      </c>
      <c r="E44" s="19">
        <f t="shared" si="10"/>
        <v>8782073.8599999994</v>
      </c>
      <c r="F44" s="2">
        <f t="shared" ref="F44:F67" si="12">G43</f>
        <v>702565908.90999985</v>
      </c>
      <c r="G44" s="2">
        <f t="shared" si="11"/>
        <v>677282915.76999986</v>
      </c>
      <c r="H44" s="14"/>
      <c r="I44" s="16"/>
    </row>
    <row r="45" spans="1:9" x14ac:dyDescent="0.25">
      <c r="A45" s="21">
        <v>42282</v>
      </c>
      <c r="B45" s="1">
        <f t="shared" si="8"/>
        <v>30</v>
      </c>
      <c r="C45" s="4">
        <f t="shared" si="9"/>
        <v>34065067</v>
      </c>
      <c r="D45" s="2">
        <f t="shared" si="0"/>
        <v>25599030.550000001</v>
      </c>
      <c r="E45" s="19">
        <f t="shared" si="10"/>
        <v>8466036.4499999993</v>
      </c>
      <c r="F45" s="2">
        <f t="shared" si="12"/>
        <v>677282915.76999986</v>
      </c>
      <c r="G45" s="2">
        <f t="shared" si="11"/>
        <v>651683885.21999991</v>
      </c>
      <c r="H45" s="14"/>
      <c r="I45" s="16"/>
    </row>
    <row r="46" spans="1:9" x14ac:dyDescent="0.25">
      <c r="A46" s="21">
        <v>42313</v>
      </c>
      <c r="B46" s="1">
        <f t="shared" si="8"/>
        <v>30</v>
      </c>
      <c r="C46" s="4">
        <f t="shared" si="9"/>
        <v>34065067</v>
      </c>
      <c r="D46" s="2">
        <f t="shared" si="0"/>
        <v>25919018.43</v>
      </c>
      <c r="E46" s="19">
        <f t="shared" si="10"/>
        <v>8146048.5700000003</v>
      </c>
      <c r="F46" s="2">
        <f t="shared" si="12"/>
        <v>651683885.21999991</v>
      </c>
      <c r="G46" s="2">
        <f t="shared" si="11"/>
        <v>625764866.78999996</v>
      </c>
      <c r="H46" s="14"/>
      <c r="I46" s="16"/>
    </row>
    <row r="47" spans="1:9" x14ac:dyDescent="0.25">
      <c r="A47" s="21">
        <v>42343</v>
      </c>
      <c r="B47" s="1">
        <f t="shared" si="8"/>
        <v>30</v>
      </c>
      <c r="C47" s="4">
        <f t="shared" si="9"/>
        <v>34065067</v>
      </c>
      <c r="D47" s="2">
        <f t="shared" si="0"/>
        <v>26243006.170000002</v>
      </c>
      <c r="E47" s="19">
        <f t="shared" si="10"/>
        <v>7822060.8300000001</v>
      </c>
      <c r="F47" s="2">
        <f t="shared" si="12"/>
        <v>625764866.78999996</v>
      </c>
      <c r="G47" s="2">
        <f t="shared" si="11"/>
        <v>599521860.62</v>
      </c>
      <c r="H47" s="14"/>
      <c r="I47" s="16"/>
    </row>
    <row r="48" spans="1:9" x14ac:dyDescent="0.25">
      <c r="A48" s="21">
        <v>42374</v>
      </c>
      <c r="B48" s="1">
        <f t="shared" si="8"/>
        <v>30</v>
      </c>
      <c r="C48" s="4">
        <f t="shared" si="9"/>
        <v>34065067</v>
      </c>
      <c r="D48" s="2">
        <f t="shared" si="0"/>
        <v>26571043.740000002</v>
      </c>
      <c r="E48" s="19">
        <f t="shared" si="10"/>
        <v>7494023.2599999998</v>
      </c>
      <c r="F48" s="2">
        <f t="shared" si="12"/>
        <v>599521860.62</v>
      </c>
      <c r="G48" s="2">
        <f t="shared" si="11"/>
        <v>572950816.88</v>
      </c>
      <c r="H48" s="14"/>
      <c r="I48" s="16"/>
    </row>
    <row r="49" spans="1:9" x14ac:dyDescent="0.25">
      <c r="A49" s="21">
        <v>42405</v>
      </c>
      <c r="B49" s="1">
        <f t="shared" si="8"/>
        <v>30</v>
      </c>
      <c r="C49" s="4">
        <f t="shared" si="9"/>
        <v>34065067</v>
      </c>
      <c r="D49" s="2">
        <f t="shared" si="0"/>
        <v>26903181.789999999</v>
      </c>
      <c r="E49" s="19">
        <f t="shared" si="10"/>
        <v>7161885.21</v>
      </c>
      <c r="F49" s="2">
        <f t="shared" si="12"/>
        <v>572950816.88</v>
      </c>
      <c r="G49" s="2">
        <f t="shared" si="11"/>
        <v>546047635.09000003</v>
      </c>
      <c r="H49" s="14"/>
      <c r="I49" s="16"/>
    </row>
    <row r="50" spans="1:9" x14ac:dyDescent="0.25">
      <c r="A50" s="21">
        <v>42434</v>
      </c>
      <c r="B50" s="1">
        <f t="shared" si="8"/>
        <v>30</v>
      </c>
      <c r="C50" s="4">
        <f t="shared" si="9"/>
        <v>34065067</v>
      </c>
      <c r="D50" s="2">
        <f t="shared" si="0"/>
        <v>27239471.559999999</v>
      </c>
      <c r="E50" s="19">
        <f t="shared" si="10"/>
        <v>6825595.4400000004</v>
      </c>
      <c r="F50" s="2">
        <f t="shared" si="12"/>
        <v>546047635.09000003</v>
      </c>
      <c r="G50" s="2">
        <f t="shared" si="11"/>
        <v>518808163.53000003</v>
      </c>
      <c r="H50" s="14"/>
      <c r="I50" s="16"/>
    </row>
    <row r="51" spans="1:9" x14ac:dyDescent="0.25">
      <c r="A51" s="21">
        <v>42465</v>
      </c>
      <c r="B51" s="1">
        <f t="shared" si="8"/>
        <v>30</v>
      </c>
      <c r="C51" s="4">
        <f t="shared" si="9"/>
        <v>34065067</v>
      </c>
      <c r="D51" s="2">
        <f t="shared" si="0"/>
        <v>27579964.960000001</v>
      </c>
      <c r="E51" s="19">
        <f t="shared" si="10"/>
        <v>6485102.04</v>
      </c>
      <c r="F51" s="2">
        <f t="shared" si="12"/>
        <v>518808163.53000003</v>
      </c>
      <c r="G51" s="2">
        <f t="shared" si="11"/>
        <v>491228198.57000005</v>
      </c>
      <c r="H51" s="14"/>
      <c r="I51" s="16"/>
    </row>
    <row r="52" spans="1:9" x14ac:dyDescent="0.25">
      <c r="A52" s="21">
        <v>42495</v>
      </c>
      <c r="B52" s="1">
        <f t="shared" si="8"/>
        <v>30</v>
      </c>
      <c r="C52" s="4">
        <f t="shared" si="9"/>
        <v>34065067</v>
      </c>
      <c r="D52" s="2">
        <f t="shared" si="0"/>
        <v>27924714.52</v>
      </c>
      <c r="E52" s="19">
        <f t="shared" si="10"/>
        <v>6140352.4800000004</v>
      </c>
      <c r="F52" s="2">
        <f t="shared" si="12"/>
        <v>491228198.57000005</v>
      </c>
      <c r="G52" s="2">
        <f t="shared" si="11"/>
        <v>463303484.05000007</v>
      </c>
      <c r="H52" s="14"/>
      <c r="I52" s="16"/>
    </row>
    <row r="53" spans="1:9" x14ac:dyDescent="0.25">
      <c r="A53" s="21">
        <v>42526</v>
      </c>
      <c r="B53" s="1">
        <f t="shared" si="8"/>
        <v>30</v>
      </c>
      <c r="C53" s="4">
        <f t="shared" si="9"/>
        <v>34065067</v>
      </c>
      <c r="D53" s="2">
        <f t="shared" si="0"/>
        <v>28273773.449999999</v>
      </c>
      <c r="E53" s="19">
        <f t="shared" si="10"/>
        <v>5791293.5499999998</v>
      </c>
      <c r="F53" s="2">
        <f t="shared" si="12"/>
        <v>463303484.05000007</v>
      </c>
      <c r="G53" s="2">
        <f t="shared" si="11"/>
        <v>435029710.60000008</v>
      </c>
      <c r="H53" s="14"/>
      <c r="I53" s="16"/>
    </row>
    <row r="54" spans="1:9" x14ac:dyDescent="0.25">
      <c r="A54" s="21">
        <v>42556</v>
      </c>
      <c r="B54" s="1">
        <f t="shared" si="8"/>
        <v>30</v>
      </c>
      <c r="C54" s="4">
        <f t="shared" si="9"/>
        <v>34065067</v>
      </c>
      <c r="D54" s="2">
        <f t="shared" si="0"/>
        <v>28627195.620000001</v>
      </c>
      <c r="E54" s="19">
        <f t="shared" si="10"/>
        <v>5437871.3799999999</v>
      </c>
      <c r="F54" s="2">
        <f t="shared" si="12"/>
        <v>435029710.60000008</v>
      </c>
      <c r="G54" s="2">
        <f t="shared" si="11"/>
        <v>406402514.98000008</v>
      </c>
      <c r="H54" s="14"/>
      <c r="I54" s="16"/>
    </row>
    <row r="55" spans="1:9" x14ac:dyDescent="0.25">
      <c r="A55" s="21">
        <v>42587</v>
      </c>
      <c r="B55" s="1">
        <f t="shared" si="8"/>
        <v>30</v>
      </c>
      <c r="C55" s="4">
        <f t="shared" si="9"/>
        <v>34065067</v>
      </c>
      <c r="D55" s="2">
        <f t="shared" si="0"/>
        <v>28985035.559999999</v>
      </c>
      <c r="E55" s="19">
        <f t="shared" si="10"/>
        <v>5080031.4400000004</v>
      </c>
      <c r="F55" s="2">
        <f t="shared" si="12"/>
        <v>406402514.98000008</v>
      </c>
      <c r="G55" s="2">
        <f t="shared" si="11"/>
        <v>377417479.42000008</v>
      </c>
      <c r="H55" s="14"/>
      <c r="I55" s="16"/>
    </row>
    <row r="56" spans="1:9" x14ac:dyDescent="0.25">
      <c r="A56" s="21">
        <v>42618</v>
      </c>
      <c r="B56" s="1">
        <f t="shared" si="8"/>
        <v>30</v>
      </c>
      <c r="C56" s="4">
        <f t="shared" si="9"/>
        <v>34065067</v>
      </c>
      <c r="D56" s="2">
        <f t="shared" si="0"/>
        <v>29347348.509999998</v>
      </c>
      <c r="E56" s="19">
        <f t="shared" si="10"/>
        <v>4717718.49</v>
      </c>
      <c r="F56" s="2">
        <f t="shared" si="12"/>
        <v>377417479.42000008</v>
      </c>
      <c r="G56" s="2">
        <f t="shared" si="11"/>
        <v>348070130.91000009</v>
      </c>
      <c r="H56" s="14"/>
      <c r="I56" s="16"/>
    </row>
    <row r="57" spans="1:9" x14ac:dyDescent="0.25">
      <c r="A57" s="21">
        <v>42648</v>
      </c>
      <c r="B57" s="1">
        <f t="shared" si="8"/>
        <v>30</v>
      </c>
      <c r="C57" s="4">
        <f t="shared" si="9"/>
        <v>34065067</v>
      </c>
      <c r="D57" s="2">
        <f t="shared" si="0"/>
        <v>29714190.359999999</v>
      </c>
      <c r="E57" s="19">
        <f t="shared" si="10"/>
        <v>4350876.6399999997</v>
      </c>
      <c r="F57" s="2">
        <f t="shared" si="12"/>
        <v>348070130.91000009</v>
      </c>
      <c r="G57" s="2">
        <f t="shared" si="11"/>
        <v>318355940.55000007</v>
      </c>
      <c r="H57" s="14"/>
      <c r="I57" s="16"/>
    </row>
    <row r="58" spans="1:9" x14ac:dyDescent="0.25">
      <c r="A58" s="21">
        <v>42679</v>
      </c>
      <c r="B58" s="1">
        <f t="shared" si="8"/>
        <v>30</v>
      </c>
      <c r="C58" s="4">
        <f t="shared" si="9"/>
        <v>34065067</v>
      </c>
      <c r="D58" s="2">
        <f t="shared" si="0"/>
        <v>30085617.740000002</v>
      </c>
      <c r="E58" s="19">
        <f t="shared" si="10"/>
        <v>3979449.26</v>
      </c>
      <c r="F58" s="2">
        <f t="shared" si="12"/>
        <v>318355940.55000007</v>
      </c>
      <c r="G58" s="2">
        <f t="shared" si="11"/>
        <v>288270322.81000006</v>
      </c>
      <c r="H58" s="14"/>
      <c r="I58" s="16"/>
    </row>
    <row r="59" spans="1:9" x14ac:dyDescent="0.25">
      <c r="A59" s="21">
        <v>42709</v>
      </c>
      <c r="B59" s="1">
        <f t="shared" si="8"/>
        <v>30</v>
      </c>
      <c r="C59" s="4">
        <f t="shared" si="9"/>
        <v>34065067</v>
      </c>
      <c r="D59" s="2">
        <f t="shared" si="0"/>
        <v>30461687.960000001</v>
      </c>
      <c r="E59" s="19">
        <f t="shared" si="10"/>
        <v>3603379.04</v>
      </c>
      <c r="F59" s="2">
        <f t="shared" si="12"/>
        <v>288270322.81000006</v>
      </c>
      <c r="G59" s="2">
        <f t="shared" si="11"/>
        <v>257808634.85000005</v>
      </c>
      <c r="H59" s="14"/>
      <c r="I59" s="16"/>
    </row>
    <row r="60" spans="1:9" x14ac:dyDescent="0.25">
      <c r="A60" s="21">
        <v>42740</v>
      </c>
      <c r="B60" s="1">
        <f t="shared" si="8"/>
        <v>30</v>
      </c>
      <c r="C60" s="4">
        <f t="shared" si="9"/>
        <v>34065067</v>
      </c>
      <c r="D60" s="2">
        <f t="shared" si="0"/>
        <v>30842459.059999999</v>
      </c>
      <c r="E60" s="19">
        <f t="shared" si="10"/>
        <v>3222607.94</v>
      </c>
      <c r="F60" s="2">
        <f t="shared" si="12"/>
        <v>257808634.85000005</v>
      </c>
      <c r="G60" s="2">
        <f t="shared" si="11"/>
        <v>226966175.79000005</v>
      </c>
      <c r="H60" s="14"/>
      <c r="I60" s="16"/>
    </row>
    <row r="61" spans="1:9" x14ac:dyDescent="0.25">
      <c r="A61" s="21">
        <v>42771</v>
      </c>
      <c r="B61" s="1">
        <f t="shared" si="8"/>
        <v>30</v>
      </c>
      <c r="C61" s="4">
        <f t="shared" si="9"/>
        <v>34065067</v>
      </c>
      <c r="D61" s="2">
        <f t="shared" si="0"/>
        <v>31227989.800000001</v>
      </c>
      <c r="E61" s="19">
        <f t="shared" si="10"/>
        <v>2837077.2</v>
      </c>
      <c r="F61" s="2">
        <f t="shared" si="12"/>
        <v>226966175.79000005</v>
      </c>
      <c r="G61" s="2">
        <f t="shared" si="11"/>
        <v>195738185.99000004</v>
      </c>
      <c r="H61" s="14"/>
      <c r="I61" s="16"/>
    </row>
    <row r="62" spans="1:9" x14ac:dyDescent="0.25">
      <c r="A62" s="21">
        <v>42799</v>
      </c>
      <c r="B62" s="1">
        <f t="shared" si="8"/>
        <v>30</v>
      </c>
      <c r="C62" s="4">
        <f t="shared" si="9"/>
        <v>34065067</v>
      </c>
      <c r="D62" s="2">
        <f t="shared" si="0"/>
        <v>31618339.68</v>
      </c>
      <c r="E62" s="19">
        <f t="shared" si="10"/>
        <v>2446727.3199999998</v>
      </c>
      <c r="F62" s="2">
        <f t="shared" si="12"/>
        <v>195738185.99000004</v>
      </c>
      <c r="G62" s="2">
        <f t="shared" si="11"/>
        <v>164119846.31000003</v>
      </c>
      <c r="H62" s="14"/>
      <c r="I62" s="16"/>
    </row>
    <row r="63" spans="1:9" x14ac:dyDescent="0.25">
      <c r="A63" s="21">
        <v>42830</v>
      </c>
      <c r="B63" s="1">
        <f t="shared" si="8"/>
        <v>30</v>
      </c>
      <c r="C63" s="4">
        <f t="shared" si="9"/>
        <v>34065067</v>
      </c>
      <c r="D63" s="2">
        <f t="shared" si="0"/>
        <v>32013568.920000002</v>
      </c>
      <c r="E63" s="19">
        <f t="shared" si="10"/>
        <v>2051498.08</v>
      </c>
      <c r="F63" s="2">
        <f t="shared" si="12"/>
        <v>164119846.31000003</v>
      </c>
      <c r="G63" s="2">
        <f t="shared" si="11"/>
        <v>132106277.39000003</v>
      </c>
      <c r="H63" s="14"/>
      <c r="I63" s="16"/>
    </row>
    <row r="64" spans="1:9" x14ac:dyDescent="0.25">
      <c r="A64" s="21">
        <v>42860</v>
      </c>
      <c r="B64" s="1">
        <f t="shared" si="8"/>
        <v>30</v>
      </c>
      <c r="C64" s="4">
        <f t="shared" si="9"/>
        <v>34065067</v>
      </c>
      <c r="D64" s="2">
        <f t="shared" si="0"/>
        <v>32413738.530000001</v>
      </c>
      <c r="E64" s="19">
        <f t="shared" si="10"/>
        <v>1651328.47</v>
      </c>
      <c r="F64" s="2">
        <f t="shared" si="12"/>
        <v>132106277.39000003</v>
      </c>
      <c r="G64" s="2">
        <f t="shared" si="11"/>
        <v>99692538.860000029</v>
      </c>
      <c r="H64" s="14"/>
      <c r="I64" s="16"/>
    </row>
    <row r="65" spans="1:9" x14ac:dyDescent="0.25">
      <c r="A65" s="21">
        <v>42891</v>
      </c>
      <c r="B65" s="1">
        <f t="shared" si="8"/>
        <v>30</v>
      </c>
      <c r="C65" s="4">
        <f t="shared" si="9"/>
        <v>34065067</v>
      </c>
      <c r="D65" s="2">
        <f t="shared" si="0"/>
        <v>32818910.260000002</v>
      </c>
      <c r="E65" s="19">
        <f t="shared" si="10"/>
        <v>1246156.74</v>
      </c>
      <c r="F65" s="2">
        <f t="shared" si="12"/>
        <v>99692538.860000029</v>
      </c>
      <c r="G65" s="2">
        <f t="shared" si="11"/>
        <v>66873628.600000024</v>
      </c>
      <c r="H65" s="14"/>
      <c r="I65" s="16"/>
    </row>
    <row r="66" spans="1:9" x14ac:dyDescent="0.25">
      <c r="A66" s="21">
        <v>42921</v>
      </c>
      <c r="B66" s="1">
        <f t="shared" si="8"/>
        <v>30</v>
      </c>
      <c r="C66" s="4">
        <f t="shared" si="9"/>
        <v>34065067</v>
      </c>
      <c r="D66" s="2">
        <f t="shared" si="0"/>
        <v>33229146.640000001</v>
      </c>
      <c r="E66" s="19">
        <f t="shared" si="10"/>
        <v>835920.36</v>
      </c>
      <c r="F66" s="2">
        <f t="shared" si="12"/>
        <v>66873628.600000024</v>
      </c>
      <c r="G66" s="2">
        <f t="shared" si="11"/>
        <v>33644481.960000023</v>
      </c>
      <c r="H66" s="14"/>
      <c r="I66" s="16"/>
    </row>
    <row r="67" spans="1:9" x14ac:dyDescent="0.25">
      <c r="A67" s="21">
        <v>42952</v>
      </c>
      <c r="B67" s="1">
        <f t="shared" si="8"/>
        <v>30</v>
      </c>
      <c r="C67" s="4">
        <f t="shared" si="9"/>
        <v>34065067</v>
      </c>
      <c r="D67" s="2">
        <f t="shared" si="0"/>
        <v>33644481.960000023</v>
      </c>
      <c r="E67" s="19">
        <v>420585.03999997349</v>
      </c>
      <c r="F67" s="2">
        <f t="shared" si="12"/>
        <v>33644481.960000023</v>
      </c>
      <c r="G67" s="2">
        <f t="shared" si="11"/>
        <v>0</v>
      </c>
      <c r="H67" s="14"/>
      <c r="I67" s="16"/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0C96E-D749-4997-8335-8BA22B8935A4}">
  <sheetPr codeName="Sheet4"/>
  <dimension ref="A1:R3"/>
  <sheetViews>
    <sheetView workbookViewId="0">
      <selection activeCell="R2" sqref="R2:R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6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0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56</v>
      </c>
      <c r="P2" s="20" t="s">
        <v>45</v>
      </c>
      <c r="Q2" s="20" t="s">
        <v>46</v>
      </c>
      <c r="R2" s="20" t="s">
        <v>57</v>
      </c>
    </row>
    <row r="3" spans="1:18" x14ac:dyDescent="0.25">
      <c r="A3" s="12" t="s">
        <v>0</v>
      </c>
      <c r="B3" s="7" t="s">
        <v>9</v>
      </c>
      <c r="C3" s="7" t="s">
        <v>39</v>
      </c>
      <c r="D3" s="8" t="s">
        <v>40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0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56</v>
      </c>
      <c r="P3" s="20" t="s">
        <v>45</v>
      </c>
      <c r="Q3" s="20" t="s">
        <v>46</v>
      </c>
      <c r="R3" s="20" t="s">
        <v>58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F6A8E7-2715-435D-B2EE-21E9D165FFE7}">
  <sheetPr codeName="Sheet5"/>
  <dimension ref="A1:J47"/>
  <sheetViews>
    <sheetView zoomScale="96" zoomScaleNormal="100" workbookViewId="0">
      <pane ySplit="3" topLeftCell="A32" activePane="bottomLeft" state="frozen"/>
      <selection activeCell="R2" sqref="R2:R3"/>
      <selection pane="bottomLeft" activeCell="F2" sqref="F2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41855</v>
      </c>
      <c r="C1" s="15" t="s">
        <v>37</v>
      </c>
      <c r="D1" s="23">
        <f>ROUNDUP(34326798.9648496,0)</f>
        <v>34326799</v>
      </c>
      <c r="E1" s="25" t="s">
        <v>51</v>
      </c>
      <c r="F1" s="24">
        <f>ROUNDUP(33357338.1859315,0)</f>
        <v>33357339</v>
      </c>
      <c r="G1" s="28" t="s">
        <v>52</v>
      </c>
      <c r="H1" s="26">
        <v>42782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H1-A41</f>
        <v>11</v>
      </c>
      <c r="E2" t="s">
        <v>59</v>
      </c>
      <c r="F2">
        <f>A42-H1</f>
        <v>17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41856</v>
      </c>
      <c r="B4" s="1">
        <f>_xlfn.DAYS(A4,B1)</f>
        <v>1</v>
      </c>
      <c r="C4" s="10" t="s">
        <v>28</v>
      </c>
      <c r="D4" s="3" t="s">
        <v>15</v>
      </c>
      <c r="E4" s="19">
        <f>ROUNDUP(F4*$B$2*B4/365,0)</f>
        <v>406850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-0.68493150686845183</v>
      </c>
    </row>
    <row r="5" spans="1:10" x14ac:dyDescent="0.25">
      <c r="A5" s="29">
        <v>41887</v>
      </c>
      <c r="B5" s="1">
        <f>_xlfn.DAYS(A5,A4)</f>
        <v>31</v>
      </c>
      <c r="C5" s="4">
        <f>$D$1</f>
        <v>34326799</v>
      </c>
      <c r="D5" s="2">
        <f t="shared" ref="D5:D47" si="0">C5-E5</f>
        <v>21714470.23</v>
      </c>
      <c r="E5" s="19">
        <f>ROUND(F5*$B$2*B5/365,2)</f>
        <v>12612328.77</v>
      </c>
      <c r="F5" s="2">
        <f>G4</f>
        <v>990000000</v>
      </c>
      <c r="G5" s="2">
        <f>F5-D5</f>
        <v>968285529.76999998</v>
      </c>
      <c r="H5" s="14">
        <f t="shared" ref="H5:H33" si="1">F5*$B$2*B5/365</f>
        <v>12612328.767123288</v>
      </c>
      <c r="I5" s="16">
        <f t="shared" ref="I5:I33" si="2">H5-E5</f>
        <v>-2.8767120093107224E-3</v>
      </c>
    </row>
    <row r="6" spans="1:10" x14ac:dyDescent="0.25">
      <c r="A6" s="29">
        <v>41917</v>
      </c>
      <c r="B6" s="1">
        <f t="shared" ref="B6:B47" si="3">_xlfn.DAYS(A6,A5)</f>
        <v>30</v>
      </c>
      <c r="C6" s="4">
        <f t="shared" ref="C6:C41" si="4">$D$1</f>
        <v>34326799</v>
      </c>
      <c r="D6" s="2">
        <f t="shared" si="0"/>
        <v>22389032.189999998</v>
      </c>
      <c r="E6" s="19">
        <f t="shared" ref="E6:E39" si="5">ROUND(F6*$B$2*B6/365,2)</f>
        <v>11937766.810000001</v>
      </c>
      <c r="F6" s="2">
        <f t="shared" ref="F6:F40" si="6">G5</f>
        <v>968285529.76999998</v>
      </c>
      <c r="G6" s="2">
        <f t="shared" ref="G6:G40" si="7">F6-D6</f>
        <v>945896497.57999992</v>
      </c>
      <c r="H6" s="14">
        <f t="shared" si="1"/>
        <v>11937766.805383561</v>
      </c>
      <c r="I6" s="16">
        <f t="shared" si="2"/>
        <v>-4.6164393424987793E-3</v>
      </c>
    </row>
    <row r="7" spans="1:10" x14ac:dyDescent="0.25">
      <c r="A7" s="29">
        <v>41948</v>
      </c>
      <c r="B7" s="1">
        <f t="shared" si="3"/>
        <v>31</v>
      </c>
      <c r="C7" s="4">
        <f t="shared" si="4"/>
        <v>34326799</v>
      </c>
      <c r="D7" s="2">
        <f t="shared" si="0"/>
        <v>22276336.77</v>
      </c>
      <c r="E7" s="19">
        <f t="shared" si="5"/>
        <v>12050462.23</v>
      </c>
      <c r="F7" s="2">
        <f t="shared" si="6"/>
        <v>945896497.57999992</v>
      </c>
      <c r="G7" s="2">
        <f t="shared" si="7"/>
        <v>923620160.80999994</v>
      </c>
      <c r="H7" s="14">
        <f t="shared" si="1"/>
        <v>12050462.229443835</v>
      </c>
      <c r="I7" s="16">
        <f t="shared" si="2"/>
        <v>-5.5616535246372223E-4</v>
      </c>
    </row>
    <row r="8" spans="1:10" x14ac:dyDescent="0.25">
      <c r="A8" s="29">
        <v>41978</v>
      </c>
      <c r="B8" s="1">
        <f t="shared" si="3"/>
        <v>30</v>
      </c>
      <c r="C8" s="4">
        <f t="shared" si="4"/>
        <v>34326799</v>
      </c>
      <c r="D8" s="2">
        <f t="shared" si="0"/>
        <v>22939701.130000003</v>
      </c>
      <c r="E8" s="19">
        <f t="shared" si="5"/>
        <v>11387097.869999999</v>
      </c>
      <c r="F8" s="2">
        <f t="shared" si="6"/>
        <v>923620160.80999994</v>
      </c>
      <c r="G8" s="2">
        <f t="shared" si="7"/>
        <v>900680459.67999995</v>
      </c>
      <c r="H8" s="14">
        <f t="shared" si="1"/>
        <v>11387097.872999998</v>
      </c>
      <c r="I8" s="16">
        <f t="shared" si="2"/>
        <v>2.9999986290931702E-3</v>
      </c>
    </row>
    <row r="9" spans="1:10" x14ac:dyDescent="0.25">
      <c r="A9" s="29">
        <v>42009</v>
      </c>
      <c r="B9" s="1">
        <f t="shared" si="3"/>
        <v>31</v>
      </c>
      <c r="C9" s="4">
        <f t="shared" si="4"/>
        <v>34326799</v>
      </c>
      <c r="D9" s="2">
        <f t="shared" si="0"/>
        <v>22852376.710000001</v>
      </c>
      <c r="E9" s="19">
        <f t="shared" si="5"/>
        <v>11474422.289999999</v>
      </c>
      <c r="F9" s="2">
        <f t="shared" si="6"/>
        <v>900680459.67999995</v>
      </c>
      <c r="G9" s="2">
        <f t="shared" si="7"/>
        <v>877828082.96999991</v>
      </c>
      <c r="H9" s="14">
        <f t="shared" si="1"/>
        <v>11474422.294553423</v>
      </c>
      <c r="I9" s="16">
        <f t="shared" si="2"/>
        <v>4.5534241944551468E-3</v>
      </c>
    </row>
    <row r="10" spans="1:10" x14ac:dyDescent="0.25">
      <c r="A10" s="29">
        <v>42040</v>
      </c>
      <c r="B10" s="1">
        <f t="shared" si="3"/>
        <v>31</v>
      </c>
      <c r="C10" s="4">
        <f t="shared" si="4"/>
        <v>34326799</v>
      </c>
      <c r="D10" s="2">
        <f t="shared" si="0"/>
        <v>23143509.719999999</v>
      </c>
      <c r="E10" s="19">
        <f t="shared" si="5"/>
        <v>11183289.279999999</v>
      </c>
      <c r="F10" s="2">
        <f t="shared" si="6"/>
        <v>877828082.96999991</v>
      </c>
      <c r="G10" s="2">
        <f t="shared" si="7"/>
        <v>854684573.24999988</v>
      </c>
      <c r="H10" s="14">
        <f t="shared" si="1"/>
        <v>11183289.276193149</v>
      </c>
      <c r="I10" s="16">
        <f t="shared" si="2"/>
        <v>-3.80684994161129E-3</v>
      </c>
    </row>
    <row r="11" spans="1:10" x14ac:dyDescent="0.25">
      <c r="A11" s="29">
        <v>42068</v>
      </c>
      <c r="B11" s="1">
        <f t="shared" si="3"/>
        <v>28</v>
      </c>
      <c r="C11" s="4">
        <f t="shared" si="4"/>
        <v>34326799</v>
      </c>
      <c r="D11" s="2">
        <f t="shared" si="0"/>
        <v>24492072.399999999</v>
      </c>
      <c r="E11" s="19">
        <f t="shared" si="5"/>
        <v>9834726.5999999996</v>
      </c>
      <c r="F11" s="2">
        <f t="shared" si="6"/>
        <v>854684573.24999988</v>
      </c>
      <c r="G11" s="2">
        <f t="shared" si="7"/>
        <v>830192500.8499999</v>
      </c>
      <c r="H11" s="14">
        <f t="shared" si="1"/>
        <v>9834726.5963013694</v>
      </c>
      <c r="I11" s="16">
        <f t="shared" si="2"/>
        <v>-3.6986302584409714E-3</v>
      </c>
    </row>
    <row r="12" spans="1:10" x14ac:dyDescent="0.25">
      <c r="A12" s="29">
        <v>42099</v>
      </c>
      <c r="B12" s="1">
        <f t="shared" si="3"/>
        <v>31</v>
      </c>
      <c r="C12" s="4">
        <f t="shared" si="4"/>
        <v>34326799</v>
      </c>
      <c r="D12" s="2">
        <f t="shared" si="0"/>
        <v>23750373.990000002</v>
      </c>
      <c r="E12" s="19">
        <f t="shared" si="5"/>
        <v>10576425.01</v>
      </c>
      <c r="F12" s="2">
        <f t="shared" si="6"/>
        <v>830192500.8499999</v>
      </c>
      <c r="G12" s="2">
        <f t="shared" si="7"/>
        <v>806442126.8599999</v>
      </c>
      <c r="H12" s="14">
        <f t="shared" si="1"/>
        <v>10576425.010828765</v>
      </c>
      <c r="I12" s="16">
        <f t="shared" si="2"/>
        <v>8.2876533269882202E-4</v>
      </c>
    </row>
    <row r="13" spans="1:10" x14ac:dyDescent="0.25">
      <c r="A13" s="29">
        <v>42129</v>
      </c>
      <c r="B13" s="1">
        <f t="shared" si="3"/>
        <v>30</v>
      </c>
      <c r="C13" s="4">
        <f t="shared" si="4"/>
        <v>34326799</v>
      </c>
      <c r="D13" s="2">
        <f t="shared" si="0"/>
        <v>24384361.82</v>
      </c>
      <c r="E13" s="19">
        <f t="shared" si="5"/>
        <v>9942437.1799999997</v>
      </c>
      <c r="F13" s="2">
        <f t="shared" si="6"/>
        <v>806442126.8599999</v>
      </c>
      <c r="G13" s="2">
        <f t="shared" si="7"/>
        <v>782057765.03999984</v>
      </c>
      <c r="H13" s="14">
        <f t="shared" si="1"/>
        <v>9942437.1804657523</v>
      </c>
      <c r="I13" s="16">
        <f t="shared" si="2"/>
        <v>4.6575255692005157E-4</v>
      </c>
    </row>
    <row r="14" spans="1:10" x14ac:dyDescent="0.25">
      <c r="A14" s="29">
        <v>42160</v>
      </c>
      <c r="B14" s="1">
        <f t="shared" si="3"/>
        <v>31</v>
      </c>
      <c r="C14" s="4">
        <f t="shared" si="4"/>
        <v>34326799</v>
      </c>
      <c r="D14" s="2">
        <f t="shared" si="0"/>
        <v>24363597.34</v>
      </c>
      <c r="E14" s="19">
        <f t="shared" si="5"/>
        <v>9963201.6600000001</v>
      </c>
      <c r="F14" s="2">
        <f t="shared" si="6"/>
        <v>782057765.03999984</v>
      </c>
      <c r="G14" s="2">
        <f t="shared" si="7"/>
        <v>757694167.69999981</v>
      </c>
      <c r="H14" s="14">
        <f t="shared" si="1"/>
        <v>9963201.6642082166</v>
      </c>
      <c r="I14" s="16">
        <f t="shared" si="2"/>
        <v>4.2082164436578751E-3</v>
      </c>
    </row>
    <row r="15" spans="1:10" x14ac:dyDescent="0.25">
      <c r="A15" s="29">
        <v>42190</v>
      </c>
      <c r="B15" s="1">
        <f t="shared" si="3"/>
        <v>30</v>
      </c>
      <c r="C15" s="4">
        <f t="shared" si="4"/>
        <v>34326799</v>
      </c>
      <c r="D15" s="2">
        <f t="shared" si="0"/>
        <v>24985364.060000002</v>
      </c>
      <c r="E15" s="19">
        <f t="shared" si="5"/>
        <v>9341434.9399999995</v>
      </c>
      <c r="F15" s="2">
        <f t="shared" si="6"/>
        <v>757694167.69999981</v>
      </c>
      <c r="G15" s="2">
        <f t="shared" si="7"/>
        <v>732708803.63999987</v>
      </c>
      <c r="H15" s="14">
        <f t="shared" si="1"/>
        <v>9341434.9442465734</v>
      </c>
      <c r="I15" s="16">
        <f t="shared" si="2"/>
        <v>4.2465738952159882E-3</v>
      </c>
    </row>
    <row r="16" spans="1:10" x14ac:dyDescent="0.25">
      <c r="A16" s="29">
        <v>42221</v>
      </c>
      <c r="B16" s="1">
        <f t="shared" si="3"/>
        <v>31</v>
      </c>
      <c r="C16" s="4">
        <f t="shared" si="4"/>
        <v>34326799</v>
      </c>
      <c r="D16" s="2">
        <f t="shared" si="0"/>
        <v>24992289.579999998</v>
      </c>
      <c r="E16" s="19">
        <f t="shared" si="5"/>
        <v>9334509.4199999999</v>
      </c>
      <c r="F16" s="2">
        <f t="shared" si="6"/>
        <v>732708803.63999987</v>
      </c>
      <c r="G16" s="2">
        <f t="shared" si="7"/>
        <v>707716514.05999982</v>
      </c>
      <c r="H16" s="14">
        <f t="shared" si="1"/>
        <v>9334509.4162356146</v>
      </c>
      <c r="I16" s="16">
        <f t="shared" si="2"/>
        <v>-3.7643853574991226E-3</v>
      </c>
    </row>
    <row r="17" spans="1:9" x14ac:dyDescent="0.25">
      <c r="A17" s="29">
        <v>42252</v>
      </c>
      <c r="B17" s="1">
        <f t="shared" si="3"/>
        <v>31</v>
      </c>
      <c r="C17" s="4">
        <f t="shared" si="4"/>
        <v>34326799</v>
      </c>
      <c r="D17" s="2">
        <f t="shared" si="0"/>
        <v>25310684.509999998</v>
      </c>
      <c r="E17" s="19">
        <f t="shared" si="5"/>
        <v>9016114.4900000002</v>
      </c>
      <c r="F17" s="2">
        <f t="shared" si="6"/>
        <v>707716514.05999982</v>
      </c>
      <c r="G17" s="2">
        <f t="shared" si="7"/>
        <v>682405829.54999983</v>
      </c>
      <c r="H17" s="14">
        <f t="shared" si="1"/>
        <v>9016114.494189037</v>
      </c>
      <c r="I17" s="16">
        <f t="shared" si="2"/>
        <v>4.1890367865562439E-3</v>
      </c>
    </row>
    <row r="18" spans="1:9" x14ac:dyDescent="0.25">
      <c r="A18" s="29">
        <v>42282</v>
      </c>
      <c r="B18" s="1">
        <f t="shared" si="3"/>
        <v>30</v>
      </c>
      <c r="C18" s="4">
        <f t="shared" si="4"/>
        <v>34326799</v>
      </c>
      <c r="D18" s="2">
        <f t="shared" si="0"/>
        <v>25913576.439999998</v>
      </c>
      <c r="E18" s="19">
        <f t="shared" si="5"/>
        <v>8413222.5600000005</v>
      </c>
      <c r="F18" s="2">
        <f t="shared" si="6"/>
        <v>682405829.54999983</v>
      </c>
      <c r="G18" s="2">
        <f t="shared" si="7"/>
        <v>656492253.1099999</v>
      </c>
      <c r="H18" s="14">
        <f t="shared" si="1"/>
        <v>8413222.5560958888</v>
      </c>
      <c r="I18" s="16">
        <f t="shared" si="2"/>
        <v>-3.9041116833686829E-3</v>
      </c>
    </row>
    <row r="19" spans="1:9" x14ac:dyDescent="0.25">
      <c r="A19" s="29">
        <v>42313</v>
      </c>
      <c r="B19" s="1">
        <f t="shared" si="3"/>
        <v>31</v>
      </c>
      <c r="C19" s="4">
        <f t="shared" si="4"/>
        <v>34326799</v>
      </c>
      <c r="D19" s="2">
        <f t="shared" si="0"/>
        <v>25963267.559999999</v>
      </c>
      <c r="E19" s="19">
        <f t="shared" si="5"/>
        <v>8363531.4400000004</v>
      </c>
      <c r="F19" s="2">
        <f t="shared" si="6"/>
        <v>656492253.1099999</v>
      </c>
      <c r="G19" s="2">
        <f t="shared" si="7"/>
        <v>630528985.54999995</v>
      </c>
      <c r="H19" s="14">
        <f t="shared" si="1"/>
        <v>8363531.4437301364</v>
      </c>
      <c r="I19" s="16">
        <f t="shared" si="2"/>
        <v>3.7301359698176384E-3</v>
      </c>
    </row>
    <row r="20" spans="1:9" x14ac:dyDescent="0.25">
      <c r="A20" s="29">
        <v>42343</v>
      </c>
      <c r="B20" s="1">
        <f t="shared" si="3"/>
        <v>30</v>
      </c>
      <c r="C20" s="4">
        <f t="shared" si="4"/>
        <v>34326799</v>
      </c>
      <c r="D20" s="2">
        <f t="shared" si="0"/>
        <v>26553153.969999999</v>
      </c>
      <c r="E20" s="19">
        <f t="shared" si="5"/>
        <v>7773645.0300000003</v>
      </c>
      <c r="F20" s="2">
        <f t="shared" si="6"/>
        <v>630528985.54999995</v>
      </c>
      <c r="G20" s="2">
        <f t="shared" si="7"/>
        <v>603975831.57999992</v>
      </c>
      <c r="H20" s="14">
        <f t="shared" si="1"/>
        <v>7773645.0273287669</v>
      </c>
      <c r="I20" s="16">
        <f t="shared" si="2"/>
        <v>-2.6712333783507347E-3</v>
      </c>
    </row>
    <row r="21" spans="1:9" x14ac:dyDescent="0.25">
      <c r="A21" s="29">
        <v>42374</v>
      </c>
      <c r="B21" s="1">
        <f t="shared" si="3"/>
        <v>31</v>
      </c>
      <c r="C21" s="4">
        <f t="shared" si="4"/>
        <v>34326799</v>
      </c>
      <c r="D21" s="2">
        <f t="shared" si="0"/>
        <v>26632312.379999999</v>
      </c>
      <c r="E21" s="19">
        <f t="shared" si="5"/>
        <v>7694486.6200000001</v>
      </c>
      <c r="F21" s="2">
        <f t="shared" si="6"/>
        <v>603975831.57999992</v>
      </c>
      <c r="G21" s="2">
        <f t="shared" si="7"/>
        <v>577343519.19999993</v>
      </c>
      <c r="H21" s="14">
        <f t="shared" si="1"/>
        <v>7694486.6214986295</v>
      </c>
      <c r="I21" s="16">
        <f t="shared" si="2"/>
        <v>1.4986293390393257E-3</v>
      </c>
    </row>
    <row r="22" spans="1:9" x14ac:dyDescent="0.25">
      <c r="A22" s="29">
        <v>42405</v>
      </c>
      <c r="B22" s="1">
        <f t="shared" si="3"/>
        <v>31</v>
      </c>
      <c r="C22" s="4">
        <f t="shared" si="4"/>
        <v>34326799</v>
      </c>
      <c r="D22" s="2">
        <f t="shared" si="0"/>
        <v>26971600.740000002</v>
      </c>
      <c r="E22" s="19">
        <f t="shared" si="5"/>
        <v>7355198.2599999998</v>
      </c>
      <c r="F22" s="2">
        <f t="shared" si="6"/>
        <v>577343519.19999993</v>
      </c>
      <c r="G22" s="2">
        <f t="shared" si="7"/>
        <v>550371918.45999992</v>
      </c>
      <c r="H22" s="14">
        <f t="shared" si="1"/>
        <v>7355198.258301368</v>
      </c>
      <c r="I22" s="16">
        <f t="shared" si="2"/>
        <v>-1.6986317932605743E-3</v>
      </c>
    </row>
    <row r="23" spans="1:9" x14ac:dyDescent="0.25">
      <c r="A23" s="29">
        <v>42434</v>
      </c>
      <c r="B23" s="1">
        <f t="shared" si="3"/>
        <v>29</v>
      </c>
      <c r="C23" s="4">
        <f t="shared" si="4"/>
        <v>34326799</v>
      </c>
      <c r="D23" s="2">
        <f t="shared" si="0"/>
        <v>27767572.030000001</v>
      </c>
      <c r="E23" s="19">
        <f t="shared" si="5"/>
        <v>6559226.9699999997</v>
      </c>
      <c r="F23" s="2">
        <f t="shared" si="6"/>
        <v>550371918.45999992</v>
      </c>
      <c r="G23" s="2">
        <f t="shared" si="7"/>
        <v>522604346.42999995</v>
      </c>
      <c r="H23" s="14">
        <f t="shared" si="1"/>
        <v>6559226.9734273953</v>
      </c>
      <c r="I23" s="16">
        <f t="shared" si="2"/>
        <v>3.4273955971002579E-3</v>
      </c>
    </row>
    <row r="24" spans="1:9" x14ac:dyDescent="0.25">
      <c r="A24" s="29">
        <v>42465</v>
      </c>
      <c r="B24" s="1">
        <f t="shared" si="3"/>
        <v>31</v>
      </c>
      <c r="C24" s="4">
        <f t="shared" si="4"/>
        <v>34326799</v>
      </c>
      <c r="D24" s="2">
        <f t="shared" si="0"/>
        <v>27668962.809999999</v>
      </c>
      <c r="E24" s="19">
        <f t="shared" si="5"/>
        <v>6657836.1900000004</v>
      </c>
      <c r="F24" s="2">
        <f t="shared" si="6"/>
        <v>522604346.42999995</v>
      </c>
      <c r="G24" s="2">
        <f t="shared" si="7"/>
        <v>494935383.61999995</v>
      </c>
      <c r="H24" s="14">
        <f t="shared" si="1"/>
        <v>6657836.1942452053</v>
      </c>
      <c r="I24" s="16">
        <f t="shared" si="2"/>
        <v>4.2452048510313034E-3</v>
      </c>
    </row>
    <row r="25" spans="1:9" x14ac:dyDescent="0.25">
      <c r="A25" s="29">
        <v>42495</v>
      </c>
      <c r="B25" s="1">
        <f t="shared" si="3"/>
        <v>30</v>
      </c>
      <c r="C25" s="4">
        <f t="shared" si="4"/>
        <v>34326799</v>
      </c>
      <c r="D25" s="2">
        <f t="shared" si="0"/>
        <v>28224855.91</v>
      </c>
      <c r="E25" s="19">
        <f t="shared" si="5"/>
        <v>6101943.0899999999</v>
      </c>
      <c r="F25" s="2">
        <f t="shared" si="6"/>
        <v>494935383.61999995</v>
      </c>
      <c r="G25" s="2">
        <f t="shared" si="7"/>
        <v>466710527.70999992</v>
      </c>
      <c r="H25" s="14">
        <f t="shared" si="1"/>
        <v>6101943.0857260264</v>
      </c>
      <c r="I25" s="16">
        <f t="shared" si="2"/>
        <v>-4.2739734053611755E-3</v>
      </c>
    </row>
    <row r="26" spans="1:9" x14ac:dyDescent="0.25">
      <c r="A26" s="29">
        <v>42526</v>
      </c>
      <c r="B26" s="1">
        <f t="shared" si="3"/>
        <v>31</v>
      </c>
      <c r="C26" s="4">
        <f t="shared" si="4"/>
        <v>34326799</v>
      </c>
      <c r="D26" s="2">
        <f t="shared" si="0"/>
        <v>28381034.740000002</v>
      </c>
      <c r="E26" s="19">
        <f t="shared" si="5"/>
        <v>5945764.2599999998</v>
      </c>
      <c r="F26" s="2">
        <f t="shared" si="6"/>
        <v>466710527.70999992</v>
      </c>
      <c r="G26" s="2">
        <f t="shared" si="7"/>
        <v>438329492.96999991</v>
      </c>
      <c r="H26" s="14">
        <f t="shared" si="1"/>
        <v>5945764.2571273958</v>
      </c>
      <c r="I26" s="16">
        <f t="shared" si="2"/>
        <v>-2.8726039454340935E-3</v>
      </c>
    </row>
    <row r="27" spans="1:9" x14ac:dyDescent="0.25">
      <c r="A27" s="29">
        <v>42556</v>
      </c>
      <c r="B27" s="1">
        <f t="shared" si="3"/>
        <v>30</v>
      </c>
      <c r="C27" s="4">
        <f t="shared" si="4"/>
        <v>34326799</v>
      </c>
      <c r="D27" s="2">
        <f t="shared" si="0"/>
        <v>28922736.759999998</v>
      </c>
      <c r="E27" s="19">
        <f t="shared" si="5"/>
        <v>5404062.2400000002</v>
      </c>
      <c r="F27" s="2">
        <f t="shared" si="6"/>
        <v>438329492.96999991</v>
      </c>
      <c r="G27" s="2">
        <f t="shared" si="7"/>
        <v>409406756.20999992</v>
      </c>
      <c r="H27" s="14">
        <f t="shared" si="1"/>
        <v>5404062.2420958895</v>
      </c>
      <c r="I27" s="16">
        <f t="shared" si="2"/>
        <v>2.0958893001079559E-3</v>
      </c>
    </row>
    <row r="28" spans="1:9" x14ac:dyDescent="0.25">
      <c r="A28" s="29">
        <v>42587</v>
      </c>
      <c r="B28" s="1">
        <f t="shared" si="3"/>
        <v>31</v>
      </c>
      <c r="C28" s="4">
        <f t="shared" si="4"/>
        <v>34326799</v>
      </c>
      <c r="D28" s="2">
        <f t="shared" si="0"/>
        <v>29111069.09</v>
      </c>
      <c r="E28" s="19">
        <f t="shared" si="5"/>
        <v>5215729.91</v>
      </c>
      <c r="F28" s="2">
        <f t="shared" si="6"/>
        <v>409406756.20999992</v>
      </c>
      <c r="G28" s="2">
        <f t="shared" si="7"/>
        <v>380295687.11999995</v>
      </c>
      <c r="H28" s="14">
        <f t="shared" si="1"/>
        <v>5215729.9078808213</v>
      </c>
      <c r="I28" s="16">
        <f t="shared" si="2"/>
        <v>-2.1191788837313652E-3</v>
      </c>
    </row>
    <row r="29" spans="1:9" x14ac:dyDescent="0.25">
      <c r="A29" s="29">
        <v>42618</v>
      </c>
      <c r="B29" s="1">
        <f t="shared" si="3"/>
        <v>31</v>
      </c>
      <c r="C29" s="4">
        <f t="shared" si="4"/>
        <v>34326799</v>
      </c>
      <c r="D29" s="2">
        <f t="shared" si="0"/>
        <v>29481936.140000001</v>
      </c>
      <c r="E29" s="19">
        <f t="shared" si="5"/>
        <v>4844862.8600000003</v>
      </c>
      <c r="F29" s="2">
        <f t="shared" si="6"/>
        <v>380295687.11999995</v>
      </c>
      <c r="G29" s="2">
        <f t="shared" si="7"/>
        <v>350813750.97999996</v>
      </c>
      <c r="H29" s="14">
        <f t="shared" si="1"/>
        <v>4844862.8633095883</v>
      </c>
      <c r="I29" s="16">
        <f t="shared" si="2"/>
        <v>3.3095879480242729E-3</v>
      </c>
    </row>
    <row r="30" spans="1:9" x14ac:dyDescent="0.25">
      <c r="A30" s="29">
        <v>42648</v>
      </c>
      <c r="B30" s="1">
        <f t="shared" si="3"/>
        <v>30</v>
      </c>
      <c r="C30" s="4">
        <f t="shared" si="4"/>
        <v>34326799</v>
      </c>
      <c r="D30" s="2">
        <f t="shared" si="0"/>
        <v>30001697.960000001</v>
      </c>
      <c r="E30" s="19">
        <f t="shared" si="5"/>
        <v>4325101.04</v>
      </c>
      <c r="F30" s="2">
        <f t="shared" si="6"/>
        <v>350813750.97999996</v>
      </c>
      <c r="G30" s="2">
        <f t="shared" si="7"/>
        <v>320812053.01999998</v>
      </c>
      <c r="H30" s="14">
        <f t="shared" si="1"/>
        <v>4325101.0394794513</v>
      </c>
      <c r="I30" s="16">
        <f t="shared" si="2"/>
        <v>-5.2054878324270248E-4</v>
      </c>
    </row>
    <row r="31" spans="1:9" x14ac:dyDescent="0.25">
      <c r="A31" s="29">
        <v>42679</v>
      </c>
      <c r="B31" s="1">
        <f t="shared" si="3"/>
        <v>31</v>
      </c>
      <c r="C31" s="4">
        <f t="shared" si="4"/>
        <v>34326799</v>
      </c>
      <c r="D31" s="2">
        <f t="shared" si="0"/>
        <v>30239741.34</v>
      </c>
      <c r="E31" s="19">
        <f t="shared" si="5"/>
        <v>4087057.66</v>
      </c>
      <c r="F31" s="2">
        <f t="shared" si="6"/>
        <v>320812053.01999998</v>
      </c>
      <c r="G31" s="2">
        <f t="shared" si="7"/>
        <v>290572311.68000001</v>
      </c>
      <c r="H31" s="14">
        <f t="shared" si="1"/>
        <v>4087057.6617616434</v>
      </c>
      <c r="I31" s="16">
        <f t="shared" si="2"/>
        <v>1.7616432160139084E-3</v>
      </c>
    </row>
    <row r="32" spans="1:9" x14ac:dyDescent="0.25">
      <c r="A32" s="29">
        <v>42709</v>
      </c>
      <c r="B32" s="1">
        <f t="shared" si="3"/>
        <v>30</v>
      </c>
      <c r="C32" s="4">
        <f t="shared" si="4"/>
        <v>34326799</v>
      </c>
      <c r="D32" s="2">
        <f t="shared" si="0"/>
        <v>30744400.640000001</v>
      </c>
      <c r="E32" s="19">
        <f t="shared" si="5"/>
        <v>3582398.36</v>
      </c>
      <c r="F32" s="2">
        <f t="shared" si="6"/>
        <v>290572311.68000001</v>
      </c>
      <c r="G32" s="2">
        <f t="shared" si="7"/>
        <v>259827911.04000002</v>
      </c>
      <c r="H32" s="14">
        <f t="shared" si="1"/>
        <v>3582398.3631780818</v>
      </c>
      <c r="I32" s="16">
        <f t="shared" si="2"/>
        <v>3.1780819408595562E-3</v>
      </c>
    </row>
    <row r="33" spans="1:9" x14ac:dyDescent="0.25">
      <c r="A33" s="29">
        <v>42740</v>
      </c>
      <c r="B33" s="1">
        <f t="shared" si="3"/>
        <v>31</v>
      </c>
      <c r="C33" s="4">
        <f t="shared" si="4"/>
        <v>34326799</v>
      </c>
      <c r="D33" s="2">
        <f t="shared" si="0"/>
        <v>31016662.600000001</v>
      </c>
      <c r="E33" s="19">
        <f t="shared" si="5"/>
        <v>3310136.4</v>
      </c>
      <c r="F33" s="2">
        <f t="shared" si="6"/>
        <v>259827911.04000002</v>
      </c>
      <c r="G33" s="2">
        <f t="shared" si="7"/>
        <v>228811248.44000003</v>
      </c>
      <c r="H33" s="14">
        <f t="shared" si="1"/>
        <v>3310136.4009205485</v>
      </c>
      <c r="I33" s="16">
        <f t="shared" si="2"/>
        <v>9.2054856941103935E-4</v>
      </c>
    </row>
    <row r="34" spans="1:9" x14ac:dyDescent="0.25">
      <c r="A34" s="29">
        <v>42771</v>
      </c>
      <c r="B34" s="1">
        <f t="shared" si="3"/>
        <v>31</v>
      </c>
      <c r="C34" s="4">
        <f t="shared" si="4"/>
        <v>34326799</v>
      </c>
      <c r="D34" s="2">
        <f t="shared" si="0"/>
        <v>31411806.379999999</v>
      </c>
      <c r="E34" s="19">
        <f t="shared" si="5"/>
        <v>2914992.62</v>
      </c>
      <c r="F34" s="2">
        <f t="shared" si="6"/>
        <v>228811248.44000003</v>
      </c>
      <c r="G34" s="2">
        <f t="shared" si="7"/>
        <v>197399442.06000003</v>
      </c>
      <c r="H34" s="14"/>
      <c r="I34" s="16"/>
    </row>
    <row r="35" spans="1:9" x14ac:dyDescent="0.25">
      <c r="A35" s="29">
        <v>42799</v>
      </c>
      <c r="B35" s="1">
        <f t="shared" si="3"/>
        <v>28</v>
      </c>
      <c r="C35" s="4">
        <f t="shared" si="4"/>
        <v>34326799</v>
      </c>
      <c r="D35" s="2">
        <f t="shared" si="0"/>
        <v>32055353.370000001</v>
      </c>
      <c r="E35" s="19">
        <f t="shared" si="5"/>
        <v>2271445.63</v>
      </c>
      <c r="F35" s="2">
        <f t="shared" si="6"/>
        <v>197399442.06000003</v>
      </c>
      <c r="G35" s="2">
        <f t="shared" si="7"/>
        <v>165344088.69000003</v>
      </c>
      <c r="H35" s="14"/>
      <c r="I35" s="16"/>
    </row>
    <row r="36" spans="1:9" x14ac:dyDescent="0.25">
      <c r="A36" s="29">
        <v>42830</v>
      </c>
      <c r="B36" s="1">
        <f t="shared" si="3"/>
        <v>31</v>
      </c>
      <c r="C36" s="4">
        <f t="shared" si="4"/>
        <v>34326799</v>
      </c>
      <c r="D36" s="2">
        <f t="shared" si="0"/>
        <v>32220360.609999999</v>
      </c>
      <c r="E36" s="19">
        <f t="shared" si="5"/>
        <v>2106438.39</v>
      </c>
      <c r="F36" s="2">
        <f t="shared" si="6"/>
        <v>165344088.69000003</v>
      </c>
      <c r="G36" s="2">
        <f t="shared" si="7"/>
        <v>133123728.08000003</v>
      </c>
      <c r="H36" s="14"/>
      <c r="I36" s="16"/>
    </row>
    <row r="37" spans="1:9" x14ac:dyDescent="0.25">
      <c r="A37" s="29">
        <v>42860</v>
      </c>
      <c r="B37" s="1">
        <f t="shared" si="3"/>
        <v>30</v>
      </c>
      <c r="C37" s="4">
        <f t="shared" si="4"/>
        <v>34326799</v>
      </c>
      <c r="D37" s="2">
        <f t="shared" si="0"/>
        <v>32685547.559999999</v>
      </c>
      <c r="E37" s="19">
        <f t="shared" si="5"/>
        <v>1641251.44</v>
      </c>
      <c r="F37" s="2">
        <f t="shared" si="6"/>
        <v>133123728.08000003</v>
      </c>
      <c r="G37" s="2">
        <f t="shared" si="7"/>
        <v>100438180.52000003</v>
      </c>
      <c r="H37" s="14"/>
      <c r="I37" s="16"/>
    </row>
    <row r="38" spans="1:9" x14ac:dyDescent="0.25">
      <c r="A38" s="29">
        <v>42891</v>
      </c>
      <c r="B38" s="1">
        <f t="shared" si="3"/>
        <v>31</v>
      </c>
      <c r="C38" s="4">
        <f t="shared" si="4"/>
        <v>34326799</v>
      </c>
      <c r="D38" s="2">
        <f t="shared" si="0"/>
        <v>33047244.100000001</v>
      </c>
      <c r="E38" s="19">
        <f t="shared" si="5"/>
        <v>1279554.8999999999</v>
      </c>
      <c r="F38" s="2">
        <f t="shared" si="6"/>
        <v>100438180.52000003</v>
      </c>
      <c r="G38" s="2">
        <f t="shared" si="7"/>
        <v>67390936.420000017</v>
      </c>
      <c r="H38" s="14"/>
      <c r="I38" s="16"/>
    </row>
    <row r="39" spans="1:9" x14ac:dyDescent="0.25">
      <c r="A39" s="29">
        <v>42921</v>
      </c>
      <c r="B39" s="1">
        <f t="shared" si="3"/>
        <v>30</v>
      </c>
      <c r="C39" s="4">
        <f t="shared" si="4"/>
        <v>34326799</v>
      </c>
      <c r="D39" s="2">
        <f t="shared" si="0"/>
        <v>33495951.84</v>
      </c>
      <c r="E39" s="19">
        <f t="shared" si="5"/>
        <v>830847.16</v>
      </c>
      <c r="F39" s="2">
        <f t="shared" si="6"/>
        <v>67390936.420000017</v>
      </c>
      <c r="G39" s="2">
        <f t="shared" si="7"/>
        <v>33894984.580000013</v>
      </c>
      <c r="H39" s="14"/>
      <c r="I39" s="16"/>
    </row>
    <row r="40" spans="1:9" x14ac:dyDescent="0.25">
      <c r="A40" s="29">
        <v>42952</v>
      </c>
      <c r="B40" s="1">
        <f t="shared" si="3"/>
        <v>31</v>
      </c>
      <c r="C40" s="4">
        <f t="shared" si="4"/>
        <v>34326799</v>
      </c>
      <c r="D40" s="2">
        <f t="shared" si="0"/>
        <v>33894984.580000013</v>
      </c>
      <c r="E40" s="19">
        <v>431814.4199999866</v>
      </c>
      <c r="F40" s="2">
        <f t="shared" si="6"/>
        <v>33894984.580000013</v>
      </c>
      <c r="G40" s="2">
        <f t="shared" si="7"/>
        <v>0</v>
      </c>
      <c r="H40" s="14"/>
      <c r="I40" s="16"/>
    </row>
    <row r="41" spans="1:9" x14ac:dyDescent="0.25">
      <c r="A41" s="21">
        <v>42771</v>
      </c>
      <c r="B41" s="1">
        <f>_xlfn.DAYS(A34,A33)</f>
        <v>31</v>
      </c>
      <c r="C41" s="4">
        <f t="shared" si="4"/>
        <v>34326799</v>
      </c>
      <c r="D41" s="2">
        <f t="shared" ref="D41" si="8">C41-E41</f>
        <v>31411806.379999999</v>
      </c>
      <c r="E41" s="19">
        <f t="shared" ref="E41" si="9">ROUND(F41*$B$2*B41/365,2)</f>
        <v>2914992.62</v>
      </c>
      <c r="F41" s="2">
        <f>G33</f>
        <v>228811248.44000003</v>
      </c>
      <c r="G41" s="2">
        <f t="shared" ref="G41" si="10">F41-D41</f>
        <v>197399442.06000003</v>
      </c>
      <c r="H41" s="14"/>
      <c r="I41" s="16"/>
    </row>
    <row r="42" spans="1:9" x14ac:dyDescent="0.25">
      <c r="A42" s="21">
        <v>42799</v>
      </c>
      <c r="B42" s="1">
        <f>_xlfn.DAYS(A42,A41)</f>
        <v>28</v>
      </c>
      <c r="C42" s="4">
        <f t="shared" ref="C42:C47" si="11">$F$1</f>
        <v>33357339</v>
      </c>
      <c r="D42" s="2">
        <f t="shared" si="0"/>
        <v>31125016.649999999</v>
      </c>
      <c r="E42" s="19">
        <f>ROUND(((G41*$B$2*D2/365)+(F42*$B$2*F2/365)),2)</f>
        <v>2232322.35</v>
      </c>
      <c r="F42" s="2">
        <f>G41-J1</f>
        <v>191799442.06000003</v>
      </c>
      <c r="G42" s="2">
        <f t="shared" ref="G42:G47" si="12">F42-D42</f>
        <v>160674425.41000003</v>
      </c>
      <c r="H42" s="14"/>
      <c r="I42" s="16"/>
    </row>
    <row r="43" spans="1:9" x14ac:dyDescent="0.25">
      <c r="A43" s="21">
        <v>42830</v>
      </c>
      <c r="B43" s="1">
        <f t="shared" si="3"/>
        <v>31</v>
      </c>
      <c r="C43" s="4">
        <f t="shared" si="11"/>
        <v>33357339</v>
      </c>
      <c r="D43" s="2">
        <f t="shared" si="0"/>
        <v>31310390.84</v>
      </c>
      <c r="E43" s="19">
        <f t="shared" ref="E43:E46" si="13">ROUND(F43*$B$2*B43/365,2)</f>
        <v>2046948.16</v>
      </c>
      <c r="F43" s="2">
        <f t="shared" ref="F43:F47" si="14">G42</f>
        <v>160674425.41000003</v>
      </c>
      <c r="G43" s="2">
        <f t="shared" si="12"/>
        <v>129364034.57000002</v>
      </c>
      <c r="H43" s="14"/>
      <c r="I43" s="16"/>
    </row>
    <row r="44" spans="1:9" x14ac:dyDescent="0.25">
      <c r="A44" s="21">
        <v>42860</v>
      </c>
      <c r="B44" s="1">
        <f t="shared" si="3"/>
        <v>30</v>
      </c>
      <c r="C44" s="4">
        <f t="shared" si="11"/>
        <v>33357339</v>
      </c>
      <c r="D44" s="2">
        <f t="shared" si="0"/>
        <v>31762439.940000001</v>
      </c>
      <c r="E44" s="19">
        <f t="shared" si="13"/>
        <v>1594899.06</v>
      </c>
      <c r="F44" s="2">
        <f t="shared" si="14"/>
        <v>129364034.57000002</v>
      </c>
      <c r="G44" s="2">
        <f t="shared" si="12"/>
        <v>97601594.630000025</v>
      </c>
      <c r="H44" s="14"/>
      <c r="I44" s="16"/>
    </row>
    <row r="45" spans="1:9" x14ac:dyDescent="0.25">
      <c r="A45" s="21">
        <v>42891</v>
      </c>
      <c r="B45" s="1">
        <f t="shared" si="3"/>
        <v>31</v>
      </c>
      <c r="C45" s="4">
        <f t="shared" si="11"/>
        <v>33357339</v>
      </c>
      <c r="D45" s="2">
        <f t="shared" si="0"/>
        <v>32113921.420000002</v>
      </c>
      <c r="E45" s="19">
        <f t="shared" si="13"/>
        <v>1243417.58</v>
      </c>
      <c r="F45" s="2">
        <f t="shared" si="14"/>
        <v>97601594.630000025</v>
      </c>
      <c r="G45" s="2">
        <f t="shared" si="12"/>
        <v>65487673.210000023</v>
      </c>
      <c r="H45" s="14"/>
      <c r="I45" s="16"/>
    </row>
    <row r="46" spans="1:9" x14ac:dyDescent="0.25">
      <c r="A46" s="21">
        <v>42921</v>
      </c>
      <c r="B46" s="1">
        <f t="shared" si="3"/>
        <v>30</v>
      </c>
      <c r="C46" s="4">
        <f t="shared" si="11"/>
        <v>33357339</v>
      </c>
      <c r="D46" s="2">
        <f t="shared" si="0"/>
        <v>32549956.73</v>
      </c>
      <c r="E46" s="19">
        <f t="shared" si="13"/>
        <v>807382.27</v>
      </c>
      <c r="F46" s="2">
        <f t="shared" si="14"/>
        <v>65487673.210000023</v>
      </c>
      <c r="G46" s="2">
        <f t="shared" si="12"/>
        <v>32937716.480000023</v>
      </c>
      <c r="H46" s="14"/>
      <c r="I46" s="16"/>
    </row>
    <row r="47" spans="1:9" x14ac:dyDescent="0.25">
      <c r="A47" s="21">
        <v>42952</v>
      </c>
      <c r="B47" s="1">
        <f t="shared" si="3"/>
        <v>31</v>
      </c>
      <c r="C47" s="4">
        <f t="shared" si="11"/>
        <v>33357339</v>
      </c>
      <c r="D47" s="2">
        <f t="shared" si="0"/>
        <v>32937716.48</v>
      </c>
      <c r="E47" s="19">
        <f>ROUND(419622.519999977,2)</f>
        <v>419622.52</v>
      </c>
      <c r="F47" s="2">
        <f t="shared" si="14"/>
        <v>32937716.480000023</v>
      </c>
      <c r="G47" s="2">
        <f t="shared" si="12"/>
        <v>0</v>
      </c>
      <c r="H47" s="14"/>
      <c r="I47" s="16"/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78CF32F-F989-4BE5-8ACC-9051E80D3A33}">
  <sheetPr codeName="Sheet6"/>
  <dimension ref="A1:J47"/>
  <sheetViews>
    <sheetView zoomScale="96" zoomScaleNormal="100" workbookViewId="0">
      <pane ySplit="3" topLeftCell="A36" activePane="bottomLeft" state="frozen"/>
      <selection activeCell="R2" sqref="R2:R3"/>
      <selection pane="bottomLeft" activeCell="R2" sqref="R2:R3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41855</v>
      </c>
      <c r="C1" s="15" t="s">
        <v>37</v>
      </c>
      <c r="D1" s="23">
        <f>ROUNDUP(34318675.2191522,0)</f>
        <v>34318676</v>
      </c>
      <c r="E1" s="25" t="s">
        <v>51</v>
      </c>
      <c r="F1" s="24">
        <f>ROUNDUP(33348492.6935154,0)</f>
        <v>33348493</v>
      </c>
      <c r="G1" s="28" t="s">
        <v>52</v>
      </c>
      <c r="H1" s="26">
        <v>42782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H1-A41</f>
        <v>11</v>
      </c>
      <c r="E2" t="s">
        <v>59</v>
      </c>
      <c r="F2">
        <f>DAYS360(H1,A42)</f>
        <v>19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41856</v>
      </c>
      <c r="B4" s="1">
        <f>DAYS360(B1,A4)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-5650.6849315068685</v>
      </c>
    </row>
    <row r="5" spans="1:10" x14ac:dyDescent="0.25">
      <c r="A5" s="29">
        <v>41887</v>
      </c>
      <c r="B5" s="1">
        <f>DAYS360(A4,A5)</f>
        <v>30</v>
      </c>
      <c r="C5" s="4">
        <f>$D$1</f>
        <v>34318676</v>
      </c>
      <c r="D5" s="2">
        <f t="shared" ref="D5:D47" si="0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>
        <f t="shared" ref="H5:H33" si="1">F5*$B$2*B5/365</f>
        <v>12205479.452054795</v>
      </c>
      <c r="I5" s="16">
        <f t="shared" ref="I5:I33" si="2">H5-E5</f>
        <v>-169520.54794520512</v>
      </c>
    </row>
    <row r="6" spans="1:10" x14ac:dyDescent="0.25">
      <c r="A6" s="29">
        <v>41917</v>
      </c>
      <c r="B6" s="1">
        <f t="shared" ref="B6:B40" si="3">DAYS360(A5,A6)</f>
        <v>30</v>
      </c>
      <c r="C6" s="4">
        <f t="shared" ref="C6:C41" si="4">$D$1</f>
        <v>34318676</v>
      </c>
      <c r="D6" s="2">
        <f t="shared" si="0"/>
        <v>22217971.949999999</v>
      </c>
      <c r="E6" s="19">
        <f t="shared" ref="E6:E39" si="5">ROUND(F6*$B$2*B6/360,2)</f>
        <v>12100704.050000001</v>
      </c>
      <c r="F6" s="2">
        <f t="shared" ref="F6:F40" si="6">G5</f>
        <v>968056324</v>
      </c>
      <c r="G6" s="2">
        <f t="shared" ref="G6:G47" si="7">F6-D6</f>
        <v>945838352.04999995</v>
      </c>
      <c r="H6" s="14">
        <f t="shared" si="1"/>
        <v>11934940.980821919</v>
      </c>
      <c r="I6" s="16">
        <f t="shared" si="2"/>
        <v>-165763.06917808205</v>
      </c>
    </row>
    <row r="7" spans="1:10" x14ac:dyDescent="0.25">
      <c r="A7" s="29">
        <v>41948</v>
      </c>
      <c r="B7" s="1">
        <f t="shared" si="3"/>
        <v>30</v>
      </c>
      <c r="C7" s="4">
        <f t="shared" si="4"/>
        <v>34318676</v>
      </c>
      <c r="D7" s="2">
        <f t="shared" si="0"/>
        <v>22495696.600000001</v>
      </c>
      <c r="E7" s="19">
        <f t="shared" si="5"/>
        <v>11822979.4</v>
      </c>
      <c r="F7" s="2">
        <f t="shared" si="6"/>
        <v>945838352.04999995</v>
      </c>
      <c r="G7" s="2">
        <f t="shared" si="7"/>
        <v>923342655.44999993</v>
      </c>
      <c r="H7" s="14">
        <f t="shared" si="1"/>
        <v>11661020.778698629</v>
      </c>
      <c r="I7" s="16">
        <f t="shared" si="2"/>
        <v>-161958.6213013716</v>
      </c>
    </row>
    <row r="8" spans="1:10" x14ac:dyDescent="0.25">
      <c r="A8" s="29">
        <v>41978</v>
      </c>
      <c r="B8" s="1">
        <f t="shared" si="3"/>
        <v>30</v>
      </c>
      <c r="C8" s="4">
        <f t="shared" si="4"/>
        <v>34318676</v>
      </c>
      <c r="D8" s="2">
        <f t="shared" si="0"/>
        <v>22776892.810000002</v>
      </c>
      <c r="E8" s="19">
        <f t="shared" si="5"/>
        <v>11541783.189999999</v>
      </c>
      <c r="F8" s="2">
        <f t="shared" si="6"/>
        <v>923342655.44999993</v>
      </c>
      <c r="G8" s="2">
        <f t="shared" si="7"/>
        <v>900565762.63999987</v>
      </c>
      <c r="H8" s="14">
        <f t="shared" si="1"/>
        <v>11383676.574041095</v>
      </c>
      <c r="I8" s="16">
        <f t="shared" si="2"/>
        <v>-158106.61595890485</v>
      </c>
    </row>
    <row r="9" spans="1:10" x14ac:dyDescent="0.25">
      <c r="A9" s="29">
        <v>42009</v>
      </c>
      <c r="B9" s="1">
        <f t="shared" si="3"/>
        <v>30</v>
      </c>
      <c r="C9" s="4">
        <f t="shared" si="4"/>
        <v>34318676</v>
      </c>
      <c r="D9" s="2">
        <f t="shared" si="0"/>
        <v>23061603.969999999</v>
      </c>
      <c r="E9" s="19">
        <f t="shared" si="5"/>
        <v>11257072.029999999</v>
      </c>
      <c r="F9" s="2">
        <f t="shared" si="6"/>
        <v>900565762.63999987</v>
      </c>
      <c r="G9" s="2">
        <f t="shared" si="7"/>
        <v>877504158.66999984</v>
      </c>
      <c r="H9" s="14">
        <f t="shared" si="1"/>
        <v>11102865.566794518</v>
      </c>
      <c r="I9" s="16">
        <f t="shared" si="2"/>
        <v>-154206.46320548095</v>
      </c>
    </row>
    <row r="10" spans="1:10" x14ac:dyDescent="0.25">
      <c r="A10" s="29">
        <v>42040</v>
      </c>
      <c r="B10" s="1">
        <f t="shared" si="3"/>
        <v>30</v>
      </c>
      <c r="C10" s="4">
        <f t="shared" si="4"/>
        <v>34318676</v>
      </c>
      <c r="D10" s="2">
        <f t="shared" si="0"/>
        <v>23349874.02</v>
      </c>
      <c r="E10" s="19">
        <f t="shared" si="5"/>
        <v>10968801.98</v>
      </c>
      <c r="F10" s="2">
        <f t="shared" si="6"/>
        <v>877504158.66999984</v>
      </c>
      <c r="G10" s="2">
        <f t="shared" si="7"/>
        <v>854154284.64999986</v>
      </c>
      <c r="H10" s="14">
        <f t="shared" si="1"/>
        <v>10818544.421958903</v>
      </c>
      <c r="I10" s="16">
        <f t="shared" si="2"/>
        <v>-150257.5580410976</v>
      </c>
    </row>
    <row r="11" spans="1:10" x14ac:dyDescent="0.25">
      <c r="A11" s="29">
        <v>42068</v>
      </c>
      <c r="B11" s="1">
        <f t="shared" si="3"/>
        <v>30</v>
      </c>
      <c r="C11" s="4">
        <f t="shared" si="4"/>
        <v>34318676</v>
      </c>
      <c r="D11" s="2">
        <f t="shared" si="0"/>
        <v>23641747.439999998</v>
      </c>
      <c r="E11" s="19">
        <f t="shared" si="5"/>
        <v>10676928.560000001</v>
      </c>
      <c r="F11" s="2">
        <f t="shared" si="6"/>
        <v>854154284.64999986</v>
      </c>
      <c r="G11" s="2">
        <f t="shared" si="7"/>
        <v>830512537.2099998</v>
      </c>
      <c r="H11" s="14">
        <f t="shared" si="1"/>
        <v>10530669.262808217</v>
      </c>
      <c r="I11" s="16">
        <f t="shared" si="2"/>
        <v>-146259.29719178379</v>
      </c>
    </row>
    <row r="12" spans="1:10" x14ac:dyDescent="0.25">
      <c r="A12" s="29">
        <v>42099</v>
      </c>
      <c r="B12" s="1">
        <f t="shared" si="3"/>
        <v>30</v>
      </c>
      <c r="C12" s="4">
        <f t="shared" si="4"/>
        <v>34318676</v>
      </c>
      <c r="D12" s="2">
        <f t="shared" si="0"/>
        <v>23937269.280000001</v>
      </c>
      <c r="E12" s="19">
        <f t="shared" si="5"/>
        <v>10381406.720000001</v>
      </c>
      <c r="F12" s="2">
        <f t="shared" si="6"/>
        <v>830512537.2099998</v>
      </c>
      <c r="G12" s="2">
        <f t="shared" si="7"/>
        <v>806575267.92999983</v>
      </c>
      <c r="H12" s="14">
        <f t="shared" si="1"/>
        <v>10239195.664232872</v>
      </c>
      <c r="I12" s="16">
        <f t="shared" si="2"/>
        <v>-142211.05576712824</v>
      </c>
    </row>
    <row r="13" spans="1:10" x14ac:dyDescent="0.25">
      <c r="A13" s="29">
        <v>42129</v>
      </c>
      <c r="B13" s="1">
        <f t="shared" si="3"/>
        <v>30</v>
      </c>
      <c r="C13" s="4">
        <f t="shared" si="4"/>
        <v>34318676</v>
      </c>
      <c r="D13" s="2">
        <f t="shared" si="0"/>
        <v>24236485.149999999</v>
      </c>
      <c r="E13" s="19">
        <f t="shared" si="5"/>
        <v>10082190.85</v>
      </c>
      <c r="F13" s="2">
        <f t="shared" si="6"/>
        <v>806575267.92999983</v>
      </c>
      <c r="G13" s="2">
        <f t="shared" si="7"/>
        <v>782338782.77999985</v>
      </c>
      <c r="H13" s="14">
        <f t="shared" si="1"/>
        <v>9944078.6457123272</v>
      </c>
      <c r="I13" s="16">
        <f t="shared" si="2"/>
        <v>-138112.20428767242</v>
      </c>
    </row>
    <row r="14" spans="1:10" x14ac:dyDescent="0.25">
      <c r="A14" s="29">
        <v>42160</v>
      </c>
      <c r="B14" s="1">
        <f t="shared" si="3"/>
        <v>30</v>
      </c>
      <c r="C14" s="4">
        <f t="shared" si="4"/>
        <v>34318676</v>
      </c>
      <c r="D14" s="2">
        <f t="shared" si="0"/>
        <v>24539441.219999999</v>
      </c>
      <c r="E14" s="19">
        <f t="shared" si="5"/>
        <v>9779234.7799999993</v>
      </c>
      <c r="F14" s="2">
        <f t="shared" si="6"/>
        <v>782338782.77999985</v>
      </c>
      <c r="G14" s="2">
        <f t="shared" si="7"/>
        <v>757799341.55999982</v>
      </c>
      <c r="H14" s="14">
        <f t="shared" si="1"/>
        <v>9645272.6644109562</v>
      </c>
      <c r="I14" s="16">
        <f t="shared" si="2"/>
        <v>-133962.11558904313</v>
      </c>
    </row>
    <row r="15" spans="1:10" x14ac:dyDescent="0.25">
      <c r="A15" s="29">
        <v>42190</v>
      </c>
      <c r="B15" s="1">
        <f t="shared" si="3"/>
        <v>30</v>
      </c>
      <c r="C15" s="4">
        <f t="shared" si="4"/>
        <v>34318676</v>
      </c>
      <c r="D15" s="2">
        <f t="shared" si="0"/>
        <v>24846184.23</v>
      </c>
      <c r="E15" s="19">
        <f t="shared" si="5"/>
        <v>9472491.7699999996</v>
      </c>
      <c r="F15" s="2">
        <f t="shared" si="6"/>
        <v>757799341.55999982</v>
      </c>
      <c r="G15" s="2">
        <f t="shared" si="7"/>
        <v>732953157.3299998</v>
      </c>
      <c r="H15" s="14">
        <f t="shared" si="1"/>
        <v>9342731.60827397</v>
      </c>
      <c r="I15" s="16">
        <f t="shared" si="2"/>
        <v>-129760.16172602959</v>
      </c>
    </row>
    <row r="16" spans="1:10" x14ac:dyDescent="0.25">
      <c r="A16" s="29">
        <v>42221</v>
      </c>
      <c r="B16" s="1">
        <f t="shared" si="3"/>
        <v>30</v>
      </c>
      <c r="C16" s="4">
        <f t="shared" si="4"/>
        <v>34318676</v>
      </c>
      <c r="D16" s="2">
        <f t="shared" si="0"/>
        <v>25156761.530000001</v>
      </c>
      <c r="E16" s="19">
        <f t="shared" si="5"/>
        <v>9161914.4700000007</v>
      </c>
      <c r="F16" s="2">
        <f t="shared" si="6"/>
        <v>732953157.3299998</v>
      </c>
      <c r="G16" s="2">
        <f t="shared" si="7"/>
        <v>707796395.79999983</v>
      </c>
      <c r="H16" s="14">
        <f t="shared" si="1"/>
        <v>9036408.7889999971</v>
      </c>
      <c r="I16" s="16">
        <f t="shared" si="2"/>
        <v>-125505.68100000359</v>
      </c>
    </row>
    <row r="17" spans="1:9" x14ac:dyDescent="0.25">
      <c r="A17" s="29">
        <v>42252</v>
      </c>
      <c r="B17" s="1">
        <f t="shared" si="3"/>
        <v>30</v>
      </c>
      <c r="C17" s="4">
        <f t="shared" si="4"/>
        <v>34318676</v>
      </c>
      <c r="D17" s="2">
        <f t="shared" si="0"/>
        <v>25471221.050000001</v>
      </c>
      <c r="E17" s="19">
        <f t="shared" si="5"/>
        <v>8847454.9499999993</v>
      </c>
      <c r="F17" s="2">
        <f t="shared" si="6"/>
        <v>707796395.79999983</v>
      </c>
      <c r="G17" s="2">
        <f t="shared" si="7"/>
        <v>682325174.74999988</v>
      </c>
      <c r="H17" s="14">
        <f t="shared" si="1"/>
        <v>8726256.9345205463</v>
      </c>
      <c r="I17" s="16">
        <f t="shared" si="2"/>
        <v>-121198.01547945291</v>
      </c>
    </row>
    <row r="18" spans="1:9" x14ac:dyDescent="0.25">
      <c r="A18" s="29">
        <v>42282</v>
      </c>
      <c r="B18" s="1">
        <f t="shared" si="3"/>
        <v>30</v>
      </c>
      <c r="C18" s="4">
        <f t="shared" si="4"/>
        <v>34318676</v>
      </c>
      <c r="D18" s="2">
        <f t="shared" si="0"/>
        <v>25789611.32</v>
      </c>
      <c r="E18" s="19">
        <f t="shared" si="5"/>
        <v>8529064.6799999997</v>
      </c>
      <c r="F18" s="2">
        <f t="shared" si="6"/>
        <v>682325174.74999988</v>
      </c>
      <c r="G18" s="2">
        <f t="shared" si="7"/>
        <v>656535563.42999983</v>
      </c>
      <c r="H18" s="14">
        <f t="shared" si="1"/>
        <v>8412228.181849312</v>
      </c>
      <c r="I18" s="16">
        <f t="shared" si="2"/>
        <v>-116836.49815068766</v>
      </c>
    </row>
    <row r="19" spans="1:9" x14ac:dyDescent="0.25">
      <c r="A19" s="29">
        <v>42313</v>
      </c>
      <c r="B19" s="1">
        <f t="shared" si="3"/>
        <v>30</v>
      </c>
      <c r="C19" s="4">
        <f t="shared" si="4"/>
        <v>34318676</v>
      </c>
      <c r="D19" s="2">
        <f t="shared" si="0"/>
        <v>26111981.460000001</v>
      </c>
      <c r="E19" s="19">
        <f t="shared" si="5"/>
        <v>8206694.54</v>
      </c>
      <c r="F19" s="2">
        <f t="shared" si="6"/>
        <v>656535563.42999983</v>
      </c>
      <c r="G19" s="2">
        <f t="shared" si="7"/>
        <v>630423581.96999979</v>
      </c>
      <c r="H19" s="14">
        <f t="shared" si="1"/>
        <v>8094274.0696849301</v>
      </c>
      <c r="I19" s="16">
        <f t="shared" si="2"/>
        <v>-112420.47031506989</v>
      </c>
    </row>
    <row r="20" spans="1:9" x14ac:dyDescent="0.25">
      <c r="A20" s="29">
        <v>42343</v>
      </c>
      <c r="B20" s="1">
        <f t="shared" si="3"/>
        <v>30</v>
      </c>
      <c r="C20" s="4">
        <f t="shared" si="4"/>
        <v>34318676</v>
      </c>
      <c r="D20" s="2">
        <f t="shared" si="0"/>
        <v>26438381.23</v>
      </c>
      <c r="E20" s="19">
        <f t="shared" si="5"/>
        <v>7880294.7699999996</v>
      </c>
      <c r="F20" s="2">
        <f t="shared" si="6"/>
        <v>630423581.96999979</v>
      </c>
      <c r="G20" s="2">
        <f t="shared" si="7"/>
        <v>603985200.73999977</v>
      </c>
      <c r="H20" s="14">
        <f t="shared" si="1"/>
        <v>7772345.5311369831</v>
      </c>
      <c r="I20" s="16">
        <f t="shared" si="2"/>
        <v>-107949.23886301648</v>
      </c>
    </row>
    <row r="21" spans="1:9" x14ac:dyDescent="0.25">
      <c r="A21" s="29">
        <v>42374</v>
      </c>
      <c r="B21" s="1">
        <f t="shared" si="3"/>
        <v>30</v>
      </c>
      <c r="C21" s="4">
        <f t="shared" si="4"/>
        <v>34318676</v>
      </c>
      <c r="D21" s="2">
        <f t="shared" si="0"/>
        <v>26768860.990000002</v>
      </c>
      <c r="E21" s="19">
        <f t="shared" si="5"/>
        <v>7549815.0099999998</v>
      </c>
      <c r="F21" s="2">
        <f t="shared" si="6"/>
        <v>603985200.73999977</v>
      </c>
      <c r="G21" s="2">
        <f t="shared" si="7"/>
        <v>577216339.74999976</v>
      </c>
      <c r="H21" s="14">
        <f t="shared" si="1"/>
        <v>7446392.8858356122</v>
      </c>
      <c r="I21" s="16">
        <f t="shared" si="2"/>
        <v>-103422.12416438758</v>
      </c>
    </row>
    <row r="22" spans="1:9" x14ac:dyDescent="0.25">
      <c r="A22" s="29">
        <v>42405</v>
      </c>
      <c r="B22" s="1">
        <f t="shared" si="3"/>
        <v>30</v>
      </c>
      <c r="C22" s="4">
        <f t="shared" si="4"/>
        <v>34318676</v>
      </c>
      <c r="D22" s="2">
        <f t="shared" si="0"/>
        <v>27103471.75</v>
      </c>
      <c r="E22" s="19">
        <f t="shared" si="5"/>
        <v>7215204.25</v>
      </c>
      <c r="F22" s="2">
        <f t="shared" si="6"/>
        <v>577216339.74999976</v>
      </c>
      <c r="G22" s="2">
        <f t="shared" si="7"/>
        <v>550112867.99999976</v>
      </c>
      <c r="H22" s="14">
        <f t="shared" si="1"/>
        <v>7116365.8325342443</v>
      </c>
      <c r="I22" s="16">
        <f t="shared" si="2"/>
        <v>-98838.417465755716</v>
      </c>
    </row>
    <row r="23" spans="1:9" x14ac:dyDescent="0.25">
      <c r="A23" s="29">
        <v>42434</v>
      </c>
      <c r="B23" s="1">
        <f t="shared" si="3"/>
        <v>30</v>
      </c>
      <c r="C23" s="4">
        <f t="shared" si="4"/>
        <v>34318676</v>
      </c>
      <c r="D23" s="2">
        <f t="shared" si="0"/>
        <v>27442265.149999999</v>
      </c>
      <c r="E23" s="19">
        <f t="shared" si="5"/>
        <v>6876410.8499999996</v>
      </c>
      <c r="F23" s="2">
        <f t="shared" si="6"/>
        <v>550112867.99999976</v>
      </c>
      <c r="G23" s="2">
        <f t="shared" si="7"/>
        <v>522670602.84999979</v>
      </c>
      <c r="H23" s="14">
        <f t="shared" si="1"/>
        <v>6782213.4410958868</v>
      </c>
      <c r="I23" s="16">
        <f t="shared" si="2"/>
        <v>-94197.408904112875</v>
      </c>
    </row>
    <row r="24" spans="1:9" x14ac:dyDescent="0.25">
      <c r="A24" s="29">
        <v>42465</v>
      </c>
      <c r="B24" s="1">
        <f t="shared" si="3"/>
        <v>30</v>
      </c>
      <c r="C24" s="4">
        <f t="shared" si="4"/>
        <v>34318676</v>
      </c>
      <c r="D24" s="2">
        <f t="shared" si="0"/>
        <v>27785293.460000001</v>
      </c>
      <c r="E24" s="19">
        <f t="shared" si="5"/>
        <v>6533382.54</v>
      </c>
      <c r="F24" s="2">
        <f t="shared" si="6"/>
        <v>522670602.84999979</v>
      </c>
      <c r="G24" s="2">
        <f t="shared" si="7"/>
        <v>494885309.38999981</v>
      </c>
      <c r="H24" s="14">
        <f t="shared" si="1"/>
        <v>6443884.144726024</v>
      </c>
      <c r="I24" s="16">
        <f t="shared" si="2"/>
        <v>-89498.395273976028</v>
      </c>
    </row>
    <row r="25" spans="1:9" x14ac:dyDescent="0.25">
      <c r="A25" s="29">
        <v>42495</v>
      </c>
      <c r="B25" s="1">
        <f t="shared" si="3"/>
        <v>30</v>
      </c>
      <c r="C25" s="4">
        <f t="shared" si="4"/>
        <v>34318676</v>
      </c>
      <c r="D25" s="2">
        <f t="shared" si="0"/>
        <v>28132609.629999999</v>
      </c>
      <c r="E25" s="19">
        <f t="shared" si="5"/>
        <v>6186066.3700000001</v>
      </c>
      <c r="F25" s="2">
        <f t="shared" si="6"/>
        <v>494885309.38999981</v>
      </c>
      <c r="G25" s="2">
        <f t="shared" si="7"/>
        <v>466752699.75999981</v>
      </c>
      <c r="H25" s="14">
        <f t="shared" si="1"/>
        <v>6101325.7322054775</v>
      </c>
      <c r="I25" s="16">
        <f t="shared" si="2"/>
        <v>-84740.637794522569</v>
      </c>
    </row>
    <row r="26" spans="1:9" x14ac:dyDescent="0.25">
      <c r="A26" s="29">
        <v>42526</v>
      </c>
      <c r="B26" s="1">
        <f t="shared" si="3"/>
        <v>30</v>
      </c>
      <c r="C26" s="4">
        <f t="shared" si="4"/>
        <v>34318676</v>
      </c>
      <c r="D26" s="2">
        <f t="shared" si="0"/>
        <v>28484267.25</v>
      </c>
      <c r="E26" s="19">
        <f t="shared" si="5"/>
        <v>5834408.75</v>
      </c>
      <c r="F26" s="2">
        <f t="shared" si="6"/>
        <v>466752699.75999981</v>
      </c>
      <c r="G26" s="2">
        <f t="shared" si="7"/>
        <v>438268432.50999981</v>
      </c>
      <c r="H26" s="14">
        <f t="shared" si="1"/>
        <v>5754485.3395068469</v>
      </c>
      <c r="I26" s="16">
        <f t="shared" si="2"/>
        <v>-79923.410493153147</v>
      </c>
    </row>
    <row r="27" spans="1:9" x14ac:dyDescent="0.25">
      <c r="A27" s="29">
        <v>42556</v>
      </c>
      <c r="B27" s="1">
        <f t="shared" si="3"/>
        <v>30</v>
      </c>
      <c r="C27" s="4">
        <f t="shared" si="4"/>
        <v>34318676</v>
      </c>
      <c r="D27" s="2">
        <f t="shared" si="0"/>
        <v>28840320.59</v>
      </c>
      <c r="E27" s="19">
        <f t="shared" si="5"/>
        <v>5478355.4100000001</v>
      </c>
      <c r="F27" s="2">
        <f t="shared" si="6"/>
        <v>438268432.50999981</v>
      </c>
      <c r="G27" s="2">
        <f t="shared" si="7"/>
        <v>409428111.91999984</v>
      </c>
      <c r="H27" s="14">
        <f t="shared" si="1"/>
        <v>5403309.4419041062</v>
      </c>
      <c r="I27" s="16">
        <f t="shared" si="2"/>
        <v>-75045.968095893972</v>
      </c>
    </row>
    <row r="28" spans="1:9" x14ac:dyDescent="0.25">
      <c r="A28" s="29">
        <v>42587</v>
      </c>
      <c r="B28" s="1">
        <f t="shared" si="3"/>
        <v>30</v>
      </c>
      <c r="C28" s="4">
        <f t="shared" si="4"/>
        <v>34318676</v>
      </c>
      <c r="D28" s="2">
        <f t="shared" si="0"/>
        <v>29200824.600000001</v>
      </c>
      <c r="E28" s="19">
        <f t="shared" si="5"/>
        <v>5117851.4000000004</v>
      </c>
      <c r="F28" s="2">
        <f t="shared" si="6"/>
        <v>409428111.91999984</v>
      </c>
      <c r="G28" s="2">
        <f t="shared" si="7"/>
        <v>380227287.31999981</v>
      </c>
      <c r="H28" s="14">
        <f t="shared" si="1"/>
        <v>5047743.8455890389</v>
      </c>
      <c r="I28" s="16">
        <f t="shared" si="2"/>
        <v>-70107.554410961457</v>
      </c>
    </row>
    <row r="29" spans="1:9" x14ac:dyDescent="0.25">
      <c r="A29" s="29">
        <v>42618</v>
      </c>
      <c r="B29" s="1">
        <f t="shared" si="3"/>
        <v>30</v>
      </c>
      <c r="C29" s="4">
        <f t="shared" si="4"/>
        <v>34318676</v>
      </c>
      <c r="D29" s="2">
        <f t="shared" si="0"/>
        <v>29565834.91</v>
      </c>
      <c r="E29" s="19">
        <f t="shared" si="5"/>
        <v>4752841.09</v>
      </c>
      <c r="F29" s="2">
        <f t="shared" si="6"/>
        <v>380227287.31999981</v>
      </c>
      <c r="G29" s="2">
        <f t="shared" si="7"/>
        <v>350661452.40999979</v>
      </c>
      <c r="H29" s="14">
        <f t="shared" si="1"/>
        <v>4687733.6792876683</v>
      </c>
      <c r="I29" s="16">
        <f t="shared" si="2"/>
        <v>-65107.410712331533</v>
      </c>
    </row>
    <row r="30" spans="1:9" x14ac:dyDescent="0.25">
      <c r="A30" s="29">
        <v>42648</v>
      </c>
      <c r="B30" s="1">
        <f t="shared" si="3"/>
        <v>30</v>
      </c>
      <c r="C30" s="4">
        <f t="shared" si="4"/>
        <v>34318676</v>
      </c>
      <c r="D30" s="2">
        <f t="shared" si="0"/>
        <v>29935407.84</v>
      </c>
      <c r="E30" s="19">
        <f t="shared" si="5"/>
        <v>4383268.16</v>
      </c>
      <c r="F30" s="2">
        <f t="shared" si="6"/>
        <v>350661452.40999979</v>
      </c>
      <c r="G30" s="2">
        <f t="shared" si="7"/>
        <v>320726044.56999981</v>
      </c>
      <c r="H30" s="14">
        <f t="shared" si="1"/>
        <v>4323223.3858767096</v>
      </c>
      <c r="I30" s="16">
        <f t="shared" si="2"/>
        <v>-60044.774123290554</v>
      </c>
    </row>
    <row r="31" spans="1:9" x14ac:dyDescent="0.25">
      <c r="A31" s="29">
        <v>42679</v>
      </c>
      <c r="B31" s="1">
        <f t="shared" si="3"/>
        <v>30</v>
      </c>
      <c r="C31" s="4">
        <f t="shared" si="4"/>
        <v>34318676</v>
      </c>
      <c r="D31" s="2">
        <f t="shared" si="0"/>
        <v>30309600.440000001</v>
      </c>
      <c r="E31" s="19">
        <f t="shared" si="5"/>
        <v>4009075.56</v>
      </c>
      <c r="F31" s="2">
        <f t="shared" si="6"/>
        <v>320726044.56999981</v>
      </c>
      <c r="G31" s="2">
        <f t="shared" si="7"/>
        <v>290416444.12999982</v>
      </c>
      <c r="H31" s="14">
        <f t="shared" si="1"/>
        <v>3954156.7138767098</v>
      </c>
      <c r="I31" s="16">
        <f t="shared" si="2"/>
        <v>-54918.846123290248</v>
      </c>
    </row>
    <row r="32" spans="1:9" x14ac:dyDescent="0.25">
      <c r="A32" s="29">
        <v>42709</v>
      </c>
      <c r="B32" s="1">
        <f t="shared" si="3"/>
        <v>30</v>
      </c>
      <c r="C32" s="4">
        <f t="shared" si="4"/>
        <v>34318676</v>
      </c>
      <c r="D32" s="2">
        <f t="shared" si="0"/>
        <v>30688470.449999999</v>
      </c>
      <c r="E32" s="19">
        <f t="shared" si="5"/>
        <v>3630205.55</v>
      </c>
      <c r="F32" s="2">
        <f t="shared" si="6"/>
        <v>290416444.12999982</v>
      </c>
      <c r="G32" s="2">
        <f t="shared" si="7"/>
        <v>259727973.67999983</v>
      </c>
      <c r="H32" s="14">
        <f t="shared" si="1"/>
        <v>3580476.7084520529</v>
      </c>
      <c r="I32" s="16">
        <f t="shared" si="2"/>
        <v>-49728.841547946911</v>
      </c>
    </row>
    <row r="33" spans="1:9" x14ac:dyDescent="0.25">
      <c r="A33" s="29">
        <v>42740</v>
      </c>
      <c r="B33" s="1">
        <f t="shared" si="3"/>
        <v>30</v>
      </c>
      <c r="C33" s="4">
        <f t="shared" si="4"/>
        <v>34318676</v>
      </c>
      <c r="D33" s="2">
        <f t="shared" si="0"/>
        <v>31072076.329999998</v>
      </c>
      <c r="E33" s="19">
        <f t="shared" si="5"/>
        <v>3246599.67</v>
      </c>
      <c r="F33" s="2">
        <f t="shared" si="6"/>
        <v>259727973.67999983</v>
      </c>
      <c r="G33" s="2">
        <f t="shared" si="7"/>
        <v>228655897.34999985</v>
      </c>
      <c r="H33" s="14">
        <f t="shared" si="1"/>
        <v>3202125.7029041075</v>
      </c>
      <c r="I33" s="16">
        <f t="shared" si="2"/>
        <v>-44473.967095892411</v>
      </c>
    </row>
    <row r="34" spans="1:9" x14ac:dyDescent="0.25">
      <c r="A34" s="29">
        <v>42771</v>
      </c>
      <c r="B34" s="1">
        <f t="shared" si="3"/>
        <v>30</v>
      </c>
      <c r="C34" s="4">
        <f t="shared" si="4"/>
        <v>34318676</v>
      </c>
      <c r="D34" s="2">
        <f t="shared" si="0"/>
        <v>31460477.280000001</v>
      </c>
      <c r="E34" s="19">
        <f t="shared" si="5"/>
        <v>2858198.72</v>
      </c>
      <c r="F34" s="2">
        <f t="shared" si="6"/>
        <v>228655897.34999985</v>
      </c>
      <c r="G34" s="2">
        <f t="shared" si="7"/>
        <v>197195420.06999984</v>
      </c>
      <c r="H34" s="14"/>
      <c r="I34" s="16"/>
    </row>
    <row r="35" spans="1:9" x14ac:dyDescent="0.25">
      <c r="A35" s="29">
        <v>42799</v>
      </c>
      <c r="B35" s="1">
        <f t="shared" si="3"/>
        <v>30</v>
      </c>
      <c r="C35" s="4">
        <f t="shared" si="4"/>
        <v>34318676</v>
      </c>
      <c r="D35" s="2">
        <f t="shared" si="0"/>
        <v>31853733.25</v>
      </c>
      <c r="E35" s="19">
        <f t="shared" si="5"/>
        <v>2464942.75</v>
      </c>
      <c r="F35" s="2">
        <f t="shared" si="6"/>
        <v>197195420.06999984</v>
      </c>
      <c r="G35" s="2">
        <f t="shared" si="7"/>
        <v>165341686.81999984</v>
      </c>
      <c r="H35" s="14"/>
      <c r="I35" s="16"/>
    </row>
    <row r="36" spans="1:9" x14ac:dyDescent="0.25">
      <c r="A36" s="29">
        <v>42830</v>
      </c>
      <c r="B36" s="1">
        <f t="shared" si="3"/>
        <v>30</v>
      </c>
      <c r="C36" s="4">
        <f t="shared" si="4"/>
        <v>34318676</v>
      </c>
      <c r="D36" s="2">
        <f t="shared" si="0"/>
        <v>32251904.91</v>
      </c>
      <c r="E36" s="19">
        <f t="shared" si="5"/>
        <v>2066771.09</v>
      </c>
      <c r="F36" s="2">
        <f t="shared" si="6"/>
        <v>165341686.81999984</v>
      </c>
      <c r="G36" s="2">
        <f t="shared" si="7"/>
        <v>133089781.90999985</v>
      </c>
      <c r="H36" s="14"/>
      <c r="I36" s="16"/>
    </row>
    <row r="37" spans="1:9" x14ac:dyDescent="0.25">
      <c r="A37" s="29">
        <v>42860</v>
      </c>
      <c r="B37" s="1">
        <f t="shared" si="3"/>
        <v>30</v>
      </c>
      <c r="C37" s="4">
        <f t="shared" si="4"/>
        <v>34318676</v>
      </c>
      <c r="D37" s="2">
        <f t="shared" si="0"/>
        <v>32655053.73</v>
      </c>
      <c r="E37" s="19">
        <f t="shared" si="5"/>
        <v>1663622.27</v>
      </c>
      <c r="F37" s="2">
        <f t="shared" si="6"/>
        <v>133089781.90999985</v>
      </c>
      <c r="G37" s="2">
        <f t="shared" si="7"/>
        <v>100434728.17999984</v>
      </c>
      <c r="H37" s="14"/>
      <c r="I37" s="16"/>
    </row>
    <row r="38" spans="1:9" x14ac:dyDescent="0.25">
      <c r="A38" s="29">
        <v>42891</v>
      </c>
      <c r="B38" s="1">
        <f t="shared" si="3"/>
        <v>30</v>
      </c>
      <c r="C38" s="4">
        <f t="shared" si="4"/>
        <v>34318676</v>
      </c>
      <c r="D38" s="2">
        <f t="shared" si="0"/>
        <v>33063241.899999999</v>
      </c>
      <c r="E38" s="19">
        <f t="shared" si="5"/>
        <v>1255434.1000000001</v>
      </c>
      <c r="F38" s="2">
        <f t="shared" si="6"/>
        <v>100434728.17999984</v>
      </c>
      <c r="G38" s="2">
        <f t="shared" si="7"/>
        <v>67371486.279999852</v>
      </c>
      <c r="H38" s="14"/>
      <c r="I38" s="16"/>
    </row>
    <row r="39" spans="1:9" x14ac:dyDescent="0.25">
      <c r="A39" s="29">
        <v>42921</v>
      </c>
      <c r="B39" s="1">
        <f t="shared" si="3"/>
        <v>30</v>
      </c>
      <c r="C39" s="4">
        <f t="shared" si="4"/>
        <v>34318676</v>
      </c>
      <c r="D39" s="2">
        <f t="shared" si="0"/>
        <v>33476532.420000002</v>
      </c>
      <c r="E39" s="19">
        <f t="shared" si="5"/>
        <v>842143.58</v>
      </c>
      <c r="F39" s="2">
        <f t="shared" si="6"/>
        <v>67371486.279999852</v>
      </c>
      <c r="G39" s="2">
        <f t="shared" si="7"/>
        <v>33894953.85999985</v>
      </c>
      <c r="H39" s="14"/>
      <c r="I39" s="16"/>
    </row>
    <row r="40" spans="1:9" x14ac:dyDescent="0.25">
      <c r="A40" s="29">
        <v>42952</v>
      </c>
      <c r="B40" s="1">
        <f t="shared" si="3"/>
        <v>30</v>
      </c>
      <c r="C40" s="4">
        <f t="shared" si="4"/>
        <v>34318676</v>
      </c>
      <c r="D40" s="2">
        <f>C40-E40</f>
        <v>33894953.85999985</v>
      </c>
      <c r="E40" s="19">
        <v>423722.1400001478</v>
      </c>
      <c r="F40" s="2">
        <f t="shared" si="6"/>
        <v>33894953.85999985</v>
      </c>
      <c r="G40" s="2">
        <f t="shared" si="7"/>
        <v>0</v>
      </c>
      <c r="H40" s="14"/>
      <c r="I40" s="16"/>
    </row>
    <row r="41" spans="1:9" x14ac:dyDescent="0.25">
      <c r="A41" s="21">
        <v>42771</v>
      </c>
      <c r="B41" s="1">
        <f>DAYS360(A33,A34)</f>
        <v>30</v>
      </c>
      <c r="C41" s="4">
        <f t="shared" si="4"/>
        <v>34318676</v>
      </c>
      <c r="D41" s="2">
        <f t="shared" si="0"/>
        <v>31460477.280000001</v>
      </c>
      <c r="E41" s="19">
        <f>ROUND(F41*$B$2*B41/360,2)</f>
        <v>2858198.72</v>
      </c>
      <c r="F41" s="2">
        <f>G33</f>
        <v>228655897.34999985</v>
      </c>
      <c r="G41" s="2">
        <f t="shared" si="7"/>
        <v>197195420.06999984</v>
      </c>
      <c r="H41" s="14"/>
      <c r="I41" s="16"/>
    </row>
    <row r="42" spans="1:9" x14ac:dyDescent="0.25">
      <c r="A42" s="21">
        <v>42799</v>
      </c>
      <c r="B42" s="1">
        <f>DAYS360(A41,A42)</f>
        <v>30</v>
      </c>
      <c r="C42" s="4">
        <f t="shared" ref="C42:C47" si="8">$F$1</f>
        <v>33348493</v>
      </c>
      <c r="D42" s="2">
        <f t="shared" si="0"/>
        <v>30927883.579999998</v>
      </c>
      <c r="E42" s="19">
        <f>ROUND(((G41*$B$2*D2/360)+(F42*$B$2*F2/360)),2)</f>
        <v>2420609.42</v>
      </c>
      <c r="F42" s="2">
        <f>G41-J1</f>
        <v>191595420.06999984</v>
      </c>
      <c r="G42" s="2">
        <f t="shared" si="7"/>
        <v>160667536.48999983</v>
      </c>
      <c r="H42" s="14"/>
      <c r="I42" s="16"/>
    </row>
    <row r="43" spans="1:9" x14ac:dyDescent="0.25">
      <c r="A43" s="21">
        <v>42830</v>
      </c>
      <c r="B43" s="1">
        <f t="shared" ref="B43:B47" si="9">DAYS360(A42,A43)</f>
        <v>30</v>
      </c>
      <c r="C43" s="4">
        <f t="shared" si="8"/>
        <v>33348493</v>
      </c>
      <c r="D43" s="2">
        <f t="shared" si="0"/>
        <v>31340148.789999999</v>
      </c>
      <c r="E43" s="19">
        <f>ROUND(F43*$B$2*B43/360,2)</f>
        <v>2008344.21</v>
      </c>
      <c r="F43" s="2">
        <f t="shared" ref="F43:F47" si="10">G42</f>
        <v>160667536.48999983</v>
      </c>
      <c r="G43" s="2">
        <f t="shared" si="7"/>
        <v>129327387.69999984</v>
      </c>
      <c r="H43" s="14"/>
      <c r="I43" s="16"/>
    </row>
    <row r="44" spans="1:9" x14ac:dyDescent="0.25">
      <c r="A44" s="21">
        <v>42860</v>
      </c>
      <c r="B44" s="1">
        <f t="shared" si="9"/>
        <v>30</v>
      </c>
      <c r="C44" s="4">
        <f t="shared" si="8"/>
        <v>33348493</v>
      </c>
      <c r="D44" s="2">
        <f t="shared" si="0"/>
        <v>31731900.649999999</v>
      </c>
      <c r="E44" s="19">
        <f t="shared" ref="E44:E46" si="11">ROUND(F44*$B$2*B44/360,2)</f>
        <v>1616592.35</v>
      </c>
      <c r="F44" s="2">
        <f t="shared" si="10"/>
        <v>129327387.69999984</v>
      </c>
      <c r="G44" s="2">
        <f t="shared" si="7"/>
        <v>97595487.049999833</v>
      </c>
      <c r="H44" s="14"/>
      <c r="I44" s="16"/>
    </row>
    <row r="45" spans="1:9" x14ac:dyDescent="0.25">
      <c r="A45" s="21">
        <v>42891</v>
      </c>
      <c r="B45" s="1">
        <f t="shared" si="9"/>
        <v>30</v>
      </c>
      <c r="C45" s="4">
        <f t="shared" si="8"/>
        <v>33348493</v>
      </c>
      <c r="D45" s="2">
        <f t="shared" si="0"/>
        <v>32128549.41</v>
      </c>
      <c r="E45" s="19">
        <f t="shared" si="11"/>
        <v>1219943.5900000001</v>
      </c>
      <c r="F45" s="2">
        <f t="shared" si="10"/>
        <v>97595487.049999833</v>
      </c>
      <c r="G45" s="2">
        <f t="shared" si="7"/>
        <v>65466937.639999837</v>
      </c>
      <c r="H45" s="14"/>
      <c r="I45" s="16"/>
    </row>
    <row r="46" spans="1:9" x14ac:dyDescent="0.25">
      <c r="A46" s="21">
        <v>42921</v>
      </c>
      <c r="B46" s="1">
        <f t="shared" si="9"/>
        <v>30</v>
      </c>
      <c r="C46" s="4">
        <f t="shared" si="8"/>
        <v>33348493</v>
      </c>
      <c r="D46" s="2">
        <f t="shared" si="0"/>
        <v>32530156.280000001</v>
      </c>
      <c r="E46" s="19">
        <f t="shared" si="11"/>
        <v>818336.72</v>
      </c>
      <c r="F46" s="2">
        <f t="shared" si="10"/>
        <v>65466937.639999837</v>
      </c>
      <c r="G46" s="2">
        <f t="shared" si="7"/>
        <v>32936781.359999835</v>
      </c>
      <c r="H46" s="14"/>
      <c r="I46" s="16"/>
    </row>
    <row r="47" spans="1:9" x14ac:dyDescent="0.25">
      <c r="A47" s="21">
        <v>42952</v>
      </c>
      <c r="B47" s="1">
        <f t="shared" si="9"/>
        <v>30</v>
      </c>
      <c r="C47" s="4">
        <f t="shared" si="8"/>
        <v>33348493</v>
      </c>
      <c r="D47" s="2">
        <f t="shared" si="0"/>
        <v>32936781.359999835</v>
      </c>
      <c r="E47" s="19">
        <v>411711.64000016497</v>
      </c>
      <c r="F47" s="2">
        <f t="shared" si="10"/>
        <v>32936781.359999835</v>
      </c>
      <c r="G47" s="2">
        <f t="shared" si="7"/>
        <v>0</v>
      </c>
      <c r="H47" s="14"/>
      <c r="I47" s="16"/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FF071-3325-499D-AEB6-5B03BD6B9C47}">
  <sheetPr codeName="Sheet7"/>
  <dimension ref="A1:R3"/>
  <sheetViews>
    <sheetView workbookViewId="0">
      <selection activeCell="R2" sqref="R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95.285156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63</v>
      </c>
      <c r="G2" s="9" t="s">
        <v>24</v>
      </c>
      <c r="H2" s="9" t="s">
        <v>13</v>
      </c>
      <c r="I2" s="9" t="s">
        <v>0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64</v>
      </c>
      <c r="P2" s="20" t="s">
        <v>45</v>
      </c>
      <c r="Q2" s="20" t="s">
        <v>46</v>
      </c>
      <c r="R2" s="20" t="s">
        <v>61</v>
      </c>
    </row>
    <row r="3" spans="1:18" x14ac:dyDescent="0.25">
      <c r="A3" s="12" t="s">
        <v>0</v>
      </c>
      <c r="B3" s="7" t="s">
        <v>9</v>
      </c>
      <c r="C3" s="7" t="s">
        <v>39</v>
      </c>
      <c r="D3" s="8" t="s">
        <v>40</v>
      </c>
      <c r="E3" s="8" t="s">
        <v>23</v>
      </c>
      <c r="F3" s="8" t="s">
        <v>63</v>
      </c>
      <c r="G3" s="9" t="s">
        <v>24</v>
      </c>
      <c r="H3" s="9" t="s">
        <v>13</v>
      </c>
      <c r="I3" s="9" t="s">
        <v>0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64</v>
      </c>
      <c r="P3" s="20" t="s">
        <v>45</v>
      </c>
      <c r="Q3" s="20" t="s">
        <v>46</v>
      </c>
      <c r="R3" s="20" t="s">
        <v>62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A59FDF-A8D7-4D46-B619-037A312D85EC}">
  <sheetPr codeName="Sheet8"/>
  <dimension ref="A1:J47"/>
  <sheetViews>
    <sheetView zoomScale="96" zoomScaleNormal="100" workbookViewId="0">
      <pane ySplit="3" topLeftCell="A31" activePane="bottomLeft" state="frozen"/>
      <selection activeCell="A48" sqref="A48:XFD50"/>
      <selection pane="bottomLeft" activeCell="E42" sqref="E42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42951</v>
      </c>
      <c r="C1" s="15" t="s">
        <v>37</v>
      </c>
      <c r="D1" s="23">
        <f>ROUNDUP(34322517.2666709,0)</f>
        <v>34322518</v>
      </c>
      <c r="E1" s="25" t="s">
        <v>51</v>
      </c>
      <c r="F1" s="24">
        <f>ROUNDUP(33352656.4529091,0)</f>
        <v>33352657</v>
      </c>
      <c r="G1" s="28" t="s">
        <v>52</v>
      </c>
      <c r="H1" s="26">
        <v>43877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H1-A41</f>
        <v>11</v>
      </c>
      <c r="E2" t="s">
        <v>59</v>
      </c>
      <c r="F2">
        <f>A42-H1</f>
        <v>18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31">
        <v>42952</v>
      </c>
      <c r="B4" s="1">
        <f>_xlfn.DAYS(A4,B1)</f>
        <v>1</v>
      </c>
      <c r="C4" s="10" t="s">
        <v>28</v>
      </c>
      <c r="D4" s="3" t="s">
        <v>15</v>
      </c>
      <c r="E4" s="19">
        <f>ROUNDUP(F4*$B$2*B4/365,0)</f>
        <v>406850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-0.68493150686845183</v>
      </c>
    </row>
    <row r="5" spans="1:10" x14ac:dyDescent="0.25">
      <c r="A5" s="31">
        <v>42983</v>
      </c>
      <c r="B5" s="1">
        <f>_xlfn.DAYS(A5,A4)</f>
        <v>31</v>
      </c>
      <c r="C5" s="4">
        <f>$D$1</f>
        <v>34322518</v>
      </c>
      <c r="D5" s="2">
        <f t="shared" ref="D5:D47" si="0">C5-E5</f>
        <v>21710189.23</v>
      </c>
      <c r="E5" s="19">
        <f>ROUND(F5*$B$2*B5/365,2)</f>
        <v>12612328.77</v>
      </c>
      <c r="F5" s="2">
        <f>G4</f>
        <v>990000000</v>
      </c>
      <c r="G5" s="2">
        <f>F5-D5</f>
        <v>968289810.76999998</v>
      </c>
      <c r="H5" s="14">
        <f t="shared" ref="H5:H33" si="1">F5*$B$2*B5/365</f>
        <v>12612328.767123288</v>
      </c>
      <c r="I5" s="16">
        <f t="shared" ref="I5:I33" si="2">H5-E5</f>
        <v>-2.8767120093107224E-3</v>
      </c>
    </row>
    <row r="6" spans="1:10" x14ac:dyDescent="0.25">
      <c r="A6" s="31">
        <v>43013</v>
      </c>
      <c r="B6" s="1">
        <f t="shared" ref="B6:B47" si="3">_xlfn.DAYS(A6,A5)</f>
        <v>30</v>
      </c>
      <c r="C6" s="4">
        <f t="shared" ref="C6:C41" si="4">$D$1</f>
        <v>34322518</v>
      </c>
      <c r="D6" s="2">
        <f t="shared" si="0"/>
        <v>22384698.420000002</v>
      </c>
      <c r="E6" s="19">
        <f t="shared" ref="E6:E39" si="5">ROUND(F6*$B$2*B6/365,2)</f>
        <v>11937819.58</v>
      </c>
      <c r="F6" s="2">
        <f t="shared" ref="F6:F40" si="6">G5</f>
        <v>968289810.76999998</v>
      </c>
      <c r="G6" s="2">
        <f t="shared" ref="G6:G47" si="7">F6-D6</f>
        <v>945905112.35000002</v>
      </c>
      <c r="H6" s="14">
        <f t="shared" si="1"/>
        <v>11937819.584835617</v>
      </c>
      <c r="I6" s="16">
        <f t="shared" si="2"/>
        <v>4.835616797208786E-3</v>
      </c>
    </row>
    <row r="7" spans="1:10" x14ac:dyDescent="0.25">
      <c r="A7" s="31">
        <v>43044</v>
      </c>
      <c r="B7" s="1">
        <f t="shared" si="3"/>
        <v>31</v>
      </c>
      <c r="C7" s="4">
        <f t="shared" si="4"/>
        <v>34322518</v>
      </c>
      <c r="D7" s="2">
        <f t="shared" si="0"/>
        <v>22271946.02</v>
      </c>
      <c r="E7" s="19">
        <f t="shared" si="5"/>
        <v>12050571.98</v>
      </c>
      <c r="F7" s="2">
        <f t="shared" si="6"/>
        <v>945905112.35000002</v>
      </c>
      <c r="G7" s="2">
        <f t="shared" si="7"/>
        <v>923633166.33000004</v>
      </c>
      <c r="H7" s="14">
        <f t="shared" si="1"/>
        <v>12050571.979253424</v>
      </c>
      <c r="I7" s="16">
        <f t="shared" si="2"/>
        <v>-7.4657611548900604E-4</v>
      </c>
    </row>
    <row r="8" spans="1:10" x14ac:dyDescent="0.25">
      <c r="A8" s="31">
        <v>43074</v>
      </c>
      <c r="B8" s="1">
        <f t="shared" si="3"/>
        <v>30</v>
      </c>
      <c r="C8" s="4">
        <f t="shared" si="4"/>
        <v>34322518</v>
      </c>
      <c r="D8" s="2">
        <f t="shared" si="0"/>
        <v>22935259.780000001</v>
      </c>
      <c r="E8" s="19">
        <f t="shared" si="5"/>
        <v>11387258.220000001</v>
      </c>
      <c r="F8" s="2">
        <f t="shared" si="6"/>
        <v>923633166.33000004</v>
      </c>
      <c r="G8" s="2">
        <f t="shared" si="7"/>
        <v>900697906.55000007</v>
      </c>
      <c r="H8" s="14">
        <f t="shared" si="1"/>
        <v>11387258.215027396</v>
      </c>
      <c r="I8" s="16">
        <f t="shared" si="2"/>
        <v>-4.9726050347089767E-3</v>
      </c>
    </row>
    <row r="9" spans="1:10" x14ac:dyDescent="0.25">
      <c r="A9" s="31">
        <v>43105</v>
      </c>
      <c r="B9" s="1">
        <f t="shared" si="3"/>
        <v>31</v>
      </c>
      <c r="C9" s="4">
        <f t="shared" si="4"/>
        <v>34322518</v>
      </c>
      <c r="D9" s="2">
        <f t="shared" si="0"/>
        <v>22847873.439999998</v>
      </c>
      <c r="E9" s="19">
        <f t="shared" si="5"/>
        <v>11474644.560000001</v>
      </c>
      <c r="F9" s="2">
        <f t="shared" si="6"/>
        <v>900697906.55000007</v>
      </c>
      <c r="G9" s="2">
        <f t="shared" si="7"/>
        <v>877850033.11000013</v>
      </c>
      <c r="H9" s="14">
        <f t="shared" si="1"/>
        <v>11474644.562897261</v>
      </c>
      <c r="I9" s="16">
        <f t="shared" si="2"/>
        <v>2.8972607105970383E-3</v>
      </c>
    </row>
    <row r="10" spans="1:10" x14ac:dyDescent="0.25">
      <c r="A10" s="31">
        <v>43136</v>
      </c>
      <c r="B10" s="1">
        <f t="shared" si="3"/>
        <v>31</v>
      </c>
      <c r="C10" s="4">
        <f t="shared" si="4"/>
        <v>34322518</v>
      </c>
      <c r="D10" s="2">
        <f t="shared" si="0"/>
        <v>23138949.09</v>
      </c>
      <c r="E10" s="19">
        <f t="shared" si="5"/>
        <v>11183568.91</v>
      </c>
      <c r="F10" s="2">
        <f t="shared" si="6"/>
        <v>877850033.11000013</v>
      </c>
      <c r="G10" s="2">
        <f t="shared" si="7"/>
        <v>854711084.0200001</v>
      </c>
      <c r="H10" s="14">
        <f t="shared" si="1"/>
        <v>11183568.914963016</v>
      </c>
      <c r="I10" s="16">
        <f t="shared" si="2"/>
        <v>4.9630161374807358E-3</v>
      </c>
    </row>
    <row r="11" spans="1:10" x14ac:dyDescent="0.25">
      <c r="A11" s="31">
        <v>43164</v>
      </c>
      <c r="B11" s="1">
        <f t="shared" si="3"/>
        <v>28</v>
      </c>
      <c r="C11" s="4">
        <f t="shared" si="4"/>
        <v>34322518</v>
      </c>
      <c r="D11" s="2">
        <f t="shared" si="0"/>
        <v>24487486.350000001</v>
      </c>
      <c r="E11" s="19">
        <f t="shared" si="5"/>
        <v>9835031.6500000004</v>
      </c>
      <c r="F11" s="2">
        <f t="shared" si="6"/>
        <v>854711084.0200001</v>
      </c>
      <c r="G11" s="2">
        <f t="shared" si="7"/>
        <v>830223597.67000008</v>
      </c>
      <c r="H11" s="14">
        <f t="shared" si="1"/>
        <v>9835031.6517369878</v>
      </c>
      <c r="I11" s="16">
        <f t="shared" si="2"/>
        <v>1.7369873821735382E-3</v>
      </c>
    </row>
    <row r="12" spans="1:10" x14ac:dyDescent="0.25">
      <c r="A12" s="31">
        <v>43195</v>
      </c>
      <c r="B12" s="1">
        <f t="shared" si="3"/>
        <v>31</v>
      </c>
      <c r="C12" s="4">
        <f t="shared" si="4"/>
        <v>34322518</v>
      </c>
      <c r="D12" s="2">
        <f t="shared" si="0"/>
        <v>23745696.82</v>
      </c>
      <c r="E12" s="19">
        <f t="shared" si="5"/>
        <v>10576821.18</v>
      </c>
      <c r="F12" s="2">
        <f t="shared" si="6"/>
        <v>830223597.67000008</v>
      </c>
      <c r="G12" s="2">
        <f t="shared" si="7"/>
        <v>806477900.85000002</v>
      </c>
      <c r="H12" s="14">
        <f t="shared" si="1"/>
        <v>10576821.17579589</v>
      </c>
      <c r="I12" s="16">
        <f t="shared" si="2"/>
        <v>-4.2041093111038208E-3</v>
      </c>
    </row>
    <row r="13" spans="1:10" x14ac:dyDescent="0.25">
      <c r="A13" s="31">
        <v>43225</v>
      </c>
      <c r="B13" s="1">
        <f t="shared" si="3"/>
        <v>30</v>
      </c>
      <c r="C13" s="4">
        <f t="shared" si="4"/>
        <v>34322518</v>
      </c>
      <c r="D13" s="2">
        <f t="shared" si="0"/>
        <v>24379639.77</v>
      </c>
      <c r="E13" s="19">
        <f t="shared" si="5"/>
        <v>9942878.2300000004</v>
      </c>
      <c r="F13" s="2">
        <f t="shared" si="6"/>
        <v>806477900.85000002</v>
      </c>
      <c r="G13" s="2">
        <f t="shared" si="7"/>
        <v>782098261.08000004</v>
      </c>
      <c r="H13" s="14">
        <f t="shared" si="1"/>
        <v>9942878.2296575345</v>
      </c>
      <c r="I13" s="16">
        <f t="shared" si="2"/>
        <v>-3.4246593713760376E-4</v>
      </c>
    </row>
    <row r="14" spans="1:10" x14ac:dyDescent="0.25">
      <c r="A14" s="31">
        <v>43256</v>
      </c>
      <c r="B14" s="1">
        <f t="shared" si="3"/>
        <v>31</v>
      </c>
      <c r="C14" s="4">
        <f t="shared" si="4"/>
        <v>34322518</v>
      </c>
      <c r="D14" s="2">
        <f t="shared" si="0"/>
        <v>24358800.43</v>
      </c>
      <c r="E14" s="19">
        <f t="shared" si="5"/>
        <v>9963717.5700000003</v>
      </c>
      <c r="F14" s="2">
        <f t="shared" si="6"/>
        <v>782098261.08000004</v>
      </c>
      <c r="G14" s="2">
        <f t="shared" si="7"/>
        <v>757739460.6500001</v>
      </c>
      <c r="H14" s="14">
        <f t="shared" si="1"/>
        <v>9963717.5726630129</v>
      </c>
      <c r="I14" s="16">
        <f t="shared" si="2"/>
        <v>2.6630125939846039E-3</v>
      </c>
    </row>
    <row r="15" spans="1:10" x14ac:dyDescent="0.25">
      <c r="A15" s="31">
        <v>43286</v>
      </c>
      <c r="B15" s="1">
        <f t="shared" si="3"/>
        <v>30</v>
      </c>
      <c r="C15" s="4">
        <f t="shared" si="4"/>
        <v>34322518</v>
      </c>
      <c r="D15" s="2">
        <f t="shared" si="0"/>
        <v>24980524.649999999</v>
      </c>
      <c r="E15" s="19">
        <f t="shared" si="5"/>
        <v>9341993.3499999996</v>
      </c>
      <c r="F15" s="2">
        <f t="shared" si="6"/>
        <v>757739460.6500001</v>
      </c>
      <c r="G15" s="2">
        <f t="shared" si="7"/>
        <v>732758936.00000012</v>
      </c>
      <c r="H15" s="14">
        <f t="shared" si="1"/>
        <v>9341993.3504794519</v>
      </c>
      <c r="I15" s="16">
        <f t="shared" si="2"/>
        <v>4.7945231199264526E-4</v>
      </c>
    </row>
    <row r="16" spans="1:10" x14ac:dyDescent="0.25">
      <c r="A16" s="31">
        <v>43317</v>
      </c>
      <c r="B16" s="1">
        <f t="shared" si="3"/>
        <v>31</v>
      </c>
      <c r="C16" s="4">
        <f t="shared" si="4"/>
        <v>34322518</v>
      </c>
      <c r="D16" s="2">
        <f t="shared" si="0"/>
        <v>24987369.91</v>
      </c>
      <c r="E16" s="19">
        <f t="shared" si="5"/>
        <v>9335148.0899999999</v>
      </c>
      <c r="F16" s="2">
        <f t="shared" si="6"/>
        <v>732758936.00000012</v>
      </c>
      <c r="G16" s="2">
        <f t="shared" si="7"/>
        <v>707771566.09000015</v>
      </c>
      <c r="H16" s="14">
        <f t="shared" si="1"/>
        <v>9335148.0887671243</v>
      </c>
      <c r="I16" s="16">
        <f t="shared" si="2"/>
        <v>-1.2328755110502243E-3</v>
      </c>
    </row>
    <row r="17" spans="1:9" x14ac:dyDescent="0.25">
      <c r="A17" s="31">
        <v>43348</v>
      </c>
      <c r="B17" s="1">
        <f t="shared" si="3"/>
        <v>31</v>
      </c>
      <c r="C17" s="4">
        <f t="shared" si="4"/>
        <v>34322518</v>
      </c>
      <c r="D17" s="2">
        <f t="shared" si="0"/>
        <v>25305702.16</v>
      </c>
      <c r="E17" s="19">
        <f t="shared" si="5"/>
        <v>9016815.8399999999</v>
      </c>
      <c r="F17" s="2">
        <f t="shared" si="6"/>
        <v>707771566.09000015</v>
      </c>
      <c r="G17" s="2">
        <f t="shared" si="7"/>
        <v>682465863.93000019</v>
      </c>
      <c r="H17" s="14">
        <f t="shared" si="1"/>
        <v>9016815.8419684954</v>
      </c>
      <c r="I17" s="16">
        <f t="shared" si="2"/>
        <v>1.9684955477714539E-3</v>
      </c>
    </row>
    <row r="18" spans="1:9" x14ac:dyDescent="0.25">
      <c r="A18" s="31">
        <v>43378</v>
      </c>
      <c r="B18" s="1">
        <f t="shared" si="3"/>
        <v>30</v>
      </c>
      <c r="C18" s="4">
        <f t="shared" si="4"/>
        <v>34322518</v>
      </c>
      <c r="D18" s="2">
        <f t="shared" si="0"/>
        <v>25908555.289999999</v>
      </c>
      <c r="E18" s="19">
        <f t="shared" si="5"/>
        <v>8413962.7100000009</v>
      </c>
      <c r="F18" s="2">
        <f t="shared" si="6"/>
        <v>682465863.93000019</v>
      </c>
      <c r="G18" s="2">
        <f t="shared" si="7"/>
        <v>656557308.64000022</v>
      </c>
      <c r="H18" s="14">
        <f t="shared" si="1"/>
        <v>8413962.7059863042</v>
      </c>
      <c r="I18" s="16">
        <f t="shared" si="2"/>
        <v>-4.0136966854333878E-3</v>
      </c>
    </row>
    <row r="19" spans="1:9" x14ac:dyDescent="0.25">
      <c r="A19" s="31">
        <v>43409</v>
      </c>
      <c r="B19" s="1">
        <f t="shared" si="3"/>
        <v>31</v>
      </c>
      <c r="C19" s="4">
        <f t="shared" si="4"/>
        <v>34322518</v>
      </c>
      <c r="D19" s="2">
        <f t="shared" si="0"/>
        <v>25958157.77</v>
      </c>
      <c r="E19" s="19">
        <f t="shared" si="5"/>
        <v>8364360.2300000004</v>
      </c>
      <c r="F19" s="2">
        <f t="shared" si="6"/>
        <v>656557308.64000022</v>
      </c>
      <c r="G19" s="2">
        <f t="shared" si="7"/>
        <v>630599150.87000024</v>
      </c>
      <c r="H19" s="14">
        <f t="shared" si="1"/>
        <v>8364360.2333589066</v>
      </c>
      <c r="I19" s="16">
        <f t="shared" si="2"/>
        <v>3.3589061349630356E-3</v>
      </c>
    </row>
    <row r="20" spans="1:9" x14ac:dyDescent="0.25">
      <c r="A20" s="31">
        <v>43439</v>
      </c>
      <c r="B20" s="1">
        <f t="shared" si="3"/>
        <v>30</v>
      </c>
      <c r="C20" s="4">
        <f t="shared" si="4"/>
        <v>34322518</v>
      </c>
      <c r="D20" s="2">
        <f t="shared" si="0"/>
        <v>26548007.920000002</v>
      </c>
      <c r="E20" s="19">
        <f t="shared" si="5"/>
        <v>7774510.0800000001</v>
      </c>
      <c r="F20" s="2">
        <f t="shared" si="6"/>
        <v>630599150.87000024</v>
      </c>
      <c r="G20" s="2">
        <f t="shared" si="7"/>
        <v>604051142.95000029</v>
      </c>
      <c r="H20" s="14">
        <f t="shared" si="1"/>
        <v>7774510.0792191802</v>
      </c>
      <c r="I20" s="16">
        <f t="shared" si="2"/>
        <v>-7.8081991523504257E-4</v>
      </c>
    </row>
    <row r="21" spans="1:9" x14ac:dyDescent="0.25">
      <c r="A21" s="31">
        <v>43470</v>
      </c>
      <c r="B21" s="1">
        <f t="shared" si="3"/>
        <v>31</v>
      </c>
      <c r="C21" s="4">
        <f t="shared" si="4"/>
        <v>34322518</v>
      </c>
      <c r="D21" s="2">
        <f t="shared" si="0"/>
        <v>26627071.93</v>
      </c>
      <c r="E21" s="19">
        <f t="shared" si="5"/>
        <v>7695446.0700000003</v>
      </c>
      <c r="F21" s="2">
        <f t="shared" si="6"/>
        <v>604051142.95000029</v>
      </c>
      <c r="G21" s="2">
        <f t="shared" si="7"/>
        <v>577424071.02000034</v>
      </c>
      <c r="H21" s="14">
        <f t="shared" si="1"/>
        <v>7695446.0677191811</v>
      </c>
      <c r="I21" s="16">
        <f t="shared" si="2"/>
        <v>-2.2808192297816277E-3</v>
      </c>
    </row>
    <row r="22" spans="1:9" x14ac:dyDescent="0.25">
      <c r="A22" s="31">
        <v>43501</v>
      </c>
      <c r="B22" s="1">
        <f t="shared" si="3"/>
        <v>31</v>
      </c>
      <c r="C22" s="4">
        <f t="shared" si="4"/>
        <v>34322518</v>
      </c>
      <c r="D22" s="2">
        <f t="shared" si="0"/>
        <v>26966293.530000001</v>
      </c>
      <c r="E22" s="19">
        <f t="shared" si="5"/>
        <v>7356224.4699999997</v>
      </c>
      <c r="F22" s="2">
        <f t="shared" si="6"/>
        <v>577424071.02000034</v>
      </c>
      <c r="G22" s="2">
        <f t="shared" si="7"/>
        <v>550457777.49000037</v>
      </c>
      <c r="H22" s="14">
        <f t="shared" si="1"/>
        <v>7356224.4664191818</v>
      </c>
      <c r="I22" s="16">
        <f t="shared" si="2"/>
        <v>-3.5808179527521133E-3</v>
      </c>
    </row>
    <row r="23" spans="1:9" x14ac:dyDescent="0.25">
      <c r="A23" s="31">
        <v>43529</v>
      </c>
      <c r="B23" s="1">
        <f t="shared" si="3"/>
        <v>28</v>
      </c>
      <c r="C23" s="4">
        <f t="shared" si="4"/>
        <v>34322518</v>
      </c>
      <c r="D23" s="2">
        <f t="shared" si="0"/>
        <v>27988483.300000001</v>
      </c>
      <c r="E23" s="19">
        <f t="shared" si="5"/>
        <v>6334034.7000000002</v>
      </c>
      <c r="F23" s="2">
        <f t="shared" si="6"/>
        <v>550457777.49000037</v>
      </c>
      <c r="G23" s="2">
        <f t="shared" si="7"/>
        <v>522469294.19000036</v>
      </c>
      <c r="H23" s="14">
        <f t="shared" si="1"/>
        <v>6334034.6998849344</v>
      </c>
      <c r="I23" s="16">
        <f t="shared" si="2"/>
        <v>-1.1506583541631699E-4</v>
      </c>
    </row>
    <row r="24" spans="1:9" x14ac:dyDescent="0.25">
      <c r="A24" s="31">
        <v>43560</v>
      </c>
      <c r="B24" s="1">
        <f t="shared" si="3"/>
        <v>31</v>
      </c>
      <c r="C24" s="4">
        <f t="shared" si="4"/>
        <v>34322518</v>
      </c>
      <c r="D24" s="2">
        <f t="shared" si="0"/>
        <v>27666402.329999998</v>
      </c>
      <c r="E24" s="19">
        <f t="shared" si="5"/>
        <v>6656115.6699999999</v>
      </c>
      <c r="F24" s="2">
        <f t="shared" si="6"/>
        <v>522469294.19000036</v>
      </c>
      <c r="G24" s="2">
        <f t="shared" si="7"/>
        <v>494802891.86000037</v>
      </c>
      <c r="H24" s="14">
        <f t="shared" si="1"/>
        <v>6656115.6657082234</v>
      </c>
      <c r="I24" s="16">
        <f t="shared" si="2"/>
        <v>-4.291776567697525E-3</v>
      </c>
    </row>
    <row r="25" spans="1:9" x14ac:dyDescent="0.25">
      <c r="A25" s="31">
        <v>43590</v>
      </c>
      <c r="B25" s="1">
        <f t="shared" si="3"/>
        <v>30</v>
      </c>
      <c r="C25" s="4">
        <f t="shared" si="4"/>
        <v>34322518</v>
      </c>
      <c r="D25" s="2">
        <f t="shared" si="0"/>
        <v>28222208.370000001</v>
      </c>
      <c r="E25" s="19">
        <f t="shared" si="5"/>
        <v>6100309.6299999999</v>
      </c>
      <c r="F25" s="2">
        <f t="shared" si="6"/>
        <v>494802891.86000037</v>
      </c>
      <c r="G25" s="2">
        <f t="shared" si="7"/>
        <v>466580683.49000037</v>
      </c>
      <c r="H25" s="14">
        <f t="shared" si="1"/>
        <v>6100309.6256712377</v>
      </c>
      <c r="I25" s="16">
        <f t="shared" si="2"/>
        <v>-4.3287621811032295E-3</v>
      </c>
    </row>
    <row r="26" spans="1:9" x14ac:dyDescent="0.25">
      <c r="A26" s="31">
        <v>43621</v>
      </c>
      <c r="B26" s="1">
        <f t="shared" si="3"/>
        <v>31</v>
      </c>
      <c r="C26" s="4">
        <f t="shared" si="4"/>
        <v>34322518</v>
      </c>
      <c r="D26" s="2">
        <f t="shared" si="0"/>
        <v>28378407.920000002</v>
      </c>
      <c r="E26" s="19">
        <f t="shared" si="5"/>
        <v>5944110.0800000001</v>
      </c>
      <c r="F26" s="2">
        <f t="shared" si="6"/>
        <v>466580683.49000037</v>
      </c>
      <c r="G26" s="2">
        <f t="shared" si="7"/>
        <v>438202275.57000035</v>
      </c>
      <c r="H26" s="14">
        <f t="shared" si="1"/>
        <v>5944110.0773383612</v>
      </c>
      <c r="I26" s="16">
        <f t="shared" si="2"/>
        <v>-2.6616388931870461E-3</v>
      </c>
    </row>
    <row r="27" spans="1:9" x14ac:dyDescent="0.25">
      <c r="A27" s="31">
        <v>43651</v>
      </c>
      <c r="B27" s="1">
        <f t="shared" si="3"/>
        <v>30</v>
      </c>
      <c r="C27" s="4">
        <f t="shared" si="4"/>
        <v>34322518</v>
      </c>
      <c r="D27" s="2">
        <f t="shared" si="0"/>
        <v>28920024.190000001</v>
      </c>
      <c r="E27" s="19">
        <f t="shared" si="5"/>
        <v>5402493.8099999996</v>
      </c>
      <c r="F27" s="2">
        <f t="shared" si="6"/>
        <v>438202275.57000035</v>
      </c>
      <c r="G27" s="2">
        <f t="shared" si="7"/>
        <v>409282251.38000035</v>
      </c>
      <c r="H27" s="14">
        <f t="shared" si="1"/>
        <v>5402493.8083972642</v>
      </c>
      <c r="I27" s="16">
        <f t="shared" si="2"/>
        <v>-1.6027353703975677E-3</v>
      </c>
    </row>
    <row r="28" spans="1:9" x14ac:dyDescent="0.25">
      <c r="A28" s="31">
        <v>43682</v>
      </c>
      <c r="B28" s="1">
        <f t="shared" si="3"/>
        <v>31</v>
      </c>
      <c r="C28" s="4">
        <f t="shared" si="4"/>
        <v>34322518</v>
      </c>
      <c r="D28" s="2">
        <f t="shared" si="0"/>
        <v>29108374.25</v>
      </c>
      <c r="E28" s="19">
        <f t="shared" si="5"/>
        <v>5214143.75</v>
      </c>
      <c r="F28" s="2">
        <f t="shared" si="6"/>
        <v>409282251.38000035</v>
      </c>
      <c r="G28" s="2">
        <f t="shared" si="7"/>
        <v>380173877.13000035</v>
      </c>
      <c r="H28" s="14">
        <f t="shared" si="1"/>
        <v>5214143.7504575383</v>
      </c>
      <c r="I28" s="16">
        <f t="shared" si="2"/>
        <v>4.5753829181194305E-4</v>
      </c>
    </row>
    <row r="29" spans="1:9" x14ac:dyDescent="0.25">
      <c r="A29" s="31">
        <v>43713</v>
      </c>
      <c r="B29" s="1">
        <f t="shared" si="3"/>
        <v>31</v>
      </c>
      <c r="C29" s="4">
        <f t="shared" si="4"/>
        <v>34322518</v>
      </c>
      <c r="D29" s="2">
        <f t="shared" si="0"/>
        <v>29479206.960000001</v>
      </c>
      <c r="E29" s="19">
        <f t="shared" si="5"/>
        <v>4843311.04</v>
      </c>
      <c r="F29" s="2">
        <f t="shared" si="6"/>
        <v>380173877.13000035</v>
      </c>
      <c r="G29" s="2">
        <f t="shared" si="7"/>
        <v>350694670.17000037</v>
      </c>
      <c r="H29" s="14">
        <f t="shared" si="1"/>
        <v>4843311.0374095934</v>
      </c>
      <c r="I29" s="16">
        <f t="shared" si="2"/>
        <v>-2.5904066860675812E-3</v>
      </c>
    </row>
    <row r="30" spans="1:9" x14ac:dyDescent="0.25">
      <c r="A30" s="31">
        <v>43743</v>
      </c>
      <c r="B30" s="1">
        <f t="shared" si="3"/>
        <v>30</v>
      </c>
      <c r="C30" s="4">
        <f t="shared" si="4"/>
        <v>34322518</v>
      </c>
      <c r="D30" s="2">
        <f t="shared" si="0"/>
        <v>29998885.079999998</v>
      </c>
      <c r="E30" s="19">
        <f t="shared" si="5"/>
        <v>4323632.92</v>
      </c>
      <c r="F30" s="2">
        <f t="shared" si="6"/>
        <v>350694670.17000037</v>
      </c>
      <c r="G30" s="2">
        <f t="shared" si="7"/>
        <v>320695785.09000039</v>
      </c>
      <c r="H30" s="14">
        <f t="shared" si="1"/>
        <v>4323632.9199041137</v>
      </c>
      <c r="I30" s="16">
        <f t="shared" si="2"/>
        <v>-9.5886178314685822E-5</v>
      </c>
    </row>
    <row r="31" spans="1:9" x14ac:dyDescent="0.25">
      <c r="A31" s="31">
        <v>43774</v>
      </c>
      <c r="B31" s="1">
        <f t="shared" si="3"/>
        <v>31</v>
      </c>
      <c r="C31" s="4">
        <f t="shared" si="4"/>
        <v>34322518</v>
      </c>
      <c r="D31" s="2">
        <f t="shared" si="0"/>
        <v>30236941.559999999</v>
      </c>
      <c r="E31" s="19">
        <f t="shared" si="5"/>
        <v>4085576.44</v>
      </c>
      <c r="F31" s="2">
        <f t="shared" si="6"/>
        <v>320695785.09000039</v>
      </c>
      <c r="G31" s="2">
        <f t="shared" si="7"/>
        <v>290458843.53000039</v>
      </c>
      <c r="H31" s="14">
        <f t="shared" si="1"/>
        <v>4085576.4401876763</v>
      </c>
      <c r="I31" s="16">
        <f t="shared" si="2"/>
        <v>1.8767639994621277E-4</v>
      </c>
    </row>
    <row r="32" spans="1:9" x14ac:dyDescent="0.25">
      <c r="A32" s="31">
        <v>43804</v>
      </c>
      <c r="B32" s="1">
        <f t="shared" si="3"/>
        <v>30</v>
      </c>
      <c r="C32" s="4">
        <f t="shared" si="4"/>
        <v>34322518</v>
      </c>
      <c r="D32" s="2">
        <f t="shared" si="0"/>
        <v>30741518.559999999</v>
      </c>
      <c r="E32" s="19">
        <f t="shared" si="5"/>
        <v>3580999.44</v>
      </c>
      <c r="F32" s="2">
        <f t="shared" si="6"/>
        <v>290458843.53000039</v>
      </c>
      <c r="G32" s="2">
        <f t="shared" si="7"/>
        <v>259717324.97000039</v>
      </c>
      <c r="H32" s="14">
        <f t="shared" si="1"/>
        <v>3580999.4407808273</v>
      </c>
      <c r="I32" s="16">
        <f t="shared" si="2"/>
        <v>7.808273658156395E-4</v>
      </c>
    </row>
    <row r="33" spans="1:9" x14ac:dyDescent="0.25">
      <c r="A33" s="31">
        <v>43835</v>
      </c>
      <c r="B33" s="1">
        <f t="shared" si="3"/>
        <v>31</v>
      </c>
      <c r="C33" s="4">
        <f t="shared" si="4"/>
        <v>34322518</v>
      </c>
      <c r="D33" s="2">
        <f t="shared" si="0"/>
        <v>31013790.440000001</v>
      </c>
      <c r="E33" s="19">
        <f t="shared" si="5"/>
        <v>3308727.56</v>
      </c>
      <c r="F33" s="2">
        <f t="shared" si="6"/>
        <v>259717324.97000039</v>
      </c>
      <c r="G33" s="2">
        <f t="shared" si="7"/>
        <v>228703534.53000039</v>
      </c>
      <c r="H33" s="14">
        <f t="shared" si="1"/>
        <v>3308727.5646863063</v>
      </c>
      <c r="I33" s="16">
        <f t="shared" si="2"/>
        <v>4.6863062307238579E-3</v>
      </c>
    </row>
    <row r="34" spans="1:9" x14ac:dyDescent="0.25">
      <c r="A34" s="31">
        <v>43866</v>
      </c>
      <c r="B34" s="1">
        <f t="shared" si="3"/>
        <v>31</v>
      </c>
      <c r="C34" s="4">
        <f t="shared" si="4"/>
        <v>34322518</v>
      </c>
      <c r="D34" s="2">
        <f t="shared" si="0"/>
        <v>31408897.629999999</v>
      </c>
      <c r="E34" s="19">
        <f t="shared" si="5"/>
        <v>2913620.37</v>
      </c>
      <c r="F34" s="2">
        <f t="shared" si="6"/>
        <v>228703534.53000039</v>
      </c>
      <c r="G34" s="2">
        <f t="shared" si="7"/>
        <v>197294636.90000039</v>
      </c>
      <c r="H34" s="14"/>
      <c r="I34" s="16"/>
    </row>
    <row r="35" spans="1:9" x14ac:dyDescent="0.25">
      <c r="A35" s="31">
        <v>43895</v>
      </c>
      <c r="B35" s="1">
        <f t="shared" si="3"/>
        <v>29</v>
      </c>
      <c r="C35" s="4">
        <f t="shared" si="4"/>
        <v>34322518</v>
      </c>
      <c r="D35" s="2">
        <f t="shared" si="0"/>
        <v>31971198.350000001</v>
      </c>
      <c r="E35" s="19">
        <f t="shared" si="5"/>
        <v>2351319.65</v>
      </c>
      <c r="F35" s="2">
        <f t="shared" si="6"/>
        <v>197294636.90000039</v>
      </c>
      <c r="G35" s="2">
        <f t="shared" si="7"/>
        <v>165323438.5500004</v>
      </c>
      <c r="H35" s="14"/>
      <c r="I35" s="16"/>
    </row>
    <row r="36" spans="1:9" x14ac:dyDescent="0.25">
      <c r="A36" s="31">
        <v>43926</v>
      </c>
      <c r="B36" s="1">
        <f t="shared" si="3"/>
        <v>31</v>
      </c>
      <c r="C36" s="4">
        <f t="shared" si="4"/>
        <v>34322518</v>
      </c>
      <c r="D36" s="2">
        <f t="shared" si="0"/>
        <v>32216342.690000001</v>
      </c>
      <c r="E36" s="19">
        <f t="shared" si="5"/>
        <v>2106175.31</v>
      </c>
      <c r="F36" s="2">
        <f t="shared" si="6"/>
        <v>165323438.5500004</v>
      </c>
      <c r="G36" s="2">
        <f t="shared" si="7"/>
        <v>133107095.8600004</v>
      </c>
      <c r="H36" s="14"/>
      <c r="I36" s="16"/>
    </row>
    <row r="37" spans="1:9" x14ac:dyDescent="0.25">
      <c r="A37" s="31">
        <v>43956</v>
      </c>
      <c r="B37" s="1">
        <f t="shared" si="3"/>
        <v>30</v>
      </c>
      <c r="C37" s="4">
        <f t="shared" si="4"/>
        <v>34322518</v>
      </c>
      <c r="D37" s="2">
        <f t="shared" si="0"/>
        <v>32681471.609999999</v>
      </c>
      <c r="E37" s="19">
        <f t="shared" si="5"/>
        <v>1641046.39</v>
      </c>
      <c r="F37" s="2">
        <f t="shared" si="6"/>
        <v>133107095.8600004</v>
      </c>
      <c r="G37" s="2">
        <f t="shared" si="7"/>
        <v>100425624.2500004</v>
      </c>
      <c r="H37" s="14"/>
      <c r="I37" s="16"/>
    </row>
    <row r="38" spans="1:9" x14ac:dyDescent="0.25">
      <c r="A38" s="31">
        <v>43987</v>
      </c>
      <c r="B38" s="1">
        <f t="shared" si="3"/>
        <v>31</v>
      </c>
      <c r="C38" s="4">
        <f t="shared" si="4"/>
        <v>34322518</v>
      </c>
      <c r="D38" s="2">
        <f t="shared" si="0"/>
        <v>33043123.059999999</v>
      </c>
      <c r="E38" s="19">
        <f t="shared" si="5"/>
        <v>1279394.94</v>
      </c>
      <c r="F38" s="2">
        <f t="shared" si="6"/>
        <v>100425624.2500004</v>
      </c>
      <c r="G38" s="2">
        <f t="shared" si="7"/>
        <v>67382501.1900004</v>
      </c>
      <c r="H38" s="14"/>
      <c r="I38" s="16"/>
    </row>
    <row r="39" spans="1:9" x14ac:dyDescent="0.25">
      <c r="A39" s="31">
        <v>44017</v>
      </c>
      <c r="B39" s="1">
        <f t="shared" si="3"/>
        <v>30</v>
      </c>
      <c r="C39" s="4">
        <f t="shared" si="4"/>
        <v>34322518</v>
      </c>
      <c r="D39" s="2">
        <f t="shared" si="0"/>
        <v>33491774.829999998</v>
      </c>
      <c r="E39" s="19">
        <f t="shared" si="5"/>
        <v>830743.17</v>
      </c>
      <c r="F39" s="2">
        <f t="shared" si="6"/>
        <v>67382501.1900004</v>
      </c>
      <c r="G39" s="2">
        <f t="shared" si="7"/>
        <v>33890726.360000402</v>
      </c>
      <c r="H39" s="14"/>
      <c r="I39" s="16"/>
    </row>
    <row r="40" spans="1:9" x14ac:dyDescent="0.25">
      <c r="A40" s="31">
        <v>44048</v>
      </c>
      <c r="B40" s="1">
        <f t="shared" si="3"/>
        <v>31</v>
      </c>
      <c r="C40" s="4">
        <f t="shared" si="4"/>
        <v>34322518</v>
      </c>
      <c r="D40" s="2">
        <f t="shared" si="0"/>
        <v>33890726.360000402</v>
      </c>
      <c r="E40" s="19">
        <v>431791.63999959797</v>
      </c>
      <c r="F40" s="2">
        <f t="shared" si="6"/>
        <v>33890726.360000402</v>
      </c>
      <c r="G40" s="2">
        <f t="shared" si="7"/>
        <v>0</v>
      </c>
      <c r="H40" s="14"/>
      <c r="I40" s="16"/>
    </row>
    <row r="41" spans="1:9" x14ac:dyDescent="0.25">
      <c r="A41" s="31">
        <v>43866</v>
      </c>
      <c r="B41" s="1">
        <f>_xlfn.DAYS(A34,A33)</f>
        <v>31</v>
      </c>
      <c r="C41" s="4">
        <f t="shared" si="4"/>
        <v>34322518</v>
      </c>
      <c r="D41" s="2">
        <f t="shared" si="0"/>
        <v>31408897.629999999</v>
      </c>
      <c r="E41" s="19">
        <f t="shared" ref="E41" si="8">ROUND(F41*$B$2*B41/365,2)</f>
        <v>2913620.37</v>
      </c>
      <c r="F41" s="2">
        <f>G33</f>
        <v>228703534.53000039</v>
      </c>
      <c r="G41" s="2">
        <f t="shared" si="7"/>
        <v>197294636.90000039</v>
      </c>
      <c r="H41" s="14"/>
      <c r="I41" s="16"/>
    </row>
    <row r="42" spans="1:9" x14ac:dyDescent="0.25">
      <c r="A42" s="31">
        <v>43895</v>
      </c>
      <c r="B42" s="1">
        <f>_xlfn.DAYS(A42,A41)</f>
        <v>29</v>
      </c>
      <c r="C42" s="4">
        <f t="shared" ref="C42:C47" si="9">$F$1</f>
        <v>33352657</v>
      </c>
      <c r="D42" s="2">
        <f t="shared" si="0"/>
        <v>31042762.009999998</v>
      </c>
      <c r="E42" s="19">
        <f>ROUND(((G41*$B$2*D2/365)+(F42*$B$2*F2/365)),2)</f>
        <v>2309894.9900000002</v>
      </c>
      <c r="F42" s="2">
        <f>G41-J1</f>
        <v>191694636.90000039</v>
      </c>
      <c r="G42" s="2">
        <f t="shared" si="7"/>
        <v>160651874.8900004</v>
      </c>
      <c r="H42" s="14"/>
      <c r="I42" s="16"/>
    </row>
    <row r="43" spans="1:9" x14ac:dyDescent="0.25">
      <c r="A43" s="31">
        <v>43926</v>
      </c>
      <c r="B43" s="1">
        <f t="shared" si="3"/>
        <v>31</v>
      </c>
      <c r="C43" s="4">
        <f t="shared" si="9"/>
        <v>33352657</v>
      </c>
      <c r="D43" s="2">
        <f t="shared" si="0"/>
        <v>31305996.129999999</v>
      </c>
      <c r="E43" s="19">
        <f t="shared" ref="E43:E46" si="10">ROUND(F43*$B$2*B43/365,2)</f>
        <v>2046660.87</v>
      </c>
      <c r="F43" s="2">
        <f t="shared" ref="F43:F47" si="11">G42</f>
        <v>160651874.8900004</v>
      </c>
      <c r="G43" s="2">
        <f t="shared" si="7"/>
        <v>129345878.76000041</v>
      </c>
      <c r="H43" s="14"/>
      <c r="I43" s="16"/>
    </row>
    <row r="44" spans="1:9" x14ac:dyDescent="0.25">
      <c r="A44" s="31">
        <v>43956</v>
      </c>
      <c r="B44" s="1">
        <f t="shared" si="3"/>
        <v>30</v>
      </c>
      <c r="C44" s="4">
        <f t="shared" si="9"/>
        <v>33352657</v>
      </c>
      <c r="D44" s="2">
        <f t="shared" si="0"/>
        <v>31757981.780000001</v>
      </c>
      <c r="E44" s="19">
        <f t="shared" si="10"/>
        <v>1594675.22</v>
      </c>
      <c r="F44" s="2">
        <f t="shared" si="11"/>
        <v>129345878.76000041</v>
      </c>
      <c r="G44" s="2">
        <f t="shared" si="7"/>
        <v>97587896.980000407</v>
      </c>
      <c r="H44" s="14"/>
      <c r="I44" s="16"/>
    </row>
    <row r="45" spans="1:9" x14ac:dyDescent="0.25">
      <c r="A45" s="31">
        <v>43987</v>
      </c>
      <c r="B45" s="1">
        <f t="shared" si="3"/>
        <v>31</v>
      </c>
      <c r="C45" s="4">
        <f t="shared" si="9"/>
        <v>33352657</v>
      </c>
      <c r="D45" s="2">
        <f t="shared" si="0"/>
        <v>32109413.93</v>
      </c>
      <c r="E45" s="19">
        <f t="shared" si="10"/>
        <v>1243243.07</v>
      </c>
      <c r="F45" s="2">
        <f t="shared" si="11"/>
        <v>97587896.980000407</v>
      </c>
      <c r="G45" s="2">
        <f t="shared" si="7"/>
        <v>65478483.050000407</v>
      </c>
      <c r="H45" s="14"/>
      <c r="I45" s="16"/>
    </row>
    <row r="46" spans="1:9" x14ac:dyDescent="0.25">
      <c r="A46" s="31">
        <v>44017</v>
      </c>
      <c r="B46" s="1">
        <f t="shared" si="3"/>
        <v>30</v>
      </c>
      <c r="C46" s="4">
        <f t="shared" si="9"/>
        <v>33352657</v>
      </c>
      <c r="D46" s="2">
        <f t="shared" si="0"/>
        <v>32545388.030000001</v>
      </c>
      <c r="E46" s="19">
        <f t="shared" si="10"/>
        <v>807268.97</v>
      </c>
      <c r="F46" s="2">
        <f t="shared" si="11"/>
        <v>65478483.050000407</v>
      </c>
      <c r="G46" s="2">
        <f t="shared" si="7"/>
        <v>32933095.020000406</v>
      </c>
      <c r="H46" s="14"/>
      <c r="I46" s="16"/>
    </row>
    <row r="47" spans="1:9" x14ac:dyDescent="0.25">
      <c r="A47" s="31">
        <v>44048</v>
      </c>
      <c r="B47" s="1">
        <f t="shared" si="3"/>
        <v>31</v>
      </c>
      <c r="C47" s="4">
        <f t="shared" si="9"/>
        <v>33352657</v>
      </c>
      <c r="D47" s="2">
        <f t="shared" si="0"/>
        <v>32933095.020000406</v>
      </c>
      <c r="E47" s="19">
        <v>419561.97999959486</v>
      </c>
      <c r="F47" s="2">
        <f t="shared" si="11"/>
        <v>32933095.020000406</v>
      </c>
      <c r="G47" s="2">
        <f t="shared" si="7"/>
        <v>0</v>
      </c>
      <c r="H47" s="14"/>
      <c r="I47" s="16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43E0AF-E5E1-45B5-BEF0-BB4666F91392}">
  <sheetPr codeName="Sheet9"/>
  <dimension ref="A1:J47"/>
  <sheetViews>
    <sheetView zoomScale="96" zoomScaleNormal="100" workbookViewId="0">
      <pane ySplit="3" topLeftCell="A31" activePane="bottomLeft" state="frozen"/>
      <selection activeCell="A48" sqref="A48:XFD50"/>
      <selection pane="bottomLeft" activeCell="D2" sqref="D2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42951</v>
      </c>
      <c r="C1" s="15" t="s">
        <v>37</v>
      </c>
      <c r="D1" s="23">
        <f>ROUNDUP(34318675.2191522,0)</f>
        <v>34318676</v>
      </c>
      <c r="E1" s="25" t="s">
        <v>51</v>
      </c>
      <c r="F1" s="24">
        <f>ROUNDUP(33348492.6935154,0)</f>
        <v>33348493</v>
      </c>
      <c r="G1" s="28" t="s">
        <v>52</v>
      </c>
      <c r="H1" s="26">
        <v>43877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H1-A41</f>
        <v>11</v>
      </c>
      <c r="E2" t="s">
        <v>59</v>
      </c>
      <c r="F2">
        <f>DAYS360(H1,A42)</f>
        <v>19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31">
        <v>42952</v>
      </c>
      <c r="B4" s="1">
        <f>DAYS360(B1,A4)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-5650.6849315068685</v>
      </c>
    </row>
    <row r="5" spans="1:10" x14ac:dyDescent="0.25">
      <c r="A5" s="31">
        <v>42983</v>
      </c>
      <c r="B5" s="1">
        <f>DAYS360(A4,A5)</f>
        <v>30</v>
      </c>
      <c r="C5" s="4">
        <f>$D$1</f>
        <v>34318676</v>
      </c>
      <c r="D5" s="2">
        <f t="shared" ref="D5:D47" si="0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>
        <f t="shared" ref="H5:H33" si="1">F5*$B$2*B5/365</f>
        <v>12205479.452054795</v>
      </c>
      <c r="I5" s="16">
        <f t="shared" ref="I5:I33" si="2">H5-E5</f>
        <v>-169520.54794520512</v>
      </c>
    </row>
    <row r="6" spans="1:10" x14ac:dyDescent="0.25">
      <c r="A6" s="31">
        <v>43013</v>
      </c>
      <c r="B6" s="1">
        <f t="shared" ref="B6:B40" si="3">DAYS360(A5,A6)</f>
        <v>30</v>
      </c>
      <c r="C6" s="4">
        <f t="shared" ref="C6:C41" si="4">$D$1</f>
        <v>34318676</v>
      </c>
      <c r="D6" s="2">
        <f t="shared" si="0"/>
        <v>22217971.949999999</v>
      </c>
      <c r="E6" s="19">
        <f t="shared" ref="E6:E39" si="5">ROUND(F6*$B$2*B6/360,2)</f>
        <v>12100704.050000001</v>
      </c>
      <c r="F6" s="2">
        <f t="shared" ref="F6:F40" si="6">G5</f>
        <v>968056324</v>
      </c>
      <c r="G6" s="2">
        <f t="shared" ref="G6:G47" si="7">F6-D6</f>
        <v>945838352.04999995</v>
      </c>
      <c r="H6" s="14">
        <f t="shared" si="1"/>
        <v>11934940.980821919</v>
      </c>
      <c r="I6" s="16">
        <f t="shared" si="2"/>
        <v>-165763.06917808205</v>
      </c>
    </row>
    <row r="7" spans="1:10" x14ac:dyDescent="0.25">
      <c r="A7" s="31">
        <v>43044</v>
      </c>
      <c r="B7" s="1">
        <f t="shared" si="3"/>
        <v>30</v>
      </c>
      <c r="C7" s="4">
        <f t="shared" si="4"/>
        <v>34318676</v>
      </c>
      <c r="D7" s="2">
        <f t="shared" si="0"/>
        <v>22495696.600000001</v>
      </c>
      <c r="E7" s="19">
        <f t="shared" si="5"/>
        <v>11822979.4</v>
      </c>
      <c r="F7" s="2">
        <f t="shared" si="6"/>
        <v>945838352.04999995</v>
      </c>
      <c r="G7" s="2">
        <f t="shared" si="7"/>
        <v>923342655.44999993</v>
      </c>
      <c r="H7" s="14">
        <f t="shared" si="1"/>
        <v>11661020.778698629</v>
      </c>
      <c r="I7" s="16">
        <f t="shared" si="2"/>
        <v>-161958.6213013716</v>
      </c>
    </row>
    <row r="8" spans="1:10" x14ac:dyDescent="0.25">
      <c r="A8" s="31">
        <v>43074</v>
      </c>
      <c r="B8" s="1">
        <f t="shared" si="3"/>
        <v>30</v>
      </c>
      <c r="C8" s="4">
        <f t="shared" si="4"/>
        <v>34318676</v>
      </c>
      <c r="D8" s="2">
        <f t="shared" si="0"/>
        <v>22776892.810000002</v>
      </c>
      <c r="E8" s="19">
        <f t="shared" si="5"/>
        <v>11541783.189999999</v>
      </c>
      <c r="F8" s="2">
        <f t="shared" si="6"/>
        <v>923342655.44999993</v>
      </c>
      <c r="G8" s="2">
        <f t="shared" si="7"/>
        <v>900565762.63999987</v>
      </c>
      <c r="H8" s="14">
        <f t="shared" si="1"/>
        <v>11383676.574041095</v>
      </c>
      <c r="I8" s="16">
        <f t="shared" si="2"/>
        <v>-158106.61595890485</v>
      </c>
    </row>
    <row r="9" spans="1:10" x14ac:dyDescent="0.25">
      <c r="A9" s="31">
        <v>43105</v>
      </c>
      <c r="B9" s="1">
        <f t="shared" si="3"/>
        <v>30</v>
      </c>
      <c r="C9" s="4">
        <f t="shared" si="4"/>
        <v>34318676</v>
      </c>
      <c r="D9" s="2">
        <f t="shared" si="0"/>
        <v>23061603.969999999</v>
      </c>
      <c r="E9" s="19">
        <f t="shared" si="5"/>
        <v>11257072.029999999</v>
      </c>
      <c r="F9" s="2">
        <f t="shared" si="6"/>
        <v>900565762.63999987</v>
      </c>
      <c r="G9" s="2">
        <f t="shared" si="7"/>
        <v>877504158.66999984</v>
      </c>
      <c r="H9" s="14">
        <f t="shared" si="1"/>
        <v>11102865.566794518</v>
      </c>
      <c r="I9" s="16">
        <f t="shared" si="2"/>
        <v>-154206.46320548095</v>
      </c>
    </row>
    <row r="10" spans="1:10" x14ac:dyDescent="0.25">
      <c r="A10" s="31">
        <v>43136</v>
      </c>
      <c r="B10" s="1">
        <f t="shared" si="3"/>
        <v>30</v>
      </c>
      <c r="C10" s="4">
        <f t="shared" si="4"/>
        <v>34318676</v>
      </c>
      <c r="D10" s="2">
        <f t="shared" si="0"/>
        <v>23349874.02</v>
      </c>
      <c r="E10" s="19">
        <f t="shared" si="5"/>
        <v>10968801.98</v>
      </c>
      <c r="F10" s="2">
        <f t="shared" si="6"/>
        <v>877504158.66999984</v>
      </c>
      <c r="G10" s="2">
        <f t="shared" si="7"/>
        <v>854154284.64999986</v>
      </c>
      <c r="H10" s="14">
        <f t="shared" si="1"/>
        <v>10818544.421958903</v>
      </c>
      <c r="I10" s="16">
        <f t="shared" si="2"/>
        <v>-150257.5580410976</v>
      </c>
    </row>
    <row r="11" spans="1:10" x14ac:dyDescent="0.25">
      <c r="A11" s="31">
        <v>43164</v>
      </c>
      <c r="B11" s="1">
        <f t="shared" si="3"/>
        <v>30</v>
      </c>
      <c r="C11" s="4">
        <f t="shared" si="4"/>
        <v>34318676</v>
      </c>
      <c r="D11" s="2">
        <f t="shared" si="0"/>
        <v>23641747.439999998</v>
      </c>
      <c r="E11" s="19">
        <f t="shared" si="5"/>
        <v>10676928.560000001</v>
      </c>
      <c r="F11" s="2">
        <f t="shared" si="6"/>
        <v>854154284.64999986</v>
      </c>
      <c r="G11" s="2">
        <f t="shared" si="7"/>
        <v>830512537.2099998</v>
      </c>
      <c r="H11" s="14">
        <f t="shared" si="1"/>
        <v>10530669.262808217</v>
      </c>
      <c r="I11" s="16">
        <f t="shared" si="2"/>
        <v>-146259.29719178379</v>
      </c>
    </row>
    <row r="12" spans="1:10" x14ac:dyDescent="0.25">
      <c r="A12" s="31">
        <v>43195</v>
      </c>
      <c r="B12" s="1">
        <f t="shared" si="3"/>
        <v>30</v>
      </c>
      <c r="C12" s="4">
        <f t="shared" si="4"/>
        <v>34318676</v>
      </c>
      <c r="D12" s="2">
        <f t="shared" si="0"/>
        <v>23937269.280000001</v>
      </c>
      <c r="E12" s="19">
        <f t="shared" si="5"/>
        <v>10381406.720000001</v>
      </c>
      <c r="F12" s="2">
        <f t="shared" si="6"/>
        <v>830512537.2099998</v>
      </c>
      <c r="G12" s="2">
        <f t="shared" si="7"/>
        <v>806575267.92999983</v>
      </c>
      <c r="H12" s="14">
        <f t="shared" si="1"/>
        <v>10239195.664232872</v>
      </c>
      <c r="I12" s="16">
        <f t="shared" si="2"/>
        <v>-142211.05576712824</v>
      </c>
    </row>
    <row r="13" spans="1:10" x14ac:dyDescent="0.25">
      <c r="A13" s="31">
        <v>43225</v>
      </c>
      <c r="B13" s="1">
        <f t="shared" si="3"/>
        <v>30</v>
      </c>
      <c r="C13" s="4">
        <f t="shared" si="4"/>
        <v>34318676</v>
      </c>
      <c r="D13" s="2">
        <f t="shared" si="0"/>
        <v>24236485.149999999</v>
      </c>
      <c r="E13" s="19">
        <f t="shared" si="5"/>
        <v>10082190.85</v>
      </c>
      <c r="F13" s="2">
        <f t="shared" si="6"/>
        <v>806575267.92999983</v>
      </c>
      <c r="G13" s="2">
        <f t="shared" si="7"/>
        <v>782338782.77999985</v>
      </c>
      <c r="H13" s="14">
        <f t="shared" si="1"/>
        <v>9944078.6457123272</v>
      </c>
      <c r="I13" s="16">
        <f t="shared" si="2"/>
        <v>-138112.20428767242</v>
      </c>
    </row>
    <row r="14" spans="1:10" x14ac:dyDescent="0.25">
      <c r="A14" s="31">
        <v>43256</v>
      </c>
      <c r="B14" s="1">
        <f t="shared" si="3"/>
        <v>30</v>
      </c>
      <c r="C14" s="4">
        <f t="shared" si="4"/>
        <v>34318676</v>
      </c>
      <c r="D14" s="2">
        <f t="shared" si="0"/>
        <v>24539441.219999999</v>
      </c>
      <c r="E14" s="19">
        <f t="shared" si="5"/>
        <v>9779234.7799999993</v>
      </c>
      <c r="F14" s="2">
        <f t="shared" si="6"/>
        <v>782338782.77999985</v>
      </c>
      <c r="G14" s="2">
        <f t="shared" si="7"/>
        <v>757799341.55999982</v>
      </c>
      <c r="H14" s="14">
        <f t="shared" si="1"/>
        <v>9645272.6644109562</v>
      </c>
      <c r="I14" s="16">
        <f t="shared" si="2"/>
        <v>-133962.11558904313</v>
      </c>
    </row>
    <row r="15" spans="1:10" x14ac:dyDescent="0.25">
      <c r="A15" s="31">
        <v>43286</v>
      </c>
      <c r="B15" s="1">
        <f t="shared" si="3"/>
        <v>30</v>
      </c>
      <c r="C15" s="4">
        <f t="shared" si="4"/>
        <v>34318676</v>
      </c>
      <c r="D15" s="2">
        <f t="shared" si="0"/>
        <v>24846184.23</v>
      </c>
      <c r="E15" s="19">
        <f t="shared" si="5"/>
        <v>9472491.7699999996</v>
      </c>
      <c r="F15" s="2">
        <f t="shared" si="6"/>
        <v>757799341.55999982</v>
      </c>
      <c r="G15" s="2">
        <f t="shared" si="7"/>
        <v>732953157.3299998</v>
      </c>
      <c r="H15" s="14">
        <f t="shared" si="1"/>
        <v>9342731.60827397</v>
      </c>
      <c r="I15" s="16">
        <f t="shared" si="2"/>
        <v>-129760.16172602959</v>
      </c>
    </row>
    <row r="16" spans="1:10" x14ac:dyDescent="0.25">
      <c r="A16" s="31">
        <v>43317</v>
      </c>
      <c r="B16" s="1">
        <f t="shared" si="3"/>
        <v>30</v>
      </c>
      <c r="C16" s="4">
        <f t="shared" si="4"/>
        <v>34318676</v>
      </c>
      <c r="D16" s="2">
        <f t="shared" si="0"/>
        <v>25156761.530000001</v>
      </c>
      <c r="E16" s="19">
        <f t="shared" si="5"/>
        <v>9161914.4700000007</v>
      </c>
      <c r="F16" s="2">
        <f t="shared" si="6"/>
        <v>732953157.3299998</v>
      </c>
      <c r="G16" s="2">
        <f t="shared" si="7"/>
        <v>707796395.79999983</v>
      </c>
      <c r="H16" s="14">
        <f t="shared" si="1"/>
        <v>9036408.7889999971</v>
      </c>
      <c r="I16" s="16">
        <f t="shared" si="2"/>
        <v>-125505.68100000359</v>
      </c>
    </row>
    <row r="17" spans="1:9" x14ac:dyDescent="0.25">
      <c r="A17" s="31">
        <v>43348</v>
      </c>
      <c r="B17" s="1">
        <f t="shared" si="3"/>
        <v>30</v>
      </c>
      <c r="C17" s="4">
        <f t="shared" si="4"/>
        <v>34318676</v>
      </c>
      <c r="D17" s="2">
        <f t="shared" si="0"/>
        <v>25471221.050000001</v>
      </c>
      <c r="E17" s="19">
        <f t="shared" si="5"/>
        <v>8847454.9499999993</v>
      </c>
      <c r="F17" s="2">
        <f t="shared" si="6"/>
        <v>707796395.79999983</v>
      </c>
      <c r="G17" s="2">
        <f t="shared" si="7"/>
        <v>682325174.74999988</v>
      </c>
      <c r="H17" s="14">
        <f t="shared" si="1"/>
        <v>8726256.9345205463</v>
      </c>
      <c r="I17" s="16">
        <f t="shared" si="2"/>
        <v>-121198.01547945291</v>
      </c>
    </row>
    <row r="18" spans="1:9" x14ac:dyDescent="0.25">
      <c r="A18" s="31">
        <v>43378</v>
      </c>
      <c r="B18" s="1">
        <f t="shared" si="3"/>
        <v>30</v>
      </c>
      <c r="C18" s="4">
        <f t="shared" si="4"/>
        <v>34318676</v>
      </c>
      <c r="D18" s="2">
        <f t="shared" si="0"/>
        <v>25789611.32</v>
      </c>
      <c r="E18" s="19">
        <f t="shared" si="5"/>
        <v>8529064.6799999997</v>
      </c>
      <c r="F18" s="2">
        <f t="shared" si="6"/>
        <v>682325174.74999988</v>
      </c>
      <c r="G18" s="2">
        <f t="shared" si="7"/>
        <v>656535563.42999983</v>
      </c>
      <c r="H18" s="14">
        <f t="shared" si="1"/>
        <v>8412228.181849312</v>
      </c>
      <c r="I18" s="16">
        <f t="shared" si="2"/>
        <v>-116836.49815068766</v>
      </c>
    </row>
    <row r="19" spans="1:9" x14ac:dyDescent="0.25">
      <c r="A19" s="31">
        <v>43409</v>
      </c>
      <c r="B19" s="1">
        <f t="shared" si="3"/>
        <v>30</v>
      </c>
      <c r="C19" s="4">
        <f t="shared" si="4"/>
        <v>34318676</v>
      </c>
      <c r="D19" s="2">
        <f t="shared" si="0"/>
        <v>26111981.460000001</v>
      </c>
      <c r="E19" s="19">
        <f t="shared" si="5"/>
        <v>8206694.54</v>
      </c>
      <c r="F19" s="2">
        <f t="shared" si="6"/>
        <v>656535563.42999983</v>
      </c>
      <c r="G19" s="2">
        <f t="shared" si="7"/>
        <v>630423581.96999979</v>
      </c>
      <c r="H19" s="14">
        <f t="shared" si="1"/>
        <v>8094274.0696849301</v>
      </c>
      <c r="I19" s="16">
        <f t="shared" si="2"/>
        <v>-112420.47031506989</v>
      </c>
    </row>
    <row r="20" spans="1:9" x14ac:dyDescent="0.25">
      <c r="A20" s="31">
        <v>43439</v>
      </c>
      <c r="B20" s="1">
        <f t="shared" si="3"/>
        <v>30</v>
      </c>
      <c r="C20" s="4">
        <f t="shared" si="4"/>
        <v>34318676</v>
      </c>
      <c r="D20" s="2">
        <f t="shared" si="0"/>
        <v>26438381.23</v>
      </c>
      <c r="E20" s="19">
        <f t="shared" si="5"/>
        <v>7880294.7699999996</v>
      </c>
      <c r="F20" s="2">
        <f t="shared" si="6"/>
        <v>630423581.96999979</v>
      </c>
      <c r="G20" s="2">
        <f t="shared" si="7"/>
        <v>603985200.73999977</v>
      </c>
      <c r="H20" s="14">
        <f t="shared" si="1"/>
        <v>7772345.5311369831</v>
      </c>
      <c r="I20" s="16">
        <f t="shared" si="2"/>
        <v>-107949.23886301648</v>
      </c>
    </row>
    <row r="21" spans="1:9" x14ac:dyDescent="0.25">
      <c r="A21" s="31">
        <v>43470</v>
      </c>
      <c r="B21" s="1">
        <f t="shared" si="3"/>
        <v>30</v>
      </c>
      <c r="C21" s="4">
        <f t="shared" si="4"/>
        <v>34318676</v>
      </c>
      <c r="D21" s="2">
        <f t="shared" si="0"/>
        <v>26768860.990000002</v>
      </c>
      <c r="E21" s="19">
        <f t="shared" si="5"/>
        <v>7549815.0099999998</v>
      </c>
      <c r="F21" s="2">
        <f t="shared" si="6"/>
        <v>603985200.73999977</v>
      </c>
      <c r="G21" s="2">
        <f t="shared" si="7"/>
        <v>577216339.74999976</v>
      </c>
      <c r="H21" s="14">
        <f t="shared" si="1"/>
        <v>7446392.8858356122</v>
      </c>
      <c r="I21" s="16">
        <f t="shared" si="2"/>
        <v>-103422.12416438758</v>
      </c>
    </row>
    <row r="22" spans="1:9" x14ac:dyDescent="0.25">
      <c r="A22" s="31">
        <v>43501</v>
      </c>
      <c r="B22" s="1">
        <f t="shared" si="3"/>
        <v>30</v>
      </c>
      <c r="C22" s="4">
        <f t="shared" si="4"/>
        <v>34318676</v>
      </c>
      <c r="D22" s="2">
        <f t="shared" si="0"/>
        <v>27103471.75</v>
      </c>
      <c r="E22" s="19">
        <f t="shared" si="5"/>
        <v>7215204.25</v>
      </c>
      <c r="F22" s="2">
        <f t="shared" si="6"/>
        <v>577216339.74999976</v>
      </c>
      <c r="G22" s="2">
        <f t="shared" si="7"/>
        <v>550112867.99999976</v>
      </c>
      <c r="H22" s="14">
        <f t="shared" si="1"/>
        <v>7116365.8325342443</v>
      </c>
      <c r="I22" s="16">
        <f t="shared" si="2"/>
        <v>-98838.417465755716</v>
      </c>
    </row>
    <row r="23" spans="1:9" x14ac:dyDescent="0.25">
      <c r="A23" s="31">
        <v>43529</v>
      </c>
      <c r="B23" s="1">
        <f t="shared" si="3"/>
        <v>30</v>
      </c>
      <c r="C23" s="4">
        <f t="shared" si="4"/>
        <v>34318676</v>
      </c>
      <c r="D23" s="2">
        <f t="shared" si="0"/>
        <v>27442265.149999999</v>
      </c>
      <c r="E23" s="19">
        <f t="shared" si="5"/>
        <v>6876410.8499999996</v>
      </c>
      <c r="F23" s="2">
        <f t="shared" si="6"/>
        <v>550112867.99999976</v>
      </c>
      <c r="G23" s="2">
        <f t="shared" si="7"/>
        <v>522670602.84999979</v>
      </c>
      <c r="H23" s="14">
        <f t="shared" si="1"/>
        <v>6782213.4410958868</v>
      </c>
      <c r="I23" s="16">
        <f t="shared" si="2"/>
        <v>-94197.408904112875</v>
      </c>
    </row>
    <row r="24" spans="1:9" x14ac:dyDescent="0.25">
      <c r="A24" s="31">
        <v>43560</v>
      </c>
      <c r="B24" s="1">
        <f t="shared" si="3"/>
        <v>30</v>
      </c>
      <c r="C24" s="4">
        <f t="shared" si="4"/>
        <v>34318676</v>
      </c>
      <c r="D24" s="2">
        <f t="shared" si="0"/>
        <v>27785293.460000001</v>
      </c>
      <c r="E24" s="19">
        <f t="shared" si="5"/>
        <v>6533382.54</v>
      </c>
      <c r="F24" s="2">
        <f t="shared" si="6"/>
        <v>522670602.84999979</v>
      </c>
      <c r="G24" s="2">
        <f t="shared" si="7"/>
        <v>494885309.38999981</v>
      </c>
      <c r="H24" s="14">
        <f t="shared" si="1"/>
        <v>6443884.144726024</v>
      </c>
      <c r="I24" s="16">
        <f t="shared" si="2"/>
        <v>-89498.395273976028</v>
      </c>
    </row>
    <row r="25" spans="1:9" x14ac:dyDescent="0.25">
      <c r="A25" s="31">
        <v>43590</v>
      </c>
      <c r="B25" s="1">
        <f t="shared" si="3"/>
        <v>30</v>
      </c>
      <c r="C25" s="4">
        <f t="shared" si="4"/>
        <v>34318676</v>
      </c>
      <c r="D25" s="2">
        <f t="shared" si="0"/>
        <v>28132609.629999999</v>
      </c>
      <c r="E25" s="19">
        <f t="shared" si="5"/>
        <v>6186066.3700000001</v>
      </c>
      <c r="F25" s="2">
        <f t="shared" si="6"/>
        <v>494885309.38999981</v>
      </c>
      <c r="G25" s="2">
        <f t="shared" si="7"/>
        <v>466752699.75999981</v>
      </c>
      <c r="H25" s="14">
        <f t="shared" si="1"/>
        <v>6101325.7322054775</v>
      </c>
      <c r="I25" s="16">
        <f t="shared" si="2"/>
        <v>-84740.637794522569</v>
      </c>
    </row>
    <row r="26" spans="1:9" x14ac:dyDescent="0.25">
      <c r="A26" s="31">
        <v>43621</v>
      </c>
      <c r="B26" s="1">
        <f t="shared" si="3"/>
        <v>30</v>
      </c>
      <c r="C26" s="4">
        <f t="shared" si="4"/>
        <v>34318676</v>
      </c>
      <c r="D26" s="2">
        <f t="shared" si="0"/>
        <v>28484267.25</v>
      </c>
      <c r="E26" s="19">
        <f t="shared" si="5"/>
        <v>5834408.75</v>
      </c>
      <c r="F26" s="2">
        <f t="shared" si="6"/>
        <v>466752699.75999981</v>
      </c>
      <c r="G26" s="2">
        <f t="shared" si="7"/>
        <v>438268432.50999981</v>
      </c>
      <c r="H26" s="14">
        <f t="shared" si="1"/>
        <v>5754485.3395068469</v>
      </c>
      <c r="I26" s="16">
        <f t="shared" si="2"/>
        <v>-79923.410493153147</v>
      </c>
    </row>
    <row r="27" spans="1:9" x14ac:dyDescent="0.25">
      <c r="A27" s="31">
        <v>43651</v>
      </c>
      <c r="B27" s="1">
        <f t="shared" si="3"/>
        <v>30</v>
      </c>
      <c r="C27" s="4">
        <f t="shared" si="4"/>
        <v>34318676</v>
      </c>
      <c r="D27" s="2">
        <f t="shared" si="0"/>
        <v>28840320.59</v>
      </c>
      <c r="E27" s="19">
        <f t="shared" si="5"/>
        <v>5478355.4100000001</v>
      </c>
      <c r="F27" s="2">
        <f t="shared" si="6"/>
        <v>438268432.50999981</v>
      </c>
      <c r="G27" s="2">
        <f t="shared" si="7"/>
        <v>409428111.91999984</v>
      </c>
      <c r="H27" s="14">
        <f t="shared" si="1"/>
        <v>5403309.4419041062</v>
      </c>
      <c r="I27" s="16">
        <f t="shared" si="2"/>
        <v>-75045.968095893972</v>
      </c>
    </row>
    <row r="28" spans="1:9" x14ac:dyDescent="0.25">
      <c r="A28" s="31">
        <v>43682</v>
      </c>
      <c r="B28" s="1">
        <f t="shared" si="3"/>
        <v>30</v>
      </c>
      <c r="C28" s="4">
        <f t="shared" si="4"/>
        <v>34318676</v>
      </c>
      <c r="D28" s="2">
        <f t="shared" si="0"/>
        <v>29200824.600000001</v>
      </c>
      <c r="E28" s="19">
        <f t="shared" si="5"/>
        <v>5117851.4000000004</v>
      </c>
      <c r="F28" s="2">
        <f t="shared" si="6"/>
        <v>409428111.91999984</v>
      </c>
      <c r="G28" s="2">
        <f t="shared" si="7"/>
        <v>380227287.31999981</v>
      </c>
      <c r="H28" s="14">
        <f t="shared" si="1"/>
        <v>5047743.8455890389</v>
      </c>
      <c r="I28" s="16">
        <f t="shared" si="2"/>
        <v>-70107.554410961457</v>
      </c>
    </row>
    <row r="29" spans="1:9" x14ac:dyDescent="0.25">
      <c r="A29" s="31">
        <v>43713</v>
      </c>
      <c r="B29" s="1">
        <f t="shared" si="3"/>
        <v>30</v>
      </c>
      <c r="C29" s="4">
        <f t="shared" si="4"/>
        <v>34318676</v>
      </c>
      <c r="D29" s="2">
        <f t="shared" si="0"/>
        <v>29565834.91</v>
      </c>
      <c r="E29" s="19">
        <f t="shared" si="5"/>
        <v>4752841.09</v>
      </c>
      <c r="F29" s="2">
        <f t="shared" si="6"/>
        <v>380227287.31999981</v>
      </c>
      <c r="G29" s="2">
        <f t="shared" si="7"/>
        <v>350661452.40999979</v>
      </c>
      <c r="H29" s="14">
        <f t="shared" si="1"/>
        <v>4687733.6792876683</v>
      </c>
      <c r="I29" s="16">
        <f t="shared" si="2"/>
        <v>-65107.410712331533</v>
      </c>
    </row>
    <row r="30" spans="1:9" x14ac:dyDescent="0.25">
      <c r="A30" s="31">
        <v>43743</v>
      </c>
      <c r="B30" s="1">
        <f t="shared" si="3"/>
        <v>30</v>
      </c>
      <c r="C30" s="4">
        <f t="shared" si="4"/>
        <v>34318676</v>
      </c>
      <c r="D30" s="2">
        <f t="shared" si="0"/>
        <v>29935407.84</v>
      </c>
      <c r="E30" s="19">
        <f t="shared" si="5"/>
        <v>4383268.16</v>
      </c>
      <c r="F30" s="2">
        <f t="shared" si="6"/>
        <v>350661452.40999979</v>
      </c>
      <c r="G30" s="2">
        <f t="shared" si="7"/>
        <v>320726044.56999981</v>
      </c>
      <c r="H30" s="14">
        <f t="shared" si="1"/>
        <v>4323223.3858767096</v>
      </c>
      <c r="I30" s="16">
        <f t="shared" si="2"/>
        <v>-60044.774123290554</v>
      </c>
    </row>
    <row r="31" spans="1:9" x14ac:dyDescent="0.25">
      <c r="A31" s="31">
        <v>43774</v>
      </c>
      <c r="B31" s="1">
        <f t="shared" si="3"/>
        <v>30</v>
      </c>
      <c r="C31" s="4">
        <f t="shared" si="4"/>
        <v>34318676</v>
      </c>
      <c r="D31" s="2">
        <f t="shared" si="0"/>
        <v>30309600.440000001</v>
      </c>
      <c r="E31" s="19">
        <f t="shared" si="5"/>
        <v>4009075.56</v>
      </c>
      <c r="F31" s="2">
        <f t="shared" si="6"/>
        <v>320726044.56999981</v>
      </c>
      <c r="G31" s="2">
        <f t="shared" si="7"/>
        <v>290416444.12999982</v>
      </c>
      <c r="H31" s="14">
        <f t="shared" si="1"/>
        <v>3954156.7138767098</v>
      </c>
      <c r="I31" s="16">
        <f t="shared" si="2"/>
        <v>-54918.846123290248</v>
      </c>
    </row>
    <row r="32" spans="1:9" x14ac:dyDescent="0.25">
      <c r="A32" s="31">
        <v>43804</v>
      </c>
      <c r="B32" s="1">
        <f t="shared" si="3"/>
        <v>30</v>
      </c>
      <c r="C32" s="4">
        <f t="shared" si="4"/>
        <v>34318676</v>
      </c>
      <c r="D32" s="2">
        <f t="shared" si="0"/>
        <v>30688470.449999999</v>
      </c>
      <c r="E32" s="19">
        <f t="shared" si="5"/>
        <v>3630205.55</v>
      </c>
      <c r="F32" s="2">
        <f t="shared" si="6"/>
        <v>290416444.12999982</v>
      </c>
      <c r="G32" s="2">
        <f t="shared" si="7"/>
        <v>259727973.67999983</v>
      </c>
      <c r="H32" s="14">
        <f t="shared" si="1"/>
        <v>3580476.7084520529</v>
      </c>
      <c r="I32" s="16">
        <f t="shared" si="2"/>
        <v>-49728.841547946911</v>
      </c>
    </row>
    <row r="33" spans="1:9" x14ac:dyDescent="0.25">
      <c r="A33" s="31">
        <v>43835</v>
      </c>
      <c r="B33" s="1">
        <f t="shared" si="3"/>
        <v>30</v>
      </c>
      <c r="C33" s="4">
        <f t="shared" si="4"/>
        <v>34318676</v>
      </c>
      <c r="D33" s="2">
        <f t="shared" si="0"/>
        <v>31072076.329999998</v>
      </c>
      <c r="E33" s="19">
        <f t="shared" si="5"/>
        <v>3246599.67</v>
      </c>
      <c r="F33" s="2">
        <f t="shared" si="6"/>
        <v>259727973.67999983</v>
      </c>
      <c r="G33" s="2">
        <f t="shared" si="7"/>
        <v>228655897.34999985</v>
      </c>
      <c r="H33" s="14">
        <f t="shared" si="1"/>
        <v>3202125.7029041075</v>
      </c>
      <c r="I33" s="16">
        <f t="shared" si="2"/>
        <v>-44473.967095892411</v>
      </c>
    </row>
    <row r="34" spans="1:9" x14ac:dyDescent="0.25">
      <c r="A34" s="31">
        <v>43866</v>
      </c>
      <c r="B34" s="1">
        <f t="shared" si="3"/>
        <v>30</v>
      </c>
      <c r="C34" s="4">
        <f t="shared" si="4"/>
        <v>34318676</v>
      </c>
      <c r="D34" s="2">
        <f t="shared" si="0"/>
        <v>31460477.280000001</v>
      </c>
      <c r="E34" s="19">
        <f t="shared" si="5"/>
        <v>2858198.72</v>
      </c>
      <c r="F34" s="2">
        <f t="shared" si="6"/>
        <v>228655897.34999985</v>
      </c>
      <c r="G34" s="2">
        <f t="shared" si="7"/>
        <v>197195420.06999984</v>
      </c>
      <c r="H34" s="14"/>
      <c r="I34" s="16"/>
    </row>
    <row r="35" spans="1:9" x14ac:dyDescent="0.25">
      <c r="A35" s="31">
        <v>43895</v>
      </c>
      <c r="B35" s="1">
        <f t="shared" si="3"/>
        <v>30</v>
      </c>
      <c r="C35" s="4">
        <f t="shared" si="4"/>
        <v>34318676</v>
      </c>
      <c r="D35" s="2">
        <f t="shared" si="0"/>
        <v>31853733.25</v>
      </c>
      <c r="E35" s="19">
        <f t="shared" si="5"/>
        <v>2464942.75</v>
      </c>
      <c r="F35" s="2">
        <f t="shared" si="6"/>
        <v>197195420.06999984</v>
      </c>
      <c r="G35" s="2">
        <f t="shared" si="7"/>
        <v>165341686.81999984</v>
      </c>
      <c r="H35" s="14"/>
      <c r="I35" s="16"/>
    </row>
    <row r="36" spans="1:9" x14ac:dyDescent="0.25">
      <c r="A36" s="31">
        <v>43926</v>
      </c>
      <c r="B36" s="1">
        <f t="shared" si="3"/>
        <v>30</v>
      </c>
      <c r="C36" s="4">
        <f t="shared" si="4"/>
        <v>34318676</v>
      </c>
      <c r="D36" s="2">
        <f t="shared" si="0"/>
        <v>32251904.91</v>
      </c>
      <c r="E36" s="19">
        <f t="shared" si="5"/>
        <v>2066771.09</v>
      </c>
      <c r="F36" s="2">
        <f t="shared" si="6"/>
        <v>165341686.81999984</v>
      </c>
      <c r="G36" s="2">
        <f t="shared" si="7"/>
        <v>133089781.90999985</v>
      </c>
      <c r="H36" s="14"/>
      <c r="I36" s="16"/>
    </row>
    <row r="37" spans="1:9" x14ac:dyDescent="0.25">
      <c r="A37" s="31">
        <v>43956</v>
      </c>
      <c r="B37" s="1">
        <f t="shared" si="3"/>
        <v>30</v>
      </c>
      <c r="C37" s="4">
        <f t="shared" si="4"/>
        <v>34318676</v>
      </c>
      <c r="D37" s="2">
        <f t="shared" si="0"/>
        <v>32655053.73</v>
      </c>
      <c r="E37" s="19">
        <f t="shared" si="5"/>
        <v>1663622.27</v>
      </c>
      <c r="F37" s="2">
        <f t="shared" si="6"/>
        <v>133089781.90999985</v>
      </c>
      <c r="G37" s="2">
        <f t="shared" si="7"/>
        <v>100434728.17999984</v>
      </c>
      <c r="H37" s="14"/>
      <c r="I37" s="16"/>
    </row>
    <row r="38" spans="1:9" x14ac:dyDescent="0.25">
      <c r="A38" s="31">
        <v>43987</v>
      </c>
      <c r="B38" s="1">
        <f t="shared" si="3"/>
        <v>30</v>
      </c>
      <c r="C38" s="4">
        <f t="shared" si="4"/>
        <v>34318676</v>
      </c>
      <c r="D38" s="2">
        <f t="shared" si="0"/>
        <v>33063241.899999999</v>
      </c>
      <c r="E38" s="19">
        <f t="shared" si="5"/>
        <v>1255434.1000000001</v>
      </c>
      <c r="F38" s="2">
        <f t="shared" si="6"/>
        <v>100434728.17999984</v>
      </c>
      <c r="G38" s="2">
        <f t="shared" si="7"/>
        <v>67371486.279999852</v>
      </c>
      <c r="H38" s="14"/>
      <c r="I38" s="16"/>
    </row>
    <row r="39" spans="1:9" x14ac:dyDescent="0.25">
      <c r="A39" s="31">
        <v>44017</v>
      </c>
      <c r="B39" s="1">
        <f t="shared" si="3"/>
        <v>30</v>
      </c>
      <c r="C39" s="4">
        <f t="shared" si="4"/>
        <v>34318676</v>
      </c>
      <c r="D39" s="2">
        <f t="shared" si="0"/>
        <v>33476532.420000002</v>
      </c>
      <c r="E39" s="19">
        <f t="shared" si="5"/>
        <v>842143.58</v>
      </c>
      <c r="F39" s="2">
        <f t="shared" si="6"/>
        <v>67371486.279999852</v>
      </c>
      <c r="G39" s="2">
        <f t="shared" si="7"/>
        <v>33894953.85999985</v>
      </c>
      <c r="H39" s="14"/>
      <c r="I39" s="16"/>
    </row>
    <row r="40" spans="1:9" x14ac:dyDescent="0.25">
      <c r="A40" s="31">
        <v>44048</v>
      </c>
      <c r="B40" s="1">
        <f t="shared" si="3"/>
        <v>30</v>
      </c>
      <c r="C40" s="4">
        <f t="shared" si="4"/>
        <v>34318676</v>
      </c>
      <c r="D40" s="2">
        <f>C40-E40</f>
        <v>33894953.85999985</v>
      </c>
      <c r="E40" s="19">
        <v>423722.1400001478</v>
      </c>
      <c r="F40" s="2">
        <f t="shared" si="6"/>
        <v>33894953.85999985</v>
      </c>
      <c r="G40" s="2">
        <f t="shared" si="7"/>
        <v>0</v>
      </c>
      <c r="H40" s="14"/>
      <c r="I40" s="16"/>
    </row>
    <row r="41" spans="1:9" x14ac:dyDescent="0.25">
      <c r="A41" s="31">
        <v>43866</v>
      </c>
      <c r="B41" s="1">
        <f>DAYS360(A33,A34)</f>
        <v>30</v>
      </c>
      <c r="C41" s="4">
        <f t="shared" si="4"/>
        <v>34318676</v>
      </c>
      <c r="D41" s="2">
        <f t="shared" si="0"/>
        <v>31460477.280000001</v>
      </c>
      <c r="E41" s="19">
        <f>ROUND(F41*$B$2*B41/360,2)</f>
        <v>2858198.72</v>
      </c>
      <c r="F41" s="2">
        <f>G33</f>
        <v>228655897.34999985</v>
      </c>
      <c r="G41" s="2">
        <f t="shared" si="7"/>
        <v>197195420.06999984</v>
      </c>
      <c r="H41" s="14"/>
      <c r="I41" s="16"/>
    </row>
    <row r="42" spans="1:9" x14ac:dyDescent="0.25">
      <c r="A42" s="31">
        <v>43895</v>
      </c>
      <c r="B42" s="1">
        <f>DAYS360(A41,A42)</f>
        <v>30</v>
      </c>
      <c r="C42" s="4">
        <f t="shared" ref="C42:C47" si="8">$F$1</f>
        <v>33348493</v>
      </c>
      <c r="D42" s="2">
        <f t="shared" si="0"/>
        <v>30927883.579999998</v>
      </c>
      <c r="E42" s="19">
        <f>ROUND(((G41*$B$2*D2/360)+(F42*$B$2*F2/360)),2)</f>
        <v>2420609.42</v>
      </c>
      <c r="F42" s="2">
        <f>G41-J1</f>
        <v>191595420.06999984</v>
      </c>
      <c r="G42" s="2">
        <f t="shared" si="7"/>
        <v>160667536.48999983</v>
      </c>
      <c r="H42" s="14"/>
      <c r="I42" s="16"/>
    </row>
    <row r="43" spans="1:9" x14ac:dyDescent="0.25">
      <c r="A43" s="31">
        <v>43926</v>
      </c>
      <c r="B43" s="1">
        <f t="shared" ref="B43:B47" si="9">DAYS360(A42,A43)</f>
        <v>30</v>
      </c>
      <c r="C43" s="4">
        <f t="shared" si="8"/>
        <v>33348493</v>
      </c>
      <c r="D43" s="2">
        <f t="shared" si="0"/>
        <v>31340148.789999999</v>
      </c>
      <c r="E43" s="19">
        <f>ROUND(F43*$B$2*B43/360,2)</f>
        <v>2008344.21</v>
      </c>
      <c r="F43" s="2">
        <f t="shared" ref="F43:F47" si="10">G42</f>
        <v>160667536.48999983</v>
      </c>
      <c r="G43" s="2">
        <f t="shared" si="7"/>
        <v>129327387.69999984</v>
      </c>
      <c r="H43" s="14"/>
      <c r="I43" s="16"/>
    </row>
    <row r="44" spans="1:9" x14ac:dyDescent="0.25">
      <c r="A44" s="31">
        <v>43956</v>
      </c>
      <c r="B44" s="1">
        <f t="shared" si="9"/>
        <v>30</v>
      </c>
      <c r="C44" s="4">
        <f t="shared" si="8"/>
        <v>33348493</v>
      </c>
      <c r="D44" s="2">
        <f t="shared" si="0"/>
        <v>31731900.649999999</v>
      </c>
      <c r="E44" s="19">
        <f t="shared" ref="E44:E46" si="11">ROUND(F44*$B$2*B44/360,2)</f>
        <v>1616592.35</v>
      </c>
      <c r="F44" s="2">
        <f t="shared" si="10"/>
        <v>129327387.69999984</v>
      </c>
      <c r="G44" s="2">
        <f t="shared" si="7"/>
        <v>97595487.049999833</v>
      </c>
      <c r="H44" s="14"/>
      <c r="I44" s="16"/>
    </row>
    <row r="45" spans="1:9" x14ac:dyDescent="0.25">
      <c r="A45" s="31">
        <v>43987</v>
      </c>
      <c r="B45" s="1">
        <f t="shared" si="9"/>
        <v>30</v>
      </c>
      <c r="C45" s="4">
        <f t="shared" si="8"/>
        <v>33348493</v>
      </c>
      <c r="D45" s="2">
        <f t="shared" si="0"/>
        <v>32128549.41</v>
      </c>
      <c r="E45" s="19">
        <f t="shared" si="11"/>
        <v>1219943.5900000001</v>
      </c>
      <c r="F45" s="2">
        <f t="shared" si="10"/>
        <v>97595487.049999833</v>
      </c>
      <c r="G45" s="2">
        <f t="shared" si="7"/>
        <v>65466937.639999837</v>
      </c>
      <c r="H45" s="14"/>
      <c r="I45" s="16"/>
    </row>
    <row r="46" spans="1:9" x14ac:dyDescent="0.25">
      <c r="A46" s="31">
        <v>44017</v>
      </c>
      <c r="B46" s="1">
        <f t="shared" si="9"/>
        <v>30</v>
      </c>
      <c r="C46" s="4">
        <f t="shared" si="8"/>
        <v>33348493</v>
      </c>
      <c r="D46" s="2">
        <f t="shared" si="0"/>
        <v>32530156.280000001</v>
      </c>
      <c r="E46" s="19">
        <f t="shared" si="11"/>
        <v>818336.72</v>
      </c>
      <c r="F46" s="2">
        <f t="shared" si="10"/>
        <v>65466937.639999837</v>
      </c>
      <c r="G46" s="2">
        <f t="shared" si="7"/>
        <v>32936781.359999835</v>
      </c>
      <c r="H46" s="14"/>
      <c r="I46" s="16"/>
    </row>
    <row r="47" spans="1:9" x14ac:dyDescent="0.25">
      <c r="A47" s="31">
        <v>44048</v>
      </c>
      <c r="B47" s="1">
        <f t="shared" si="9"/>
        <v>30</v>
      </c>
      <c r="C47" s="4">
        <f t="shared" si="8"/>
        <v>33348493</v>
      </c>
      <c r="D47" s="2">
        <f t="shared" si="0"/>
        <v>32936781.359999835</v>
      </c>
      <c r="E47" s="19">
        <v>411711.64000016497</v>
      </c>
      <c r="F47" s="2">
        <f t="shared" si="10"/>
        <v>32936781.359999835</v>
      </c>
      <c r="G47" s="2">
        <f t="shared" si="7"/>
        <v>0</v>
      </c>
      <c r="H47" s="14"/>
      <c r="I47" s="16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3616A5-2059-4310-9037-958734B771A8}">
  <dimension ref="A1:R5"/>
  <sheetViews>
    <sheetView workbookViewId="0">
      <selection activeCell="R4" sqref="R4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34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63</v>
      </c>
      <c r="G2" s="9" t="s">
        <v>24</v>
      </c>
      <c r="H2" s="9" t="s">
        <v>13</v>
      </c>
      <c r="I2" s="9" t="s">
        <v>0</v>
      </c>
      <c r="J2" s="9" t="s">
        <v>42</v>
      </c>
      <c r="K2" s="9" t="s">
        <v>31</v>
      </c>
      <c r="L2" s="9" t="s">
        <v>26</v>
      </c>
      <c r="M2" s="9" t="s">
        <v>27</v>
      </c>
      <c r="N2" s="20" t="s">
        <v>29</v>
      </c>
      <c r="O2" s="20" t="s">
        <v>64</v>
      </c>
      <c r="P2" s="20" t="s">
        <v>45</v>
      </c>
      <c r="Q2" s="20" t="s">
        <v>66</v>
      </c>
      <c r="R2" s="35" t="s">
        <v>65</v>
      </c>
    </row>
    <row r="3" spans="1:18" x14ac:dyDescent="0.25">
      <c r="A3" s="12" t="s">
        <v>0</v>
      </c>
      <c r="B3" s="7" t="s">
        <v>9</v>
      </c>
      <c r="C3" s="7" t="s">
        <v>39</v>
      </c>
      <c r="D3" s="8" t="s">
        <v>40</v>
      </c>
      <c r="E3" s="8" t="s">
        <v>23</v>
      </c>
      <c r="F3" s="8" t="s">
        <v>63</v>
      </c>
      <c r="G3" s="9" t="s">
        <v>24</v>
      </c>
      <c r="H3" s="9" t="s">
        <v>13</v>
      </c>
      <c r="I3" s="9" t="s">
        <v>0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67</v>
      </c>
      <c r="P3" s="20" t="s">
        <v>45</v>
      </c>
      <c r="Q3" s="20" t="s">
        <v>46</v>
      </c>
      <c r="R3" s="35" t="s">
        <v>68</v>
      </c>
    </row>
    <row r="4" spans="1:18" x14ac:dyDescent="0.25">
      <c r="A4" s="38" t="s">
        <v>0</v>
      </c>
      <c r="B4" s="39" t="s">
        <v>9</v>
      </c>
      <c r="C4" s="39" t="s">
        <v>70</v>
      </c>
      <c r="D4" s="40" t="s">
        <v>71</v>
      </c>
      <c r="E4" s="40" t="s">
        <v>23</v>
      </c>
      <c r="F4" s="40" t="s">
        <v>41</v>
      </c>
      <c r="G4" s="40" t="s">
        <v>24</v>
      </c>
      <c r="H4" s="40" t="s">
        <v>72</v>
      </c>
      <c r="I4" s="40" t="s">
        <v>0</v>
      </c>
      <c r="J4" s="40" t="s">
        <v>9</v>
      </c>
      <c r="K4" s="40" t="s">
        <v>25</v>
      </c>
      <c r="L4" s="40" t="s">
        <v>26</v>
      </c>
      <c r="M4" s="40" t="s">
        <v>27</v>
      </c>
      <c r="N4" s="39" t="s">
        <v>29</v>
      </c>
      <c r="O4" s="39" t="s">
        <v>44</v>
      </c>
      <c r="P4" s="39" t="s">
        <v>45</v>
      </c>
      <c r="Q4" s="39" t="s">
        <v>46</v>
      </c>
      <c r="R4" s="41" t="s">
        <v>69</v>
      </c>
    </row>
    <row r="5" spans="1:18" x14ac:dyDescent="0.25">
      <c r="A5" s="42" t="s">
        <v>0</v>
      </c>
      <c r="B5" s="44" t="s">
        <v>9</v>
      </c>
      <c r="C5" s="44" t="s">
        <v>73</v>
      </c>
      <c r="D5" s="9" t="s">
        <v>71</v>
      </c>
      <c r="E5" s="9" t="s">
        <v>23</v>
      </c>
      <c r="F5" s="9" t="s">
        <v>41</v>
      </c>
      <c r="G5" s="9" t="s">
        <v>24</v>
      </c>
      <c r="H5" s="44" t="s">
        <v>42</v>
      </c>
      <c r="I5" s="45" t="s">
        <v>0</v>
      </c>
      <c r="J5" s="9" t="s">
        <v>9</v>
      </c>
      <c r="K5" s="9" t="s">
        <v>25</v>
      </c>
      <c r="L5" s="9" t="s">
        <v>26</v>
      </c>
      <c r="M5" s="9" t="s">
        <v>27</v>
      </c>
      <c r="N5" s="20" t="s">
        <v>29</v>
      </c>
      <c r="O5" s="20" t="s">
        <v>74</v>
      </c>
      <c r="P5" s="20" t="s">
        <v>45</v>
      </c>
      <c r="Q5" s="20" t="s">
        <v>75</v>
      </c>
      <c r="R5" s="43" t="s">
        <v>108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01F275-16BC-4ED4-BF09-1184053A7C7B}">
  <dimension ref="A1:J47"/>
  <sheetViews>
    <sheetView zoomScale="96" zoomScaleNormal="100" workbookViewId="0">
      <pane ySplit="3" topLeftCell="A4" activePane="bottomLeft" state="frozen"/>
      <selection activeCell="A41" sqref="A41"/>
      <selection pane="bottomLeft" activeCell="E42" sqref="E42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3.140625" bestFit="1" customWidth="1"/>
  </cols>
  <sheetData>
    <row r="1" spans="1:10" x14ac:dyDescent="0.25">
      <c r="A1" s="17" t="s">
        <v>33</v>
      </c>
      <c r="B1" s="22">
        <v>42951</v>
      </c>
      <c r="C1" s="15" t="s">
        <v>37</v>
      </c>
      <c r="D1" s="23">
        <f>ROUNDUP(34318675.2191522,0)</f>
        <v>34318676</v>
      </c>
      <c r="E1" s="25" t="s">
        <v>51</v>
      </c>
      <c r="F1" s="24">
        <f>ROUNDUP(16994070.0252193,0)</f>
        <v>16994071</v>
      </c>
      <c r="G1" s="28" t="s">
        <v>52</v>
      </c>
      <c r="H1" s="26">
        <v>43877</v>
      </c>
      <c r="I1" s="28" t="s">
        <v>53</v>
      </c>
      <c r="J1" s="34">
        <v>100000000</v>
      </c>
    </row>
    <row r="2" spans="1:10" x14ac:dyDescent="0.25">
      <c r="A2" s="17" t="s">
        <v>34</v>
      </c>
      <c r="B2" s="18">
        <v>0.15</v>
      </c>
      <c r="C2" s="30" t="s">
        <v>60</v>
      </c>
      <c r="D2" s="32">
        <f>DAYS360(A41,H1)</f>
        <v>11</v>
      </c>
      <c r="E2" t="s">
        <v>59</v>
      </c>
      <c r="F2">
        <f>DAYS360(H1,A42)</f>
        <v>19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31">
        <v>42952</v>
      </c>
      <c r="B4" s="1">
        <f>DAYS360(B1,A4)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-5650.6849315068685</v>
      </c>
    </row>
    <row r="5" spans="1:10" x14ac:dyDescent="0.25">
      <c r="A5" s="31">
        <v>42983</v>
      </c>
      <c r="B5" s="1">
        <f>DAYS360(A4,A5)</f>
        <v>30</v>
      </c>
      <c r="C5" s="4">
        <f>$D$1</f>
        <v>34318676</v>
      </c>
      <c r="D5" s="2">
        <f t="shared" ref="D5:D39" si="0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>
        <f t="shared" ref="H5:H33" si="1">F5*$B$2*B5/365</f>
        <v>12205479.452054795</v>
      </c>
      <c r="I5" s="16">
        <f t="shared" ref="I5:I33" si="2">H5-E5</f>
        <v>-169520.54794520512</v>
      </c>
    </row>
    <row r="6" spans="1:10" x14ac:dyDescent="0.25">
      <c r="A6" s="31">
        <v>43013</v>
      </c>
      <c r="B6" s="1">
        <f t="shared" ref="B6:B40" si="3">DAYS360(A5,A6)</f>
        <v>30</v>
      </c>
      <c r="C6" s="4">
        <f t="shared" ref="C6:C41" si="4">$D$1</f>
        <v>34318676</v>
      </c>
      <c r="D6" s="2">
        <f t="shared" si="0"/>
        <v>22217971.949999999</v>
      </c>
      <c r="E6" s="19">
        <f t="shared" ref="E6:E39" si="5">ROUND(F6*$B$2*B6/360,2)</f>
        <v>12100704.050000001</v>
      </c>
      <c r="F6" s="2">
        <f t="shared" ref="F6:F40" si="6">G5</f>
        <v>968056324</v>
      </c>
      <c r="G6" s="2">
        <f t="shared" ref="G6:G40" si="7">F6-D6</f>
        <v>945838352.04999995</v>
      </c>
      <c r="H6" s="14">
        <f t="shared" si="1"/>
        <v>11934940.980821919</v>
      </c>
      <c r="I6" s="16">
        <f t="shared" si="2"/>
        <v>-165763.06917808205</v>
      </c>
    </row>
    <row r="7" spans="1:10" x14ac:dyDescent="0.25">
      <c r="A7" s="31">
        <v>43044</v>
      </c>
      <c r="B7" s="1">
        <f t="shared" si="3"/>
        <v>30</v>
      </c>
      <c r="C7" s="4">
        <f t="shared" si="4"/>
        <v>34318676</v>
      </c>
      <c r="D7" s="2">
        <f t="shared" si="0"/>
        <v>22495696.600000001</v>
      </c>
      <c r="E7" s="19">
        <f t="shared" si="5"/>
        <v>11822979.4</v>
      </c>
      <c r="F7" s="2">
        <f t="shared" si="6"/>
        <v>945838352.04999995</v>
      </c>
      <c r="G7" s="2">
        <f t="shared" si="7"/>
        <v>923342655.44999993</v>
      </c>
      <c r="H7" s="14">
        <f t="shared" si="1"/>
        <v>11661020.778698629</v>
      </c>
      <c r="I7" s="16">
        <f t="shared" si="2"/>
        <v>-161958.6213013716</v>
      </c>
    </row>
    <row r="8" spans="1:10" x14ac:dyDescent="0.25">
      <c r="A8" s="31">
        <v>43074</v>
      </c>
      <c r="B8" s="1">
        <f t="shared" si="3"/>
        <v>30</v>
      </c>
      <c r="C8" s="4">
        <f t="shared" si="4"/>
        <v>34318676</v>
      </c>
      <c r="D8" s="2">
        <f t="shared" si="0"/>
        <v>22776892.810000002</v>
      </c>
      <c r="E8" s="19">
        <f t="shared" si="5"/>
        <v>11541783.189999999</v>
      </c>
      <c r="F8" s="2">
        <f t="shared" si="6"/>
        <v>923342655.44999993</v>
      </c>
      <c r="G8" s="2">
        <f t="shared" si="7"/>
        <v>900565762.63999987</v>
      </c>
      <c r="H8" s="14">
        <f t="shared" si="1"/>
        <v>11383676.574041095</v>
      </c>
      <c r="I8" s="16">
        <f t="shared" si="2"/>
        <v>-158106.61595890485</v>
      </c>
    </row>
    <row r="9" spans="1:10" x14ac:dyDescent="0.25">
      <c r="A9" s="31">
        <v>43105</v>
      </c>
      <c r="B9" s="1">
        <f t="shared" si="3"/>
        <v>30</v>
      </c>
      <c r="C9" s="4">
        <f t="shared" si="4"/>
        <v>34318676</v>
      </c>
      <c r="D9" s="2">
        <f t="shared" si="0"/>
        <v>23061603.969999999</v>
      </c>
      <c r="E9" s="19">
        <f t="shared" si="5"/>
        <v>11257072.029999999</v>
      </c>
      <c r="F9" s="2">
        <f t="shared" si="6"/>
        <v>900565762.63999987</v>
      </c>
      <c r="G9" s="2">
        <f t="shared" si="7"/>
        <v>877504158.66999984</v>
      </c>
      <c r="H9" s="14">
        <f t="shared" si="1"/>
        <v>11102865.566794518</v>
      </c>
      <c r="I9" s="16">
        <f t="shared" si="2"/>
        <v>-154206.46320548095</v>
      </c>
    </row>
    <row r="10" spans="1:10" x14ac:dyDescent="0.25">
      <c r="A10" s="31">
        <v>43136</v>
      </c>
      <c r="B10" s="1">
        <f t="shared" si="3"/>
        <v>30</v>
      </c>
      <c r="C10" s="4">
        <f t="shared" si="4"/>
        <v>34318676</v>
      </c>
      <c r="D10" s="2">
        <f t="shared" si="0"/>
        <v>23349874.02</v>
      </c>
      <c r="E10" s="19">
        <f t="shared" si="5"/>
        <v>10968801.98</v>
      </c>
      <c r="F10" s="2">
        <f t="shared" si="6"/>
        <v>877504158.66999984</v>
      </c>
      <c r="G10" s="2">
        <f t="shared" si="7"/>
        <v>854154284.64999986</v>
      </c>
      <c r="H10" s="14">
        <f t="shared" si="1"/>
        <v>10818544.421958903</v>
      </c>
      <c r="I10" s="16">
        <f t="shared" si="2"/>
        <v>-150257.5580410976</v>
      </c>
    </row>
    <row r="11" spans="1:10" x14ac:dyDescent="0.25">
      <c r="A11" s="31">
        <v>43164</v>
      </c>
      <c r="B11" s="1">
        <f t="shared" si="3"/>
        <v>30</v>
      </c>
      <c r="C11" s="4">
        <f t="shared" si="4"/>
        <v>34318676</v>
      </c>
      <c r="D11" s="2">
        <f t="shared" si="0"/>
        <v>23641747.439999998</v>
      </c>
      <c r="E11" s="19">
        <f t="shared" si="5"/>
        <v>10676928.560000001</v>
      </c>
      <c r="F11" s="2">
        <f t="shared" si="6"/>
        <v>854154284.64999986</v>
      </c>
      <c r="G11" s="2">
        <f t="shared" si="7"/>
        <v>830512537.2099998</v>
      </c>
      <c r="H11" s="14">
        <f t="shared" si="1"/>
        <v>10530669.262808217</v>
      </c>
      <c r="I11" s="16">
        <f t="shared" si="2"/>
        <v>-146259.29719178379</v>
      </c>
    </row>
    <row r="12" spans="1:10" x14ac:dyDescent="0.25">
      <c r="A12" s="31">
        <v>43195</v>
      </c>
      <c r="B12" s="1">
        <f t="shared" si="3"/>
        <v>30</v>
      </c>
      <c r="C12" s="4">
        <f t="shared" si="4"/>
        <v>34318676</v>
      </c>
      <c r="D12" s="2">
        <f t="shared" si="0"/>
        <v>23937269.280000001</v>
      </c>
      <c r="E12" s="19">
        <f t="shared" si="5"/>
        <v>10381406.720000001</v>
      </c>
      <c r="F12" s="2">
        <f t="shared" si="6"/>
        <v>830512537.2099998</v>
      </c>
      <c r="G12" s="2">
        <f t="shared" si="7"/>
        <v>806575267.92999983</v>
      </c>
      <c r="H12" s="14">
        <f t="shared" si="1"/>
        <v>10239195.664232872</v>
      </c>
      <c r="I12" s="16">
        <f t="shared" si="2"/>
        <v>-142211.05576712824</v>
      </c>
    </row>
    <row r="13" spans="1:10" x14ac:dyDescent="0.25">
      <c r="A13" s="31">
        <v>43225</v>
      </c>
      <c r="B13" s="1">
        <f t="shared" si="3"/>
        <v>30</v>
      </c>
      <c r="C13" s="4">
        <f t="shared" si="4"/>
        <v>34318676</v>
      </c>
      <c r="D13" s="2">
        <f t="shared" si="0"/>
        <v>24236485.149999999</v>
      </c>
      <c r="E13" s="19">
        <f t="shared" si="5"/>
        <v>10082190.85</v>
      </c>
      <c r="F13" s="2">
        <f t="shared" si="6"/>
        <v>806575267.92999983</v>
      </c>
      <c r="G13" s="2">
        <f t="shared" si="7"/>
        <v>782338782.77999985</v>
      </c>
      <c r="H13" s="14">
        <f t="shared" si="1"/>
        <v>9944078.6457123272</v>
      </c>
      <c r="I13" s="16">
        <f t="shared" si="2"/>
        <v>-138112.20428767242</v>
      </c>
    </row>
    <row r="14" spans="1:10" x14ac:dyDescent="0.25">
      <c r="A14" s="31">
        <v>43256</v>
      </c>
      <c r="B14" s="1">
        <f t="shared" si="3"/>
        <v>30</v>
      </c>
      <c r="C14" s="4">
        <f t="shared" si="4"/>
        <v>34318676</v>
      </c>
      <c r="D14" s="2">
        <f t="shared" si="0"/>
        <v>24539441.219999999</v>
      </c>
      <c r="E14" s="19">
        <f t="shared" si="5"/>
        <v>9779234.7799999993</v>
      </c>
      <c r="F14" s="2">
        <f t="shared" si="6"/>
        <v>782338782.77999985</v>
      </c>
      <c r="G14" s="2">
        <f t="shared" si="7"/>
        <v>757799341.55999982</v>
      </c>
      <c r="H14" s="14">
        <f t="shared" si="1"/>
        <v>9645272.6644109562</v>
      </c>
      <c r="I14" s="16">
        <f t="shared" si="2"/>
        <v>-133962.11558904313</v>
      </c>
    </row>
    <row r="15" spans="1:10" x14ac:dyDescent="0.25">
      <c r="A15" s="31">
        <v>43286</v>
      </c>
      <c r="B15" s="1">
        <f t="shared" si="3"/>
        <v>30</v>
      </c>
      <c r="C15" s="4">
        <f t="shared" si="4"/>
        <v>34318676</v>
      </c>
      <c r="D15" s="2">
        <f t="shared" si="0"/>
        <v>24846184.23</v>
      </c>
      <c r="E15" s="19">
        <f t="shared" si="5"/>
        <v>9472491.7699999996</v>
      </c>
      <c r="F15" s="2">
        <f t="shared" si="6"/>
        <v>757799341.55999982</v>
      </c>
      <c r="G15" s="2">
        <f t="shared" si="7"/>
        <v>732953157.3299998</v>
      </c>
      <c r="H15" s="14">
        <f t="shared" si="1"/>
        <v>9342731.60827397</v>
      </c>
      <c r="I15" s="16">
        <f t="shared" si="2"/>
        <v>-129760.16172602959</v>
      </c>
    </row>
    <row r="16" spans="1:10" x14ac:dyDescent="0.25">
      <c r="A16" s="31">
        <v>43317</v>
      </c>
      <c r="B16" s="1">
        <f t="shared" si="3"/>
        <v>30</v>
      </c>
      <c r="C16" s="4">
        <f t="shared" si="4"/>
        <v>34318676</v>
      </c>
      <c r="D16" s="2">
        <f t="shared" si="0"/>
        <v>25156761.530000001</v>
      </c>
      <c r="E16" s="19">
        <f t="shared" si="5"/>
        <v>9161914.4700000007</v>
      </c>
      <c r="F16" s="2">
        <f t="shared" si="6"/>
        <v>732953157.3299998</v>
      </c>
      <c r="G16" s="2">
        <f t="shared" si="7"/>
        <v>707796395.79999983</v>
      </c>
      <c r="H16" s="14">
        <f t="shared" si="1"/>
        <v>9036408.7889999971</v>
      </c>
      <c r="I16" s="16">
        <f t="shared" si="2"/>
        <v>-125505.68100000359</v>
      </c>
    </row>
    <row r="17" spans="1:9" x14ac:dyDescent="0.25">
      <c r="A17" s="31">
        <v>43348</v>
      </c>
      <c r="B17" s="1">
        <f t="shared" si="3"/>
        <v>30</v>
      </c>
      <c r="C17" s="4">
        <f t="shared" si="4"/>
        <v>34318676</v>
      </c>
      <c r="D17" s="2">
        <f t="shared" si="0"/>
        <v>25471221.050000001</v>
      </c>
      <c r="E17" s="19">
        <f t="shared" si="5"/>
        <v>8847454.9499999993</v>
      </c>
      <c r="F17" s="2">
        <f t="shared" si="6"/>
        <v>707796395.79999983</v>
      </c>
      <c r="G17" s="2">
        <f t="shared" si="7"/>
        <v>682325174.74999988</v>
      </c>
      <c r="H17" s="14">
        <f t="shared" si="1"/>
        <v>8726256.9345205463</v>
      </c>
      <c r="I17" s="16">
        <f t="shared" si="2"/>
        <v>-121198.01547945291</v>
      </c>
    </row>
    <row r="18" spans="1:9" x14ac:dyDescent="0.25">
      <c r="A18" s="31">
        <v>43378</v>
      </c>
      <c r="B18" s="1">
        <f t="shared" si="3"/>
        <v>30</v>
      </c>
      <c r="C18" s="4">
        <f t="shared" si="4"/>
        <v>34318676</v>
      </c>
      <c r="D18" s="2">
        <f t="shared" si="0"/>
        <v>25789611.32</v>
      </c>
      <c r="E18" s="19">
        <f t="shared" si="5"/>
        <v>8529064.6799999997</v>
      </c>
      <c r="F18" s="2">
        <f t="shared" si="6"/>
        <v>682325174.74999988</v>
      </c>
      <c r="G18" s="2">
        <f t="shared" si="7"/>
        <v>656535563.42999983</v>
      </c>
      <c r="H18" s="14">
        <f t="shared" si="1"/>
        <v>8412228.181849312</v>
      </c>
      <c r="I18" s="16">
        <f t="shared" si="2"/>
        <v>-116836.49815068766</v>
      </c>
    </row>
    <row r="19" spans="1:9" x14ac:dyDescent="0.25">
      <c r="A19" s="31">
        <v>43409</v>
      </c>
      <c r="B19" s="1">
        <f t="shared" si="3"/>
        <v>30</v>
      </c>
      <c r="C19" s="4">
        <f t="shared" si="4"/>
        <v>34318676</v>
      </c>
      <c r="D19" s="2">
        <f t="shared" si="0"/>
        <v>26111981.460000001</v>
      </c>
      <c r="E19" s="19">
        <f t="shared" si="5"/>
        <v>8206694.54</v>
      </c>
      <c r="F19" s="2">
        <f t="shared" si="6"/>
        <v>656535563.42999983</v>
      </c>
      <c r="G19" s="2">
        <f t="shared" si="7"/>
        <v>630423581.96999979</v>
      </c>
      <c r="H19" s="14">
        <f t="shared" si="1"/>
        <v>8094274.0696849301</v>
      </c>
      <c r="I19" s="16">
        <f t="shared" si="2"/>
        <v>-112420.47031506989</v>
      </c>
    </row>
    <row r="20" spans="1:9" x14ac:dyDescent="0.25">
      <c r="A20" s="31">
        <v>43439</v>
      </c>
      <c r="B20" s="1">
        <f t="shared" si="3"/>
        <v>30</v>
      </c>
      <c r="C20" s="4">
        <f t="shared" si="4"/>
        <v>34318676</v>
      </c>
      <c r="D20" s="2">
        <f t="shared" si="0"/>
        <v>26438381.23</v>
      </c>
      <c r="E20" s="19">
        <f t="shared" si="5"/>
        <v>7880294.7699999996</v>
      </c>
      <c r="F20" s="2">
        <f t="shared" si="6"/>
        <v>630423581.96999979</v>
      </c>
      <c r="G20" s="2">
        <f t="shared" si="7"/>
        <v>603985200.73999977</v>
      </c>
      <c r="H20" s="14">
        <f t="shared" si="1"/>
        <v>7772345.5311369831</v>
      </c>
      <c r="I20" s="16">
        <f t="shared" si="2"/>
        <v>-107949.23886301648</v>
      </c>
    </row>
    <row r="21" spans="1:9" x14ac:dyDescent="0.25">
      <c r="A21" s="31">
        <v>43470</v>
      </c>
      <c r="B21" s="1">
        <f t="shared" si="3"/>
        <v>30</v>
      </c>
      <c r="C21" s="4">
        <f t="shared" si="4"/>
        <v>34318676</v>
      </c>
      <c r="D21" s="2">
        <f t="shared" si="0"/>
        <v>26768860.990000002</v>
      </c>
      <c r="E21" s="19">
        <f t="shared" si="5"/>
        <v>7549815.0099999998</v>
      </c>
      <c r="F21" s="2">
        <f t="shared" si="6"/>
        <v>603985200.73999977</v>
      </c>
      <c r="G21" s="2">
        <f t="shared" si="7"/>
        <v>577216339.74999976</v>
      </c>
      <c r="H21" s="14">
        <f t="shared" si="1"/>
        <v>7446392.8858356122</v>
      </c>
      <c r="I21" s="16">
        <f t="shared" si="2"/>
        <v>-103422.12416438758</v>
      </c>
    </row>
    <row r="22" spans="1:9" x14ac:dyDescent="0.25">
      <c r="A22" s="31">
        <v>43501</v>
      </c>
      <c r="B22" s="1">
        <f t="shared" si="3"/>
        <v>30</v>
      </c>
      <c r="C22" s="4">
        <f t="shared" si="4"/>
        <v>34318676</v>
      </c>
      <c r="D22" s="2">
        <f t="shared" si="0"/>
        <v>27103471.75</v>
      </c>
      <c r="E22" s="19">
        <f t="shared" si="5"/>
        <v>7215204.25</v>
      </c>
      <c r="F22" s="2">
        <f t="shared" si="6"/>
        <v>577216339.74999976</v>
      </c>
      <c r="G22" s="2">
        <f t="shared" si="7"/>
        <v>550112867.99999976</v>
      </c>
      <c r="H22" s="14">
        <f t="shared" si="1"/>
        <v>7116365.8325342443</v>
      </c>
      <c r="I22" s="16">
        <f t="shared" si="2"/>
        <v>-98838.417465755716</v>
      </c>
    </row>
    <row r="23" spans="1:9" x14ac:dyDescent="0.25">
      <c r="A23" s="31">
        <v>43529</v>
      </c>
      <c r="B23" s="1">
        <f t="shared" si="3"/>
        <v>30</v>
      </c>
      <c r="C23" s="4">
        <f t="shared" si="4"/>
        <v>34318676</v>
      </c>
      <c r="D23" s="2">
        <f t="shared" si="0"/>
        <v>27442265.149999999</v>
      </c>
      <c r="E23" s="19">
        <f t="shared" si="5"/>
        <v>6876410.8499999996</v>
      </c>
      <c r="F23" s="2">
        <f t="shared" si="6"/>
        <v>550112867.99999976</v>
      </c>
      <c r="G23" s="2">
        <f t="shared" si="7"/>
        <v>522670602.84999979</v>
      </c>
      <c r="H23" s="14">
        <f t="shared" si="1"/>
        <v>6782213.4410958868</v>
      </c>
      <c r="I23" s="16">
        <f t="shared" si="2"/>
        <v>-94197.408904112875</v>
      </c>
    </row>
    <row r="24" spans="1:9" x14ac:dyDescent="0.25">
      <c r="A24" s="31">
        <v>43560</v>
      </c>
      <c r="B24" s="1">
        <f t="shared" si="3"/>
        <v>30</v>
      </c>
      <c r="C24" s="4">
        <f t="shared" si="4"/>
        <v>34318676</v>
      </c>
      <c r="D24" s="2">
        <f t="shared" si="0"/>
        <v>27785293.460000001</v>
      </c>
      <c r="E24" s="19">
        <f t="shared" si="5"/>
        <v>6533382.54</v>
      </c>
      <c r="F24" s="2">
        <f t="shared" si="6"/>
        <v>522670602.84999979</v>
      </c>
      <c r="G24" s="2">
        <f t="shared" si="7"/>
        <v>494885309.38999981</v>
      </c>
      <c r="H24" s="14">
        <f t="shared" si="1"/>
        <v>6443884.144726024</v>
      </c>
      <c r="I24" s="16">
        <f t="shared" si="2"/>
        <v>-89498.395273976028</v>
      </c>
    </row>
    <row r="25" spans="1:9" x14ac:dyDescent="0.25">
      <c r="A25" s="31">
        <v>43590</v>
      </c>
      <c r="B25" s="1">
        <f t="shared" si="3"/>
        <v>30</v>
      </c>
      <c r="C25" s="4">
        <f t="shared" si="4"/>
        <v>34318676</v>
      </c>
      <c r="D25" s="2">
        <f t="shared" si="0"/>
        <v>28132609.629999999</v>
      </c>
      <c r="E25" s="19">
        <f t="shared" si="5"/>
        <v>6186066.3700000001</v>
      </c>
      <c r="F25" s="2">
        <f t="shared" si="6"/>
        <v>494885309.38999981</v>
      </c>
      <c r="G25" s="2">
        <f t="shared" si="7"/>
        <v>466752699.75999981</v>
      </c>
      <c r="H25" s="14">
        <f t="shared" si="1"/>
        <v>6101325.7322054775</v>
      </c>
      <c r="I25" s="16">
        <f t="shared" si="2"/>
        <v>-84740.637794522569</v>
      </c>
    </row>
    <row r="26" spans="1:9" x14ac:dyDescent="0.25">
      <c r="A26" s="31">
        <v>43621</v>
      </c>
      <c r="B26" s="1">
        <f t="shared" si="3"/>
        <v>30</v>
      </c>
      <c r="C26" s="4">
        <f t="shared" si="4"/>
        <v>34318676</v>
      </c>
      <c r="D26" s="2">
        <f t="shared" si="0"/>
        <v>28484267.25</v>
      </c>
      <c r="E26" s="19">
        <f t="shared" si="5"/>
        <v>5834408.75</v>
      </c>
      <c r="F26" s="2">
        <f t="shared" si="6"/>
        <v>466752699.75999981</v>
      </c>
      <c r="G26" s="2">
        <f t="shared" si="7"/>
        <v>438268432.50999981</v>
      </c>
      <c r="H26" s="14">
        <f t="shared" si="1"/>
        <v>5754485.3395068469</v>
      </c>
      <c r="I26" s="16">
        <f t="shared" si="2"/>
        <v>-79923.410493153147</v>
      </c>
    </row>
    <row r="27" spans="1:9" x14ac:dyDescent="0.25">
      <c r="A27" s="31">
        <v>43651</v>
      </c>
      <c r="B27" s="1">
        <f t="shared" si="3"/>
        <v>30</v>
      </c>
      <c r="C27" s="4">
        <f t="shared" si="4"/>
        <v>34318676</v>
      </c>
      <c r="D27" s="2">
        <f t="shared" si="0"/>
        <v>28840320.59</v>
      </c>
      <c r="E27" s="19">
        <f t="shared" si="5"/>
        <v>5478355.4100000001</v>
      </c>
      <c r="F27" s="2">
        <f t="shared" si="6"/>
        <v>438268432.50999981</v>
      </c>
      <c r="G27" s="2">
        <f t="shared" si="7"/>
        <v>409428111.91999984</v>
      </c>
      <c r="H27" s="14">
        <f t="shared" si="1"/>
        <v>5403309.4419041062</v>
      </c>
      <c r="I27" s="16">
        <f t="shared" si="2"/>
        <v>-75045.968095893972</v>
      </c>
    </row>
    <row r="28" spans="1:9" x14ac:dyDescent="0.25">
      <c r="A28" s="31">
        <v>43682</v>
      </c>
      <c r="B28" s="1">
        <f t="shared" si="3"/>
        <v>30</v>
      </c>
      <c r="C28" s="4">
        <f t="shared" si="4"/>
        <v>34318676</v>
      </c>
      <c r="D28" s="2">
        <f t="shared" si="0"/>
        <v>29200824.600000001</v>
      </c>
      <c r="E28" s="19">
        <f t="shared" si="5"/>
        <v>5117851.4000000004</v>
      </c>
      <c r="F28" s="2">
        <f t="shared" si="6"/>
        <v>409428111.91999984</v>
      </c>
      <c r="G28" s="2">
        <f t="shared" si="7"/>
        <v>380227287.31999981</v>
      </c>
      <c r="H28" s="14">
        <f t="shared" si="1"/>
        <v>5047743.8455890389</v>
      </c>
      <c r="I28" s="16">
        <f t="shared" si="2"/>
        <v>-70107.554410961457</v>
      </c>
    </row>
    <row r="29" spans="1:9" x14ac:dyDescent="0.25">
      <c r="A29" s="31">
        <v>43713</v>
      </c>
      <c r="B29" s="1">
        <f t="shared" si="3"/>
        <v>30</v>
      </c>
      <c r="C29" s="4">
        <f t="shared" si="4"/>
        <v>34318676</v>
      </c>
      <c r="D29" s="2">
        <f t="shared" si="0"/>
        <v>29565834.91</v>
      </c>
      <c r="E29" s="19">
        <f t="shared" si="5"/>
        <v>4752841.09</v>
      </c>
      <c r="F29" s="2">
        <f t="shared" si="6"/>
        <v>380227287.31999981</v>
      </c>
      <c r="G29" s="2">
        <f t="shared" si="7"/>
        <v>350661452.40999979</v>
      </c>
      <c r="H29" s="14">
        <f t="shared" si="1"/>
        <v>4687733.6792876683</v>
      </c>
      <c r="I29" s="16">
        <f t="shared" si="2"/>
        <v>-65107.410712331533</v>
      </c>
    </row>
    <row r="30" spans="1:9" x14ac:dyDescent="0.25">
      <c r="A30" s="31">
        <v>43743</v>
      </c>
      <c r="B30" s="1">
        <f t="shared" si="3"/>
        <v>30</v>
      </c>
      <c r="C30" s="4">
        <f t="shared" si="4"/>
        <v>34318676</v>
      </c>
      <c r="D30" s="2">
        <f t="shared" si="0"/>
        <v>29935407.84</v>
      </c>
      <c r="E30" s="19">
        <f t="shared" si="5"/>
        <v>4383268.16</v>
      </c>
      <c r="F30" s="2">
        <f t="shared" si="6"/>
        <v>350661452.40999979</v>
      </c>
      <c r="G30" s="2">
        <f t="shared" si="7"/>
        <v>320726044.56999981</v>
      </c>
      <c r="H30" s="14">
        <f t="shared" si="1"/>
        <v>4323223.3858767096</v>
      </c>
      <c r="I30" s="16">
        <f t="shared" si="2"/>
        <v>-60044.774123290554</v>
      </c>
    </row>
    <row r="31" spans="1:9" x14ac:dyDescent="0.25">
      <c r="A31" s="31">
        <v>43774</v>
      </c>
      <c r="B31" s="1">
        <f t="shared" si="3"/>
        <v>30</v>
      </c>
      <c r="C31" s="4">
        <f t="shared" si="4"/>
        <v>34318676</v>
      </c>
      <c r="D31" s="2">
        <f t="shared" si="0"/>
        <v>30309600.440000001</v>
      </c>
      <c r="E31" s="19">
        <f t="shared" si="5"/>
        <v>4009075.56</v>
      </c>
      <c r="F31" s="2">
        <f t="shared" si="6"/>
        <v>320726044.56999981</v>
      </c>
      <c r="G31" s="2">
        <f t="shared" si="7"/>
        <v>290416444.12999982</v>
      </c>
      <c r="H31" s="14">
        <f t="shared" si="1"/>
        <v>3954156.7138767098</v>
      </c>
      <c r="I31" s="16">
        <f t="shared" si="2"/>
        <v>-54918.846123290248</v>
      </c>
    </row>
    <row r="32" spans="1:9" x14ac:dyDescent="0.25">
      <c r="A32" s="31">
        <v>43804</v>
      </c>
      <c r="B32" s="1">
        <f t="shared" si="3"/>
        <v>30</v>
      </c>
      <c r="C32" s="4">
        <f t="shared" si="4"/>
        <v>34318676</v>
      </c>
      <c r="D32" s="2">
        <f t="shared" si="0"/>
        <v>30688470.449999999</v>
      </c>
      <c r="E32" s="19">
        <f t="shared" si="5"/>
        <v>3630205.55</v>
      </c>
      <c r="F32" s="2">
        <f t="shared" si="6"/>
        <v>290416444.12999982</v>
      </c>
      <c r="G32" s="2">
        <f t="shared" si="7"/>
        <v>259727973.67999983</v>
      </c>
      <c r="H32" s="14">
        <f t="shared" si="1"/>
        <v>3580476.7084520529</v>
      </c>
      <c r="I32" s="16">
        <f t="shared" si="2"/>
        <v>-49728.841547946911</v>
      </c>
    </row>
    <row r="33" spans="1:9" x14ac:dyDescent="0.25">
      <c r="A33" s="31">
        <v>43835</v>
      </c>
      <c r="B33" s="1">
        <f t="shared" si="3"/>
        <v>30</v>
      </c>
      <c r="C33" s="4">
        <f t="shared" si="4"/>
        <v>34318676</v>
      </c>
      <c r="D33" s="2">
        <f t="shared" si="0"/>
        <v>31072076.329999998</v>
      </c>
      <c r="E33" s="19">
        <f t="shared" si="5"/>
        <v>3246599.67</v>
      </c>
      <c r="F33" s="2">
        <f t="shared" si="6"/>
        <v>259727973.67999983</v>
      </c>
      <c r="G33" s="2">
        <f t="shared" si="7"/>
        <v>228655897.34999985</v>
      </c>
      <c r="H33" s="14">
        <f t="shared" si="1"/>
        <v>3202125.7029041075</v>
      </c>
      <c r="I33" s="16">
        <f t="shared" si="2"/>
        <v>-44473.967095892411</v>
      </c>
    </row>
    <row r="34" spans="1:9" x14ac:dyDescent="0.25">
      <c r="A34" s="31">
        <v>43866</v>
      </c>
      <c r="B34" s="1">
        <f t="shared" si="3"/>
        <v>30</v>
      </c>
      <c r="C34" s="4">
        <f t="shared" si="4"/>
        <v>34318676</v>
      </c>
      <c r="D34" s="2">
        <f t="shared" si="0"/>
        <v>31460477.280000001</v>
      </c>
      <c r="E34" s="19">
        <f t="shared" si="5"/>
        <v>2858198.72</v>
      </c>
      <c r="F34" s="2">
        <f t="shared" si="6"/>
        <v>228655897.34999985</v>
      </c>
      <c r="G34" s="2">
        <f t="shared" si="7"/>
        <v>197195420.06999984</v>
      </c>
      <c r="H34" s="14"/>
      <c r="I34" s="16"/>
    </row>
    <row r="35" spans="1:9" x14ac:dyDescent="0.25">
      <c r="A35" s="31">
        <v>43895</v>
      </c>
      <c r="B35" s="1">
        <f t="shared" si="3"/>
        <v>30</v>
      </c>
      <c r="C35" s="4">
        <f t="shared" si="4"/>
        <v>34318676</v>
      </c>
      <c r="D35" s="2">
        <f t="shared" si="0"/>
        <v>31853733.25</v>
      </c>
      <c r="E35" s="19">
        <f t="shared" si="5"/>
        <v>2464942.75</v>
      </c>
      <c r="F35" s="2">
        <f t="shared" si="6"/>
        <v>197195420.06999984</v>
      </c>
      <c r="G35" s="2">
        <f t="shared" si="7"/>
        <v>165341686.81999984</v>
      </c>
      <c r="H35" s="14"/>
      <c r="I35" s="16"/>
    </row>
    <row r="36" spans="1:9" x14ac:dyDescent="0.25">
      <c r="A36" s="31">
        <v>43926</v>
      </c>
      <c r="B36" s="1">
        <f t="shared" si="3"/>
        <v>30</v>
      </c>
      <c r="C36" s="4">
        <f t="shared" si="4"/>
        <v>34318676</v>
      </c>
      <c r="D36" s="2">
        <f t="shared" si="0"/>
        <v>32251904.91</v>
      </c>
      <c r="E36" s="19">
        <f t="shared" si="5"/>
        <v>2066771.09</v>
      </c>
      <c r="F36" s="2">
        <f t="shared" si="6"/>
        <v>165341686.81999984</v>
      </c>
      <c r="G36" s="2">
        <f t="shared" si="7"/>
        <v>133089781.90999985</v>
      </c>
      <c r="H36" s="14"/>
      <c r="I36" s="16"/>
    </row>
    <row r="37" spans="1:9" x14ac:dyDescent="0.25">
      <c r="A37" s="31">
        <v>43956</v>
      </c>
      <c r="B37" s="1">
        <f t="shared" si="3"/>
        <v>30</v>
      </c>
      <c r="C37" s="4">
        <f t="shared" si="4"/>
        <v>34318676</v>
      </c>
      <c r="D37" s="2">
        <f t="shared" si="0"/>
        <v>32655053.73</v>
      </c>
      <c r="E37" s="19">
        <f t="shared" si="5"/>
        <v>1663622.27</v>
      </c>
      <c r="F37" s="2">
        <f t="shared" si="6"/>
        <v>133089781.90999985</v>
      </c>
      <c r="G37" s="2">
        <f t="shared" si="7"/>
        <v>100434728.17999984</v>
      </c>
      <c r="H37" s="14"/>
      <c r="I37" s="16"/>
    </row>
    <row r="38" spans="1:9" x14ac:dyDescent="0.25">
      <c r="A38" s="31">
        <v>43987</v>
      </c>
      <c r="B38" s="1">
        <f t="shared" si="3"/>
        <v>30</v>
      </c>
      <c r="C38" s="4">
        <f t="shared" si="4"/>
        <v>34318676</v>
      </c>
      <c r="D38" s="2">
        <f t="shared" si="0"/>
        <v>33063241.899999999</v>
      </c>
      <c r="E38" s="19">
        <f t="shared" si="5"/>
        <v>1255434.1000000001</v>
      </c>
      <c r="F38" s="2">
        <f t="shared" si="6"/>
        <v>100434728.17999984</v>
      </c>
      <c r="G38" s="2">
        <f t="shared" si="7"/>
        <v>67371486.279999852</v>
      </c>
      <c r="H38" s="14"/>
      <c r="I38" s="16"/>
    </row>
    <row r="39" spans="1:9" x14ac:dyDescent="0.25">
      <c r="A39" s="31">
        <v>44017</v>
      </c>
      <c r="B39" s="1">
        <f t="shared" si="3"/>
        <v>30</v>
      </c>
      <c r="C39" s="4">
        <f t="shared" si="4"/>
        <v>34318676</v>
      </c>
      <c r="D39" s="2">
        <f t="shared" si="0"/>
        <v>33476532.420000002</v>
      </c>
      <c r="E39" s="19">
        <f t="shared" si="5"/>
        <v>842143.58</v>
      </c>
      <c r="F39" s="2">
        <f t="shared" si="6"/>
        <v>67371486.279999852</v>
      </c>
      <c r="G39" s="2">
        <f t="shared" si="7"/>
        <v>33894953.85999985</v>
      </c>
      <c r="H39" s="14"/>
      <c r="I39" s="16"/>
    </row>
    <row r="40" spans="1:9" x14ac:dyDescent="0.25">
      <c r="A40" s="31">
        <v>44048</v>
      </c>
      <c r="B40" s="1">
        <f t="shared" si="3"/>
        <v>30</v>
      </c>
      <c r="C40" s="4">
        <f t="shared" si="4"/>
        <v>34318676</v>
      </c>
      <c r="D40" s="2">
        <f>C40-E40</f>
        <v>33894953.85999985</v>
      </c>
      <c r="E40" s="19">
        <v>423722.1400001478</v>
      </c>
      <c r="F40" s="2">
        <f t="shared" si="6"/>
        <v>33894953.85999985</v>
      </c>
      <c r="G40" s="2">
        <f t="shared" si="7"/>
        <v>0</v>
      </c>
      <c r="H40" s="14"/>
      <c r="I40" s="16"/>
    </row>
    <row r="41" spans="1:9" x14ac:dyDescent="0.25">
      <c r="A41" s="31">
        <v>43866</v>
      </c>
      <c r="B41" s="1">
        <f>DAYS360(A33,A34)</f>
        <v>30</v>
      </c>
      <c r="C41" s="4">
        <f t="shared" si="4"/>
        <v>34318676</v>
      </c>
      <c r="D41" s="2">
        <f t="shared" ref="D41:D46" si="8">C41-E41</f>
        <v>31460477.280000001</v>
      </c>
      <c r="E41" s="19">
        <f>ROUND(F34*$B$2*B34/360,2)</f>
        <v>2858198.72</v>
      </c>
      <c r="F41" s="2">
        <f>G33</f>
        <v>228655897.34999985</v>
      </c>
      <c r="G41" s="2">
        <f t="shared" ref="G41:G47" si="9">F41-D41</f>
        <v>197195420.06999984</v>
      </c>
      <c r="H41" s="14"/>
      <c r="I41" s="16"/>
    </row>
    <row r="42" spans="1:9" x14ac:dyDescent="0.25">
      <c r="A42" s="31">
        <v>43895</v>
      </c>
      <c r="B42" s="1">
        <f t="shared" ref="B42:B47" si="10">DAYS360(A41,A42)</f>
        <v>30</v>
      </c>
      <c r="C42" s="4">
        <f t="shared" ref="C42:C47" si="11">$F$1</f>
        <v>16994071</v>
      </c>
      <c r="D42" s="2">
        <f t="shared" si="8"/>
        <v>15320794.92</v>
      </c>
      <c r="E42" s="19">
        <f>ROUND(((G41*$B$2*D2/360)+(F42*$B$2*F2/360)),2)</f>
        <v>1673276.08</v>
      </c>
      <c r="F42" s="2">
        <f>G41-J1</f>
        <v>97195420.069999844</v>
      </c>
      <c r="G42" s="2">
        <f t="shared" si="9"/>
        <v>81874625.149999842</v>
      </c>
      <c r="H42" s="14"/>
      <c r="I42" s="16"/>
    </row>
    <row r="43" spans="1:9" x14ac:dyDescent="0.25">
      <c r="A43" s="31">
        <v>43926</v>
      </c>
      <c r="B43" s="1">
        <f t="shared" si="10"/>
        <v>30</v>
      </c>
      <c r="C43" s="4">
        <f t="shared" si="11"/>
        <v>16994071</v>
      </c>
      <c r="D43" s="2">
        <f t="shared" si="8"/>
        <v>15970638.189999999</v>
      </c>
      <c r="E43" s="19">
        <f t="shared" ref="E43:E46" si="12">ROUND(F43*$B$2*B43/360,2)</f>
        <v>1023432.81</v>
      </c>
      <c r="F43" s="2">
        <f t="shared" ref="F43:F47" si="13">G42</f>
        <v>81874625.149999842</v>
      </c>
      <c r="G43" s="2">
        <f t="shared" si="9"/>
        <v>65903986.959999844</v>
      </c>
    </row>
    <row r="44" spans="1:9" x14ac:dyDescent="0.25">
      <c r="A44" s="31">
        <v>43956</v>
      </c>
      <c r="B44" s="1">
        <f t="shared" si="10"/>
        <v>30</v>
      </c>
      <c r="C44" s="4">
        <f t="shared" si="11"/>
        <v>16994071</v>
      </c>
      <c r="D44" s="2">
        <f t="shared" si="8"/>
        <v>16170271.16</v>
      </c>
      <c r="E44" s="19">
        <f t="shared" si="12"/>
        <v>823799.84</v>
      </c>
      <c r="F44" s="2">
        <f t="shared" si="13"/>
        <v>65903986.959999844</v>
      </c>
      <c r="G44" s="2">
        <f t="shared" si="9"/>
        <v>49733715.799999848</v>
      </c>
    </row>
    <row r="45" spans="1:9" x14ac:dyDescent="0.25">
      <c r="A45" s="31">
        <v>43987</v>
      </c>
      <c r="B45" s="1">
        <f t="shared" si="10"/>
        <v>30</v>
      </c>
      <c r="C45" s="4">
        <f t="shared" si="11"/>
        <v>16994071</v>
      </c>
      <c r="D45" s="2">
        <f t="shared" si="8"/>
        <v>16372399.550000001</v>
      </c>
      <c r="E45" s="19">
        <f t="shared" si="12"/>
        <v>621671.44999999995</v>
      </c>
      <c r="F45" s="2">
        <f t="shared" si="13"/>
        <v>49733715.799999848</v>
      </c>
      <c r="G45" s="2">
        <f t="shared" si="9"/>
        <v>33361316.249999847</v>
      </c>
    </row>
    <row r="46" spans="1:9" x14ac:dyDescent="0.25">
      <c r="A46" s="31">
        <v>44017</v>
      </c>
      <c r="B46" s="1">
        <f t="shared" si="10"/>
        <v>30</v>
      </c>
      <c r="C46" s="4">
        <f t="shared" si="11"/>
        <v>16994071</v>
      </c>
      <c r="D46" s="2">
        <f t="shared" si="8"/>
        <v>16577054.550000001</v>
      </c>
      <c r="E46" s="19">
        <f t="shared" si="12"/>
        <v>417016.45</v>
      </c>
      <c r="F46" s="2">
        <f t="shared" si="13"/>
        <v>33361316.249999847</v>
      </c>
      <c r="G46" s="2">
        <f t="shared" si="9"/>
        <v>16784261.699999847</v>
      </c>
    </row>
    <row r="47" spans="1:9" x14ac:dyDescent="0.25">
      <c r="A47" s="31">
        <v>44048</v>
      </c>
      <c r="B47" s="1">
        <f t="shared" si="10"/>
        <v>30</v>
      </c>
      <c r="C47" s="4">
        <f t="shared" si="11"/>
        <v>16994071</v>
      </c>
      <c r="D47" s="2">
        <f>C47-E47</f>
        <v>16784261.699999847</v>
      </c>
      <c r="E47" s="19">
        <v>209809.30000015371</v>
      </c>
      <c r="F47" s="2">
        <f t="shared" si="13"/>
        <v>16784261.699999847</v>
      </c>
      <c r="G47" s="2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C3134-5CBB-4F1F-8711-E22DFC48DD98}">
  <dimension ref="A1:J41"/>
  <sheetViews>
    <sheetView zoomScale="96" zoomScaleNormal="100" workbookViewId="0">
      <pane ySplit="3" topLeftCell="A28" activePane="bottomLeft" state="frozen"/>
      <selection activeCell="A41" sqref="A41"/>
      <selection pane="bottomLeft" activeCell="G41" sqref="G41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20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42951</v>
      </c>
      <c r="C1" s="15" t="s">
        <v>37</v>
      </c>
      <c r="D1" s="23">
        <f>ROUNDUP(34318675.2191522,0)</f>
        <v>34318676</v>
      </c>
      <c r="E1" s="25" t="s">
        <v>51</v>
      </c>
      <c r="F1" s="24">
        <f>ROUNDUP(28709307.4383223,0)</f>
        <v>28709308</v>
      </c>
      <c r="G1" s="28" t="s">
        <v>52</v>
      </c>
      <c r="H1" s="26">
        <v>44044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  <c r="C2" s="30" t="s">
        <v>60</v>
      </c>
      <c r="D2" s="32">
        <f>DAYS360(A39,H1)</f>
        <v>26</v>
      </c>
      <c r="E2" t="s">
        <v>59</v>
      </c>
      <c r="F2">
        <f>DAYS360(H1,A41)</f>
        <v>4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31">
        <v>42952</v>
      </c>
      <c r="B4" s="1">
        <f>DAYS360(B1,A4)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-5650.6849315068685</v>
      </c>
    </row>
    <row r="5" spans="1:10" x14ac:dyDescent="0.25">
      <c r="A5" s="31">
        <v>42983</v>
      </c>
      <c r="B5" s="1">
        <f>DAYS360(A4,A5)</f>
        <v>30</v>
      </c>
      <c r="C5" s="4">
        <f>$D$1</f>
        <v>34318676</v>
      </c>
      <c r="D5" s="2">
        <f t="shared" ref="D5:D41" si="0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>
        <f t="shared" ref="H5:H33" si="1">F5*$B$2*B5/365</f>
        <v>12205479.452054795</v>
      </c>
      <c r="I5" s="16">
        <f t="shared" ref="I5:I33" si="2">H5-E5</f>
        <v>-169520.54794520512</v>
      </c>
    </row>
    <row r="6" spans="1:10" x14ac:dyDescent="0.25">
      <c r="A6" s="31">
        <v>43013</v>
      </c>
      <c r="B6" s="1">
        <f t="shared" ref="B6:B40" si="3">DAYS360(A5,A6)</f>
        <v>30</v>
      </c>
      <c r="C6" s="4">
        <f t="shared" ref="C6:C40" si="4">$D$1</f>
        <v>34318676</v>
      </c>
      <c r="D6" s="2">
        <f t="shared" si="0"/>
        <v>22217971.949999999</v>
      </c>
      <c r="E6" s="19">
        <f t="shared" ref="E6:E39" si="5">ROUND(F6*$B$2*B6/360,2)</f>
        <v>12100704.050000001</v>
      </c>
      <c r="F6" s="2">
        <f t="shared" ref="F6:F40" si="6">G5</f>
        <v>968056324</v>
      </c>
      <c r="G6" s="2">
        <f t="shared" ref="G6:G41" si="7">F6-D6</f>
        <v>945838352.04999995</v>
      </c>
      <c r="H6" s="14">
        <f t="shared" si="1"/>
        <v>11934940.980821919</v>
      </c>
      <c r="I6" s="16">
        <f t="shared" si="2"/>
        <v>-165763.06917808205</v>
      </c>
    </row>
    <row r="7" spans="1:10" x14ac:dyDescent="0.25">
      <c r="A7" s="31">
        <v>43044</v>
      </c>
      <c r="B7" s="1">
        <f t="shared" si="3"/>
        <v>30</v>
      </c>
      <c r="C7" s="4">
        <f t="shared" si="4"/>
        <v>34318676</v>
      </c>
      <c r="D7" s="2">
        <f t="shared" si="0"/>
        <v>22495696.600000001</v>
      </c>
      <c r="E7" s="19">
        <f t="shared" si="5"/>
        <v>11822979.4</v>
      </c>
      <c r="F7" s="2">
        <f t="shared" si="6"/>
        <v>945838352.04999995</v>
      </c>
      <c r="G7" s="2">
        <f t="shared" si="7"/>
        <v>923342655.44999993</v>
      </c>
      <c r="H7" s="14">
        <f t="shared" si="1"/>
        <v>11661020.778698629</v>
      </c>
      <c r="I7" s="16">
        <f t="shared" si="2"/>
        <v>-161958.6213013716</v>
      </c>
    </row>
    <row r="8" spans="1:10" x14ac:dyDescent="0.25">
      <c r="A8" s="31">
        <v>43074</v>
      </c>
      <c r="B8" s="1">
        <f t="shared" si="3"/>
        <v>30</v>
      </c>
      <c r="C8" s="4">
        <f t="shared" si="4"/>
        <v>34318676</v>
      </c>
      <c r="D8" s="2">
        <f t="shared" si="0"/>
        <v>22776892.810000002</v>
      </c>
      <c r="E8" s="19">
        <f t="shared" si="5"/>
        <v>11541783.189999999</v>
      </c>
      <c r="F8" s="2">
        <f t="shared" si="6"/>
        <v>923342655.44999993</v>
      </c>
      <c r="G8" s="2">
        <f t="shared" si="7"/>
        <v>900565762.63999987</v>
      </c>
      <c r="H8" s="14">
        <f t="shared" si="1"/>
        <v>11383676.574041095</v>
      </c>
      <c r="I8" s="16">
        <f t="shared" si="2"/>
        <v>-158106.61595890485</v>
      </c>
    </row>
    <row r="9" spans="1:10" x14ac:dyDescent="0.25">
      <c r="A9" s="31">
        <v>43105</v>
      </c>
      <c r="B9" s="1">
        <f t="shared" si="3"/>
        <v>30</v>
      </c>
      <c r="C9" s="4">
        <f t="shared" si="4"/>
        <v>34318676</v>
      </c>
      <c r="D9" s="2">
        <f t="shared" si="0"/>
        <v>23061603.969999999</v>
      </c>
      <c r="E9" s="19">
        <f t="shared" si="5"/>
        <v>11257072.029999999</v>
      </c>
      <c r="F9" s="2">
        <f t="shared" si="6"/>
        <v>900565762.63999987</v>
      </c>
      <c r="G9" s="2">
        <f t="shared" si="7"/>
        <v>877504158.66999984</v>
      </c>
      <c r="H9" s="14">
        <f t="shared" si="1"/>
        <v>11102865.566794518</v>
      </c>
      <c r="I9" s="16">
        <f t="shared" si="2"/>
        <v>-154206.46320548095</v>
      </c>
    </row>
    <row r="10" spans="1:10" x14ac:dyDescent="0.25">
      <c r="A10" s="31">
        <v>43136</v>
      </c>
      <c r="B10" s="1">
        <f t="shared" si="3"/>
        <v>30</v>
      </c>
      <c r="C10" s="4">
        <f t="shared" si="4"/>
        <v>34318676</v>
      </c>
      <c r="D10" s="2">
        <f t="shared" si="0"/>
        <v>23349874.02</v>
      </c>
      <c r="E10" s="19">
        <f t="shared" si="5"/>
        <v>10968801.98</v>
      </c>
      <c r="F10" s="2">
        <f t="shared" si="6"/>
        <v>877504158.66999984</v>
      </c>
      <c r="G10" s="2">
        <f t="shared" si="7"/>
        <v>854154284.64999986</v>
      </c>
      <c r="H10" s="14">
        <f t="shared" si="1"/>
        <v>10818544.421958903</v>
      </c>
      <c r="I10" s="16">
        <f t="shared" si="2"/>
        <v>-150257.5580410976</v>
      </c>
    </row>
    <row r="11" spans="1:10" x14ac:dyDescent="0.25">
      <c r="A11" s="31">
        <v>43164</v>
      </c>
      <c r="B11" s="1">
        <f t="shared" si="3"/>
        <v>30</v>
      </c>
      <c r="C11" s="4">
        <f t="shared" si="4"/>
        <v>34318676</v>
      </c>
      <c r="D11" s="2">
        <f t="shared" si="0"/>
        <v>23641747.439999998</v>
      </c>
      <c r="E11" s="19">
        <f t="shared" si="5"/>
        <v>10676928.560000001</v>
      </c>
      <c r="F11" s="2">
        <f t="shared" si="6"/>
        <v>854154284.64999986</v>
      </c>
      <c r="G11" s="2">
        <f t="shared" si="7"/>
        <v>830512537.2099998</v>
      </c>
      <c r="H11" s="14">
        <f t="shared" si="1"/>
        <v>10530669.262808217</v>
      </c>
      <c r="I11" s="16">
        <f t="shared" si="2"/>
        <v>-146259.29719178379</v>
      </c>
    </row>
    <row r="12" spans="1:10" x14ac:dyDescent="0.25">
      <c r="A12" s="31">
        <v>43195</v>
      </c>
      <c r="B12" s="1">
        <f t="shared" si="3"/>
        <v>30</v>
      </c>
      <c r="C12" s="4">
        <f t="shared" si="4"/>
        <v>34318676</v>
      </c>
      <c r="D12" s="2">
        <f t="shared" si="0"/>
        <v>23937269.280000001</v>
      </c>
      <c r="E12" s="19">
        <f t="shared" si="5"/>
        <v>10381406.720000001</v>
      </c>
      <c r="F12" s="2">
        <f t="shared" si="6"/>
        <v>830512537.2099998</v>
      </c>
      <c r="G12" s="2">
        <f t="shared" si="7"/>
        <v>806575267.92999983</v>
      </c>
      <c r="H12" s="14">
        <f t="shared" si="1"/>
        <v>10239195.664232872</v>
      </c>
      <c r="I12" s="16">
        <f t="shared" si="2"/>
        <v>-142211.05576712824</v>
      </c>
    </row>
    <row r="13" spans="1:10" x14ac:dyDescent="0.25">
      <c r="A13" s="31">
        <v>43225</v>
      </c>
      <c r="B13" s="1">
        <f t="shared" si="3"/>
        <v>30</v>
      </c>
      <c r="C13" s="4">
        <f t="shared" si="4"/>
        <v>34318676</v>
      </c>
      <c r="D13" s="2">
        <f t="shared" si="0"/>
        <v>24236485.149999999</v>
      </c>
      <c r="E13" s="19">
        <f t="shared" si="5"/>
        <v>10082190.85</v>
      </c>
      <c r="F13" s="2">
        <f t="shared" si="6"/>
        <v>806575267.92999983</v>
      </c>
      <c r="G13" s="2">
        <f t="shared" si="7"/>
        <v>782338782.77999985</v>
      </c>
      <c r="H13" s="14">
        <f t="shared" si="1"/>
        <v>9944078.6457123272</v>
      </c>
      <c r="I13" s="16">
        <f t="shared" si="2"/>
        <v>-138112.20428767242</v>
      </c>
    </row>
    <row r="14" spans="1:10" x14ac:dyDescent="0.25">
      <c r="A14" s="31">
        <v>43256</v>
      </c>
      <c r="B14" s="1">
        <f t="shared" si="3"/>
        <v>30</v>
      </c>
      <c r="C14" s="4">
        <f t="shared" si="4"/>
        <v>34318676</v>
      </c>
      <c r="D14" s="2">
        <f t="shared" si="0"/>
        <v>24539441.219999999</v>
      </c>
      <c r="E14" s="19">
        <f t="shared" si="5"/>
        <v>9779234.7799999993</v>
      </c>
      <c r="F14" s="2">
        <f t="shared" si="6"/>
        <v>782338782.77999985</v>
      </c>
      <c r="G14" s="2">
        <f t="shared" si="7"/>
        <v>757799341.55999982</v>
      </c>
      <c r="H14" s="14">
        <f t="shared" si="1"/>
        <v>9645272.6644109562</v>
      </c>
      <c r="I14" s="16">
        <f t="shared" si="2"/>
        <v>-133962.11558904313</v>
      </c>
    </row>
    <row r="15" spans="1:10" x14ac:dyDescent="0.25">
      <c r="A15" s="31">
        <v>43286</v>
      </c>
      <c r="B15" s="1">
        <f t="shared" si="3"/>
        <v>30</v>
      </c>
      <c r="C15" s="4">
        <f t="shared" si="4"/>
        <v>34318676</v>
      </c>
      <c r="D15" s="2">
        <f t="shared" si="0"/>
        <v>24846184.23</v>
      </c>
      <c r="E15" s="19">
        <f t="shared" si="5"/>
        <v>9472491.7699999996</v>
      </c>
      <c r="F15" s="2">
        <f t="shared" si="6"/>
        <v>757799341.55999982</v>
      </c>
      <c r="G15" s="2">
        <f t="shared" si="7"/>
        <v>732953157.3299998</v>
      </c>
      <c r="H15" s="14">
        <f t="shared" si="1"/>
        <v>9342731.60827397</v>
      </c>
      <c r="I15" s="16">
        <f t="shared" si="2"/>
        <v>-129760.16172602959</v>
      </c>
    </row>
    <row r="16" spans="1:10" x14ac:dyDescent="0.25">
      <c r="A16" s="31">
        <v>43317</v>
      </c>
      <c r="B16" s="1">
        <f t="shared" si="3"/>
        <v>30</v>
      </c>
      <c r="C16" s="4">
        <f t="shared" si="4"/>
        <v>34318676</v>
      </c>
      <c r="D16" s="2">
        <f t="shared" si="0"/>
        <v>25156761.530000001</v>
      </c>
      <c r="E16" s="19">
        <f t="shared" si="5"/>
        <v>9161914.4700000007</v>
      </c>
      <c r="F16" s="2">
        <f t="shared" si="6"/>
        <v>732953157.3299998</v>
      </c>
      <c r="G16" s="2">
        <f t="shared" si="7"/>
        <v>707796395.79999983</v>
      </c>
      <c r="H16" s="14">
        <f t="shared" si="1"/>
        <v>9036408.7889999971</v>
      </c>
      <c r="I16" s="16">
        <f t="shared" si="2"/>
        <v>-125505.68100000359</v>
      </c>
    </row>
    <row r="17" spans="1:9" x14ac:dyDescent="0.25">
      <c r="A17" s="31">
        <v>43348</v>
      </c>
      <c r="B17" s="1">
        <f t="shared" si="3"/>
        <v>30</v>
      </c>
      <c r="C17" s="4">
        <f t="shared" si="4"/>
        <v>34318676</v>
      </c>
      <c r="D17" s="2">
        <f t="shared" si="0"/>
        <v>25471221.050000001</v>
      </c>
      <c r="E17" s="19">
        <f t="shared" si="5"/>
        <v>8847454.9499999993</v>
      </c>
      <c r="F17" s="2">
        <f t="shared" si="6"/>
        <v>707796395.79999983</v>
      </c>
      <c r="G17" s="2">
        <f t="shared" si="7"/>
        <v>682325174.74999988</v>
      </c>
      <c r="H17" s="14">
        <f t="shared" si="1"/>
        <v>8726256.9345205463</v>
      </c>
      <c r="I17" s="16">
        <f t="shared" si="2"/>
        <v>-121198.01547945291</v>
      </c>
    </row>
    <row r="18" spans="1:9" x14ac:dyDescent="0.25">
      <c r="A18" s="31">
        <v>43378</v>
      </c>
      <c r="B18" s="1">
        <f t="shared" si="3"/>
        <v>30</v>
      </c>
      <c r="C18" s="4">
        <f t="shared" si="4"/>
        <v>34318676</v>
      </c>
      <c r="D18" s="2">
        <f t="shared" si="0"/>
        <v>25789611.32</v>
      </c>
      <c r="E18" s="19">
        <f t="shared" si="5"/>
        <v>8529064.6799999997</v>
      </c>
      <c r="F18" s="2">
        <f t="shared" si="6"/>
        <v>682325174.74999988</v>
      </c>
      <c r="G18" s="2">
        <f t="shared" si="7"/>
        <v>656535563.42999983</v>
      </c>
      <c r="H18" s="14">
        <f t="shared" si="1"/>
        <v>8412228.181849312</v>
      </c>
      <c r="I18" s="16">
        <f t="shared" si="2"/>
        <v>-116836.49815068766</v>
      </c>
    </row>
    <row r="19" spans="1:9" x14ac:dyDescent="0.25">
      <c r="A19" s="31">
        <v>43409</v>
      </c>
      <c r="B19" s="1">
        <f t="shared" si="3"/>
        <v>30</v>
      </c>
      <c r="C19" s="4">
        <f t="shared" si="4"/>
        <v>34318676</v>
      </c>
      <c r="D19" s="2">
        <f t="shared" si="0"/>
        <v>26111981.460000001</v>
      </c>
      <c r="E19" s="19">
        <f t="shared" si="5"/>
        <v>8206694.54</v>
      </c>
      <c r="F19" s="2">
        <f t="shared" si="6"/>
        <v>656535563.42999983</v>
      </c>
      <c r="G19" s="2">
        <f t="shared" si="7"/>
        <v>630423581.96999979</v>
      </c>
      <c r="H19" s="14">
        <f t="shared" si="1"/>
        <v>8094274.0696849301</v>
      </c>
      <c r="I19" s="16">
        <f t="shared" si="2"/>
        <v>-112420.47031506989</v>
      </c>
    </row>
    <row r="20" spans="1:9" x14ac:dyDescent="0.25">
      <c r="A20" s="31">
        <v>43439</v>
      </c>
      <c r="B20" s="1">
        <f t="shared" si="3"/>
        <v>30</v>
      </c>
      <c r="C20" s="4">
        <f t="shared" si="4"/>
        <v>34318676</v>
      </c>
      <c r="D20" s="2">
        <f t="shared" si="0"/>
        <v>26438381.23</v>
      </c>
      <c r="E20" s="19">
        <f t="shared" si="5"/>
        <v>7880294.7699999996</v>
      </c>
      <c r="F20" s="2">
        <f t="shared" si="6"/>
        <v>630423581.96999979</v>
      </c>
      <c r="G20" s="2">
        <f t="shared" si="7"/>
        <v>603985200.73999977</v>
      </c>
      <c r="H20" s="14">
        <f t="shared" si="1"/>
        <v>7772345.5311369831</v>
      </c>
      <c r="I20" s="16">
        <f t="shared" si="2"/>
        <v>-107949.23886301648</v>
      </c>
    </row>
    <row r="21" spans="1:9" x14ac:dyDescent="0.25">
      <c r="A21" s="31">
        <v>43470</v>
      </c>
      <c r="B21" s="1">
        <f t="shared" si="3"/>
        <v>30</v>
      </c>
      <c r="C21" s="4">
        <f t="shared" si="4"/>
        <v>34318676</v>
      </c>
      <c r="D21" s="2">
        <f t="shared" si="0"/>
        <v>26768860.990000002</v>
      </c>
      <c r="E21" s="19">
        <f t="shared" si="5"/>
        <v>7549815.0099999998</v>
      </c>
      <c r="F21" s="2">
        <f t="shared" si="6"/>
        <v>603985200.73999977</v>
      </c>
      <c r="G21" s="2">
        <f t="shared" si="7"/>
        <v>577216339.74999976</v>
      </c>
      <c r="H21" s="14">
        <f t="shared" si="1"/>
        <v>7446392.8858356122</v>
      </c>
      <c r="I21" s="16">
        <f t="shared" si="2"/>
        <v>-103422.12416438758</v>
      </c>
    </row>
    <row r="22" spans="1:9" x14ac:dyDescent="0.25">
      <c r="A22" s="31">
        <v>43501</v>
      </c>
      <c r="B22" s="1">
        <f t="shared" si="3"/>
        <v>30</v>
      </c>
      <c r="C22" s="4">
        <f t="shared" si="4"/>
        <v>34318676</v>
      </c>
      <c r="D22" s="2">
        <f t="shared" si="0"/>
        <v>27103471.75</v>
      </c>
      <c r="E22" s="19">
        <f t="shared" si="5"/>
        <v>7215204.25</v>
      </c>
      <c r="F22" s="2">
        <f t="shared" si="6"/>
        <v>577216339.74999976</v>
      </c>
      <c r="G22" s="2">
        <f t="shared" si="7"/>
        <v>550112867.99999976</v>
      </c>
      <c r="H22" s="14">
        <f t="shared" si="1"/>
        <v>7116365.8325342443</v>
      </c>
      <c r="I22" s="16">
        <f t="shared" si="2"/>
        <v>-98838.417465755716</v>
      </c>
    </row>
    <row r="23" spans="1:9" x14ac:dyDescent="0.25">
      <c r="A23" s="31">
        <v>43529</v>
      </c>
      <c r="B23" s="1">
        <f t="shared" si="3"/>
        <v>30</v>
      </c>
      <c r="C23" s="4">
        <f t="shared" si="4"/>
        <v>34318676</v>
      </c>
      <c r="D23" s="2">
        <f t="shared" si="0"/>
        <v>27442265.149999999</v>
      </c>
      <c r="E23" s="19">
        <f t="shared" si="5"/>
        <v>6876410.8499999996</v>
      </c>
      <c r="F23" s="2">
        <f t="shared" si="6"/>
        <v>550112867.99999976</v>
      </c>
      <c r="G23" s="2">
        <f t="shared" si="7"/>
        <v>522670602.84999979</v>
      </c>
      <c r="H23" s="14">
        <f t="shared" si="1"/>
        <v>6782213.4410958868</v>
      </c>
      <c r="I23" s="16">
        <f t="shared" si="2"/>
        <v>-94197.408904112875</v>
      </c>
    </row>
    <row r="24" spans="1:9" x14ac:dyDescent="0.25">
      <c r="A24" s="31">
        <v>43560</v>
      </c>
      <c r="B24" s="1">
        <f t="shared" si="3"/>
        <v>30</v>
      </c>
      <c r="C24" s="4">
        <f t="shared" si="4"/>
        <v>34318676</v>
      </c>
      <c r="D24" s="2">
        <f t="shared" si="0"/>
        <v>27785293.460000001</v>
      </c>
      <c r="E24" s="19">
        <f t="shared" si="5"/>
        <v>6533382.54</v>
      </c>
      <c r="F24" s="2">
        <f t="shared" si="6"/>
        <v>522670602.84999979</v>
      </c>
      <c r="G24" s="2">
        <f t="shared" si="7"/>
        <v>494885309.38999981</v>
      </c>
      <c r="H24" s="14">
        <f t="shared" si="1"/>
        <v>6443884.144726024</v>
      </c>
      <c r="I24" s="16">
        <f t="shared" si="2"/>
        <v>-89498.395273976028</v>
      </c>
    </row>
    <row r="25" spans="1:9" x14ac:dyDescent="0.25">
      <c r="A25" s="31">
        <v>43590</v>
      </c>
      <c r="B25" s="1">
        <f t="shared" si="3"/>
        <v>30</v>
      </c>
      <c r="C25" s="4">
        <f t="shared" si="4"/>
        <v>34318676</v>
      </c>
      <c r="D25" s="2">
        <f t="shared" si="0"/>
        <v>28132609.629999999</v>
      </c>
      <c r="E25" s="19">
        <f t="shared" si="5"/>
        <v>6186066.3700000001</v>
      </c>
      <c r="F25" s="2">
        <f t="shared" si="6"/>
        <v>494885309.38999981</v>
      </c>
      <c r="G25" s="2">
        <f t="shared" si="7"/>
        <v>466752699.75999981</v>
      </c>
      <c r="H25" s="14">
        <f t="shared" si="1"/>
        <v>6101325.7322054775</v>
      </c>
      <c r="I25" s="16">
        <f t="shared" si="2"/>
        <v>-84740.637794522569</v>
      </c>
    </row>
    <row r="26" spans="1:9" x14ac:dyDescent="0.25">
      <c r="A26" s="31">
        <v>43621</v>
      </c>
      <c r="B26" s="1">
        <f t="shared" si="3"/>
        <v>30</v>
      </c>
      <c r="C26" s="4">
        <f t="shared" si="4"/>
        <v>34318676</v>
      </c>
      <c r="D26" s="2">
        <f t="shared" si="0"/>
        <v>28484267.25</v>
      </c>
      <c r="E26" s="19">
        <f t="shared" si="5"/>
        <v>5834408.75</v>
      </c>
      <c r="F26" s="2">
        <f t="shared" si="6"/>
        <v>466752699.75999981</v>
      </c>
      <c r="G26" s="2">
        <f t="shared" si="7"/>
        <v>438268432.50999981</v>
      </c>
      <c r="H26" s="14">
        <f t="shared" si="1"/>
        <v>5754485.3395068469</v>
      </c>
      <c r="I26" s="16">
        <f t="shared" si="2"/>
        <v>-79923.410493153147</v>
      </c>
    </row>
    <row r="27" spans="1:9" x14ac:dyDescent="0.25">
      <c r="A27" s="31">
        <v>43651</v>
      </c>
      <c r="B27" s="1">
        <f t="shared" si="3"/>
        <v>30</v>
      </c>
      <c r="C27" s="4">
        <f t="shared" si="4"/>
        <v>34318676</v>
      </c>
      <c r="D27" s="2">
        <f t="shared" si="0"/>
        <v>28840320.59</v>
      </c>
      <c r="E27" s="19">
        <f t="shared" si="5"/>
        <v>5478355.4100000001</v>
      </c>
      <c r="F27" s="2">
        <f t="shared" si="6"/>
        <v>438268432.50999981</v>
      </c>
      <c r="G27" s="2">
        <f t="shared" si="7"/>
        <v>409428111.91999984</v>
      </c>
      <c r="H27" s="14">
        <f t="shared" si="1"/>
        <v>5403309.4419041062</v>
      </c>
      <c r="I27" s="16">
        <f t="shared" si="2"/>
        <v>-75045.968095893972</v>
      </c>
    </row>
    <row r="28" spans="1:9" x14ac:dyDescent="0.25">
      <c r="A28" s="31">
        <v>43682</v>
      </c>
      <c r="B28" s="1">
        <f t="shared" si="3"/>
        <v>30</v>
      </c>
      <c r="C28" s="4">
        <f t="shared" si="4"/>
        <v>34318676</v>
      </c>
      <c r="D28" s="2">
        <f t="shared" si="0"/>
        <v>29200824.600000001</v>
      </c>
      <c r="E28" s="19">
        <f t="shared" si="5"/>
        <v>5117851.4000000004</v>
      </c>
      <c r="F28" s="2">
        <f t="shared" si="6"/>
        <v>409428111.91999984</v>
      </c>
      <c r="G28" s="2">
        <f t="shared" si="7"/>
        <v>380227287.31999981</v>
      </c>
      <c r="H28" s="14">
        <f t="shared" si="1"/>
        <v>5047743.8455890389</v>
      </c>
      <c r="I28" s="16">
        <f t="shared" si="2"/>
        <v>-70107.554410961457</v>
      </c>
    </row>
    <row r="29" spans="1:9" x14ac:dyDescent="0.25">
      <c r="A29" s="31">
        <v>43713</v>
      </c>
      <c r="B29" s="1">
        <f t="shared" si="3"/>
        <v>30</v>
      </c>
      <c r="C29" s="4">
        <f t="shared" si="4"/>
        <v>34318676</v>
      </c>
      <c r="D29" s="2">
        <f t="shared" si="0"/>
        <v>29565834.91</v>
      </c>
      <c r="E29" s="19">
        <f t="shared" si="5"/>
        <v>4752841.09</v>
      </c>
      <c r="F29" s="2">
        <f t="shared" si="6"/>
        <v>380227287.31999981</v>
      </c>
      <c r="G29" s="2">
        <f t="shared" si="7"/>
        <v>350661452.40999979</v>
      </c>
      <c r="H29" s="14">
        <f t="shared" si="1"/>
        <v>4687733.6792876683</v>
      </c>
      <c r="I29" s="16">
        <f t="shared" si="2"/>
        <v>-65107.410712331533</v>
      </c>
    </row>
    <row r="30" spans="1:9" x14ac:dyDescent="0.25">
      <c r="A30" s="31">
        <v>43743</v>
      </c>
      <c r="B30" s="1">
        <f t="shared" si="3"/>
        <v>30</v>
      </c>
      <c r="C30" s="4">
        <f t="shared" si="4"/>
        <v>34318676</v>
      </c>
      <c r="D30" s="2">
        <f t="shared" si="0"/>
        <v>29935407.84</v>
      </c>
      <c r="E30" s="19">
        <f t="shared" si="5"/>
        <v>4383268.16</v>
      </c>
      <c r="F30" s="2">
        <f t="shared" si="6"/>
        <v>350661452.40999979</v>
      </c>
      <c r="G30" s="2">
        <f t="shared" si="7"/>
        <v>320726044.56999981</v>
      </c>
      <c r="H30" s="14">
        <f t="shared" si="1"/>
        <v>4323223.3858767096</v>
      </c>
      <c r="I30" s="16">
        <f t="shared" si="2"/>
        <v>-60044.774123290554</v>
      </c>
    </row>
    <row r="31" spans="1:9" x14ac:dyDescent="0.25">
      <c r="A31" s="31">
        <v>43774</v>
      </c>
      <c r="B31" s="1">
        <f t="shared" si="3"/>
        <v>30</v>
      </c>
      <c r="C31" s="4">
        <f t="shared" si="4"/>
        <v>34318676</v>
      </c>
      <c r="D31" s="2">
        <f t="shared" si="0"/>
        <v>30309600.440000001</v>
      </c>
      <c r="E31" s="19">
        <f t="shared" si="5"/>
        <v>4009075.56</v>
      </c>
      <c r="F31" s="2">
        <f t="shared" si="6"/>
        <v>320726044.56999981</v>
      </c>
      <c r="G31" s="2">
        <f t="shared" si="7"/>
        <v>290416444.12999982</v>
      </c>
      <c r="H31" s="14">
        <f t="shared" si="1"/>
        <v>3954156.7138767098</v>
      </c>
      <c r="I31" s="16">
        <f t="shared" si="2"/>
        <v>-54918.846123290248</v>
      </c>
    </row>
    <row r="32" spans="1:9" x14ac:dyDescent="0.25">
      <c r="A32" s="31">
        <v>43804</v>
      </c>
      <c r="B32" s="1">
        <f t="shared" si="3"/>
        <v>30</v>
      </c>
      <c r="C32" s="4">
        <f t="shared" si="4"/>
        <v>34318676</v>
      </c>
      <c r="D32" s="2">
        <f t="shared" si="0"/>
        <v>30688470.449999999</v>
      </c>
      <c r="E32" s="19">
        <f t="shared" si="5"/>
        <v>3630205.55</v>
      </c>
      <c r="F32" s="2">
        <f t="shared" si="6"/>
        <v>290416444.12999982</v>
      </c>
      <c r="G32" s="2">
        <f t="shared" si="7"/>
        <v>259727973.67999983</v>
      </c>
      <c r="H32" s="14">
        <f t="shared" si="1"/>
        <v>3580476.7084520529</v>
      </c>
      <c r="I32" s="16">
        <f t="shared" si="2"/>
        <v>-49728.841547946911</v>
      </c>
    </row>
    <row r="33" spans="1:9" x14ac:dyDescent="0.25">
      <c r="A33" s="31">
        <v>43835</v>
      </c>
      <c r="B33" s="1">
        <f t="shared" si="3"/>
        <v>30</v>
      </c>
      <c r="C33" s="4">
        <f t="shared" si="4"/>
        <v>34318676</v>
      </c>
      <c r="D33" s="2">
        <f t="shared" si="0"/>
        <v>31072076.329999998</v>
      </c>
      <c r="E33" s="19">
        <f t="shared" si="5"/>
        <v>3246599.67</v>
      </c>
      <c r="F33" s="2">
        <f t="shared" si="6"/>
        <v>259727973.67999983</v>
      </c>
      <c r="G33" s="2">
        <f t="shared" si="7"/>
        <v>228655897.34999985</v>
      </c>
      <c r="H33" s="14">
        <f t="shared" si="1"/>
        <v>3202125.7029041075</v>
      </c>
      <c r="I33" s="16">
        <f t="shared" si="2"/>
        <v>-44473.967095892411</v>
      </c>
    </row>
    <row r="34" spans="1:9" x14ac:dyDescent="0.25">
      <c r="A34" s="31">
        <v>43866</v>
      </c>
      <c r="B34" s="1">
        <f t="shared" si="3"/>
        <v>30</v>
      </c>
      <c r="C34" s="4">
        <f t="shared" si="4"/>
        <v>34318676</v>
      </c>
      <c r="D34" s="2">
        <f t="shared" si="0"/>
        <v>31460477.280000001</v>
      </c>
      <c r="E34" s="19">
        <f t="shared" si="5"/>
        <v>2858198.72</v>
      </c>
      <c r="F34" s="2">
        <f t="shared" si="6"/>
        <v>228655897.34999985</v>
      </c>
      <c r="G34" s="2">
        <f t="shared" si="7"/>
        <v>197195420.06999984</v>
      </c>
      <c r="H34" s="14"/>
      <c r="I34" s="16"/>
    </row>
    <row r="35" spans="1:9" x14ac:dyDescent="0.25">
      <c r="A35" s="31">
        <v>43895</v>
      </c>
      <c r="B35" s="1">
        <f t="shared" si="3"/>
        <v>30</v>
      </c>
      <c r="C35" s="4">
        <f t="shared" si="4"/>
        <v>34318676</v>
      </c>
      <c r="D35" s="2">
        <f t="shared" si="0"/>
        <v>31853733.25</v>
      </c>
      <c r="E35" s="19">
        <f t="shared" si="5"/>
        <v>2464942.75</v>
      </c>
      <c r="F35" s="2">
        <f t="shared" si="6"/>
        <v>197195420.06999984</v>
      </c>
      <c r="G35" s="2">
        <f t="shared" si="7"/>
        <v>165341686.81999984</v>
      </c>
      <c r="H35" s="14"/>
      <c r="I35" s="16"/>
    </row>
    <row r="36" spans="1:9" x14ac:dyDescent="0.25">
      <c r="A36" s="31">
        <v>43926</v>
      </c>
      <c r="B36" s="1">
        <f t="shared" si="3"/>
        <v>30</v>
      </c>
      <c r="C36" s="4">
        <f t="shared" si="4"/>
        <v>34318676</v>
      </c>
      <c r="D36" s="2">
        <f t="shared" si="0"/>
        <v>32251904.91</v>
      </c>
      <c r="E36" s="19">
        <f t="shared" si="5"/>
        <v>2066771.09</v>
      </c>
      <c r="F36" s="2">
        <f t="shared" si="6"/>
        <v>165341686.81999984</v>
      </c>
      <c r="G36" s="2">
        <f t="shared" si="7"/>
        <v>133089781.90999985</v>
      </c>
      <c r="H36" s="14"/>
      <c r="I36" s="16"/>
    </row>
    <row r="37" spans="1:9" x14ac:dyDescent="0.25">
      <c r="A37" s="31">
        <v>43956</v>
      </c>
      <c r="B37" s="1">
        <f t="shared" si="3"/>
        <v>30</v>
      </c>
      <c r="C37" s="4">
        <f t="shared" si="4"/>
        <v>34318676</v>
      </c>
      <c r="D37" s="2">
        <f t="shared" si="0"/>
        <v>32655053.73</v>
      </c>
      <c r="E37" s="19">
        <f t="shared" si="5"/>
        <v>1663622.27</v>
      </c>
      <c r="F37" s="2">
        <f t="shared" si="6"/>
        <v>133089781.90999985</v>
      </c>
      <c r="G37" s="2">
        <f t="shared" si="7"/>
        <v>100434728.17999984</v>
      </c>
      <c r="H37" s="14"/>
      <c r="I37" s="16"/>
    </row>
    <row r="38" spans="1:9" x14ac:dyDescent="0.25">
      <c r="A38" s="31">
        <v>43987</v>
      </c>
      <c r="B38" s="1">
        <f t="shared" si="3"/>
        <v>30</v>
      </c>
      <c r="C38" s="4">
        <f t="shared" si="4"/>
        <v>34318676</v>
      </c>
      <c r="D38" s="2">
        <f t="shared" si="0"/>
        <v>33063241.899999999</v>
      </c>
      <c r="E38" s="19">
        <f t="shared" si="5"/>
        <v>1255434.1000000001</v>
      </c>
      <c r="F38" s="2">
        <f t="shared" si="6"/>
        <v>100434728.17999984</v>
      </c>
      <c r="G38" s="2">
        <f t="shared" si="7"/>
        <v>67371486.279999852</v>
      </c>
      <c r="H38" s="14"/>
      <c r="I38" s="16"/>
    </row>
    <row r="39" spans="1:9" x14ac:dyDescent="0.25">
      <c r="A39" s="31">
        <v>44017</v>
      </c>
      <c r="B39" s="1">
        <f t="shared" si="3"/>
        <v>30</v>
      </c>
      <c r="C39" s="4">
        <f t="shared" si="4"/>
        <v>34318676</v>
      </c>
      <c r="D39" s="2">
        <f t="shared" si="0"/>
        <v>33476532.420000002</v>
      </c>
      <c r="E39" s="19">
        <f t="shared" si="5"/>
        <v>842143.58</v>
      </c>
      <c r="F39" s="2">
        <f t="shared" si="6"/>
        <v>67371486.279999852</v>
      </c>
      <c r="G39" s="2">
        <f t="shared" si="7"/>
        <v>33894953.85999985</v>
      </c>
      <c r="H39" s="14"/>
      <c r="I39" s="16"/>
    </row>
    <row r="40" spans="1:9" x14ac:dyDescent="0.25">
      <c r="A40" s="31">
        <v>44048</v>
      </c>
      <c r="B40" s="1">
        <f t="shared" si="3"/>
        <v>30</v>
      </c>
      <c r="C40" s="4">
        <f t="shared" si="4"/>
        <v>34318676</v>
      </c>
      <c r="D40" s="2">
        <f>C40-E40</f>
        <v>33894953.85999985</v>
      </c>
      <c r="E40" s="19">
        <v>423722.1400001478</v>
      </c>
      <c r="F40" s="2">
        <f t="shared" si="6"/>
        <v>33894953.85999985</v>
      </c>
      <c r="G40" s="2">
        <f t="shared" si="7"/>
        <v>0</v>
      </c>
      <c r="H40" s="14"/>
      <c r="I40" s="16"/>
    </row>
    <row r="41" spans="1:9" x14ac:dyDescent="0.25">
      <c r="A41" s="31">
        <v>44048</v>
      </c>
      <c r="B41" s="1">
        <f>DAYS360(A39,A40)</f>
        <v>30</v>
      </c>
      <c r="C41" s="4">
        <f t="shared" ref="C41" si="8">$F$1</f>
        <v>28709308</v>
      </c>
      <c r="D41" s="2">
        <f t="shared" si="0"/>
        <v>28294953.85999985</v>
      </c>
      <c r="E41" s="19">
        <v>414354.14000014978</v>
      </c>
      <c r="F41" s="2">
        <f>G39-J1</f>
        <v>28294953.85999985</v>
      </c>
      <c r="G41" s="2">
        <f t="shared" si="7"/>
        <v>0</v>
      </c>
      <c r="H41" s="14"/>
      <c r="I41" s="16"/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EB7692-1478-4521-849D-9AD629774BF8}">
  <dimension ref="A1:J244"/>
  <sheetViews>
    <sheetView zoomScale="96" zoomScaleNormal="100" workbookViewId="0">
      <pane ySplit="3" topLeftCell="A38" activePane="bottomLeft" state="frozen"/>
      <selection activeCell="A41" sqref="A41"/>
      <selection pane="bottomLeft" activeCell="A4" sqref="A4:H40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20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ROUNDUP(13176689.9488057,0)</f>
        <v>13176690</v>
      </c>
      <c r="E1" s="25" t="s">
        <v>51</v>
      </c>
      <c r="F1" s="24">
        <f>ROUNDUP(13102364.1535917,0)</f>
        <v>13102365</v>
      </c>
      <c r="G1" s="28" t="s">
        <v>52</v>
      </c>
      <c r="H1" s="26">
        <v>42160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36">
        <v>41856</v>
      </c>
      <c r="B4" s="1">
        <f>_xlfn.DAYS(A4,B1)</f>
        <v>3</v>
      </c>
      <c r="C4" s="10" t="s">
        <v>28</v>
      </c>
      <c r="D4" s="3" t="s">
        <v>15</v>
      </c>
      <c r="E4" s="19">
        <f>ROUNDUP(F4*$B$2*B4/365,0)</f>
        <v>1232877</v>
      </c>
      <c r="F4" s="23">
        <v>999999999</v>
      </c>
      <c r="G4" s="2">
        <f>F4-D4</f>
        <v>999999999</v>
      </c>
      <c r="H4" s="14">
        <f>F4*$B$2*B4/365</f>
        <v>1232876.7110958903</v>
      </c>
      <c r="I4" s="16">
        <f>H4-E4</f>
        <v>-0.2889041097369045</v>
      </c>
    </row>
    <row r="5" spans="1:10" x14ac:dyDescent="0.25">
      <c r="A5" s="36">
        <v>41887</v>
      </c>
      <c r="B5" s="1">
        <f>_xlfn.DAYS(A5,A4)</f>
        <v>31</v>
      </c>
      <c r="C5" s="4">
        <f>$D$1</f>
        <v>13176690</v>
      </c>
      <c r="D5" s="2">
        <f t="shared" ref="D5:D41" si="0">C5-E5</f>
        <v>436963.99000000022</v>
      </c>
      <c r="E5" s="19">
        <f>ROUND(F5*$B$2*B5/365,2)</f>
        <v>12739726.01</v>
      </c>
      <c r="F5" s="2">
        <f>G4</f>
        <v>999999999</v>
      </c>
      <c r="G5" s="2">
        <f>F5-D5</f>
        <v>999563035.00999999</v>
      </c>
      <c r="H5" s="14">
        <f t="shared" ref="H5:H33" si="1">F5*$B$2*B5/365</f>
        <v>12739726.014657533</v>
      </c>
      <c r="I5" s="16">
        <f t="shared" ref="I5:I33" si="2">H5-E5</f>
        <v>4.6575330197811127E-3</v>
      </c>
    </row>
    <row r="6" spans="1:10" x14ac:dyDescent="0.25">
      <c r="A6" s="36">
        <v>41917</v>
      </c>
      <c r="B6" s="1">
        <f t="shared" ref="B6:B69" si="3">_xlfn.DAYS(A6,A5)</f>
        <v>30</v>
      </c>
      <c r="C6" s="4">
        <f t="shared" ref="C6:C40" si="4">$D$1</f>
        <v>13176690</v>
      </c>
      <c r="D6" s="2">
        <f t="shared" si="0"/>
        <v>853310.11999999918</v>
      </c>
      <c r="E6" s="19">
        <f t="shared" ref="E6:E69" si="5">ROUND(F6*$B$2*B6/365,2)</f>
        <v>12323379.880000001</v>
      </c>
      <c r="F6" s="2">
        <f t="shared" ref="F6:F40" si="6">G5</f>
        <v>999563035.00999999</v>
      </c>
      <c r="G6" s="2">
        <f t="shared" ref="G6:G41" si="7">F6-D6</f>
        <v>998709724.88999999</v>
      </c>
      <c r="H6" s="14">
        <f t="shared" si="1"/>
        <v>12323379.883684929</v>
      </c>
      <c r="I6" s="16">
        <f t="shared" si="2"/>
        <v>3.6849286407232285E-3</v>
      </c>
    </row>
    <row r="7" spans="1:10" x14ac:dyDescent="0.25">
      <c r="A7" s="36">
        <v>41948</v>
      </c>
      <c r="B7" s="1">
        <f t="shared" si="3"/>
        <v>31</v>
      </c>
      <c r="C7" s="4">
        <f t="shared" si="4"/>
        <v>13176690</v>
      </c>
      <c r="D7" s="2">
        <f t="shared" si="0"/>
        <v>453401.72000000067</v>
      </c>
      <c r="E7" s="19">
        <f t="shared" si="5"/>
        <v>12723288.279999999</v>
      </c>
      <c r="F7" s="2">
        <f t="shared" si="6"/>
        <v>998709724.88999999</v>
      </c>
      <c r="G7" s="2">
        <f t="shared" si="7"/>
        <v>998256323.16999996</v>
      </c>
      <c r="H7" s="14">
        <f t="shared" si="1"/>
        <v>12723288.275995892</v>
      </c>
      <c r="I7" s="16">
        <f t="shared" si="2"/>
        <v>-4.0041077882051468E-3</v>
      </c>
    </row>
    <row r="8" spans="1:10" x14ac:dyDescent="0.25">
      <c r="A8" s="36">
        <v>41978</v>
      </c>
      <c r="B8" s="1">
        <f t="shared" si="3"/>
        <v>30</v>
      </c>
      <c r="C8" s="4">
        <f t="shared" si="4"/>
        <v>13176690</v>
      </c>
      <c r="D8" s="2">
        <f t="shared" si="0"/>
        <v>869420.25999999978</v>
      </c>
      <c r="E8" s="19">
        <f t="shared" si="5"/>
        <v>12307269.74</v>
      </c>
      <c r="F8" s="2">
        <f t="shared" si="6"/>
        <v>998256323.16999996</v>
      </c>
      <c r="G8" s="2">
        <f t="shared" si="7"/>
        <v>997386902.90999997</v>
      </c>
      <c r="H8" s="14">
        <f t="shared" si="1"/>
        <v>12307269.737712327</v>
      </c>
      <c r="I8" s="16">
        <f t="shared" si="2"/>
        <v>-2.287672832608223E-3</v>
      </c>
    </row>
    <row r="9" spans="1:10" x14ac:dyDescent="0.25">
      <c r="A9" s="36">
        <v>42009</v>
      </c>
      <c r="B9" s="1">
        <f t="shared" si="3"/>
        <v>31</v>
      </c>
      <c r="C9" s="4">
        <f t="shared" si="4"/>
        <v>13176690</v>
      </c>
      <c r="D9" s="2">
        <f t="shared" si="0"/>
        <v>470254.1099999994</v>
      </c>
      <c r="E9" s="19">
        <f t="shared" si="5"/>
        <v>12706435.890000001</v>
      </c>
      <c r="F9" s="2">
        <f t="shared" si="6"/>
        <v>997386902.90999997</v>
      </c>
      <c r="G9" s="2">
        <f t="shared" si="7"/>
        <v>996916648.79999995</v>
      </c>
      <c r="H9" s="14">
        <f t="shared" si="1"/>
        <v>12706435.88638767</v>
      </c>
      <c r="I9" s="16">
        <f t="shared" si="2"/>
        <v>-3.6123301833868027E-3</v>
      </c>
    </row>
    <row r="10" spans="1:10" x14ac:dyDescent="0.25">
      <c r="A10" s="36">
        <v>42040</v>
      </c>
      <c r="B10" s="1">
        <f t="shared" si="3"/>
        <v>31</v>
      </c>
      <c r="C10" s="4">
        <f t="shared" si="4"/>
        <v>13176690</v>
      </c>
      <c r="D10" s="2">
        <f t="shared" si="0"/>
        <v>476245.01999999955</v>
      </c>
      <c r="E10" s="19">
        <f t="shared" si="5"/>
        <v>12700444.98</v>
      </c>
      <c r="F10" s="2">
        <f t="shared" si="6"/>
        <v>996916648.79999995</v>
      </c>
      <c r="G10" s="2">
        <f t="shared" si="7"/>
        <v>996440403.77999997</v>
      </c>
      <c r="H10" s="14">
        <f t="shared" si="1"/>
        <v>12700444.977863014</v>
      </c>
      <c r="I10" s="16">
        <f t="shared" si="2"/>
        <v>-2.1369867026805878E-3</v>
      </c>
    </row>
    <row r="11" spans="1:10" x14ac:dyDescent="0.25">
      <c r="A11" s="36">
        <v>42068</v>
      </c>
      <c r="B11" s="1">
        <f t="shared" si="3"/>
        <v>28</v>
      </c>
      <c r="C11" s="4">
        <f t="shared" si="4"/>
        <v>13176690</v>
      </c>
      <c r="D11" s="2">
        <f t="shared" si="0"/>
        <v>1710800.42</v>
      </c>
      <c r="E11" s="19">
        <f t="shared" si="5"/>
        <v>11465889.58</v>
      </c>
      <c r="F11" s="2">
        <f t="shared" si="6"/>
        <v>996440403.77999997</v>
      </c>
      <c r="G11" s="2">
        <f t="shared" si="7"/>
        <v>994729603.36000001</v>
      </c>
      <c r="H11" s="14">
        <f t="shared" si="1"/>
        <v>11465889.577742465</v>
      </c>
      <c r="I11" s="16">
        <f t="shared" si="2"/>
        <v>-2.2575352340936661E-3</v>
      </c>
    </row>
    <row r="12" spans="1:10" x14ac:dyDescent="0.25">
      <c r="A12" s="36">
        <v>42099</v>
      </c>
      <c r="B12" s="1">
        <f t="shared" si="3"/>
        <v>31</v>
      </c>
      <c r="C12" s="4">
        <f t="shared" si="4"/>
        <v>13176690</v>
      </c>
      <c r="D12" s="2">
        <f t="shared" si="0"/>
        <v>504107.38000000082</v>
      </c>
      <c r="E12" s="19">
        <f t="shared" si="5"/>
        <v>12672582.619999999</v>
      </c>
      <c r="F12" s="2">
        <f t="shared" si="6"/>
        <v>994729603.36000001</v>
      </c>
      <c r="G12" s="2">
        <f t="shared" si="7"/>
        <v>994225495.98000002</v>
      </c>
      <c r="H12" s="14">
        <f t="shared" si="1"/>
        <v>12672582.618147947</v>
      </c>
      <c r="I12" s="16">
        <f t="shared" si="2"/>
        <v>-1.8520522862672806E-3</v>
      </c>
    </row>
    <row r="13" spans="1:10" x14ac:dyDescent="0.25">
      <c r="A13" s="36">
        <v>42129</v>
      </c>
      <c r="B13" s="1">
        <f t="shared" si="3"/>
        <v>30</v>
      </c>
      <c r="C13" s="4">
        <f t="shared" si="4"/>
        <v>13176690</v>
      </c>
      <c r="D13" s="2">
        <f t="shared" si="0"/>
        <v>919115.3900000006</v>
      </c>
      <c r="E13" s="19">
        <f t="shared" si="5"/>
        <v>12257574.609999999</v>
      </c>
      <c r="F13" s="2">
        <f t="shared" si="6"/>
        <v>994225495.98000002</v>
      </c>
      <c r="G13" s="2">
        <f t="shared" si="7"/>
        <v>993306380.59000003</v>
      </c>
      <c r="H13" s="14">
        <f t="shared" si="1"/>
        <v>12257574.607972601</v>
      </c>
      <c r="I13" s="16">
        <f t="shared" si="2"/>
        <v>-2.0273979753255844E-3</v>
      </c>
    </row>
    <row r="14" spans="1:10" x14ac:dyDescent="0.25">
      <c r="A14" s="36">
        <v>42160</v>
      </c>
      <c r="B14" s="1">
        <f t="shared" si="3"/>
        <v>31</v>
      </c>
      <c r="C14" s="4">
        <f t="shared" si="4"/>
        <v>13176690</v>
      </c>
      <c r="D14" s="2">
        <f t="shared" si="0"/>
        <v>522238.84999999963</v>
      </c>
      <c r="E14" s="19">
        <f t="shared" si="5"/>
        <v>12654451.15</v>
      </c>
      <c r="F14" s="2">
        <f t="shared" si="6"/>
        <v>993306380.59000003</v>
      </c>
      <c r="G14" s="2">
        <f t="shared" si="7"/>
        <v>992784141.74000001</v>
      </c>
      <c r="H14" s="14">
        <f t="shared" si="1"/>
        <v>12654451.149982192</v>
      </c>
      <c r="I14" s="16">
        <f t="shared" si="2"/>
        <v>-1.780875027179718E-5</v>
      </c>
    </row>
    <row r="15" spans="1:10" x14ac:dyDescent="0.25">
      <c r="A15" s="36">
        <v>42190</v>
      </c>
      <c r="B15" s="1">
        <f t="shared" si="3"/>
        <v>30</v>
      </c>
      <c r="C15" s="4">
        <f t="shared" si="4"/>
        <v>13176690</v>
      </c>
      <c r="D15" s="2">
        <f t="shared" si="0"/>
        <v>936885.50999999978</v>
      </c>
      <c r="E15" s="19">
        <f t="shared" si="5"/>
        <v>12239804.49</v>
      </c>
      <c r="F15" s="2">
        <f t="shared" si="6"/>
        <v>992784141.74000001</v>
      </c>
      <c r="G15" s="2">
        <f t="shared" si="7"/>
        <v>991847256.23000002</v>
      </c>
      <c r="H15" s="14">
        <f t="shared" si="1"/>
        <v>12239804.487205479</v>
      </c>
      <c r="I15" s="16">
        <f t="shared" si="2"/>
        <v>-2.7945209294557571E-3</v>
      </c>
    </row>
    <row r="16" spans="1:10" x14ac:dyDescent="0.25">
      <c r="A16" s="36">
        <v>42221</v>
      </c>
      <c r="B16" s="1">
        <f t="shared" si="3"/>
        <v>31</v>
      </c>
      <c r="C16" s="4">
        <f t="shared" si="4"/>
        <v>13176690</v>
      </c>
      <c r="D16" s="2">
        <f t="shared" si="0"/>
        <v>540827.68999999948</v>
      </c>
      <c r="E16" s="19">
        <f t="shared" si="5"/>
        <v>12635862.310000001</v>
      </c>
      <c r="F16" s="2">
        <f t="shared" si="6"/>
        <v>991847256.23000002</v>
      </c>
      <c r="G16" s="2">
        <f t="shared" si="7"/>
        <v>991306428.53999996</v>
      </c>
      <c r="H16" s="14">
        <f t="shared" si="1"/>
        <v>12635862.305395892</v>
      </c>
      <c r="I16" s="16">
        <f t="shared" si="2"/>
        <v>-4.6041086316108704E-3</v>
      </c>
    </row>
    <row r="17" spans="1:9" x14ac:dyDescent="0.25">
      <c r="A17" s="36">
        <v>42252</v>
      </c>
      <c r="B17" s="1">
        <f t="shared" si="3"/>
        <v>31</v>
      </c>
      <c r="C17" s="4">
        <f t="shared" si="4"/>
        <v>13176690</v>
      </c>
      <c r="D17" s="2">
        <f t="shared" si="0"/>
        <v>547717.68999999948</v>
      </c>
      <c r="E17" s="19">
        <f t="shared" si="5"/>
        <v>12628972.310000001</v>
      </c>
      <c r="F17" s="2">
        <f t="shared" si="6"/>
        <v>991306428.53999996</v>
      </c>
      <c r="G17" s="2">
        <f t="shared" si="7"/>
        <v>990758710.8499999</v>
      </c>
      <c r="H17" s="14">
        <f t="shared" si="1"/>
        <v>12628972.308797259</v>
      </c>
      <c r="I17" s="16">
        <f t="shared" si="2"/>
        <v>-1.2027416378259659E-3</v>
      </c>
    </row>
    <row r="18" spans="1:9" x14ac:dyDescent="0.25">
      <c r="A18" s="36">
        <v>42282</v>
      </c>
      <c r="B18" s="1">
        <f t="shared" si="3"/>
        <v>30</v>
      </c>
      <c r="C18" s="4">
        <f t="shared" si="4"/>
        <v>13176690</v>
      </c>
      <c r="D18" s="2">
        <f t="shared" si="0"/>
        <v>961856.58000000007</v>
      </c>
      <c r="E18" s="19">
        <f t="shared" si="5"/>
        <v>12214833.42</v>
      </c>
      <c r="F18" s="2">
        <f t="shared" si="6"/>
        <v>990758710.8499999</v>
      </c>
      <c r="G18" s="2">
        <f t="shared" si="7"/>
        <v>989796854.26999986</v>
      </c>
      <c r="H18" s="14">
        <f t="shared" si="1"/>
        <v>12214833.421438353</v>
      </c>
      <c r="I18" s="16">
        <f t="shared" si="2"/>
        <v>1.4383532106876373E-3</v>
      </c>
    </row>
    <row r="19" spans="1:9" x14ac:dyDescent="0.25">
      <c r="A19" s="36">
        <v>42313</v>
      </c>
      <c r="B19" s="1">
        <f t="shared" si="3"/>
        <v>31</v>
      </c>
      <c r="C19" s="4">
        <f t="shared" si="4"/>
        <v>13176690</v>
      </c>
      <c r="D19" s="2">
        <f t="shared" si="0"/>
        <v>566949.25</v>
      </c>
      <c r="E19" s="19">
        <f t="shared" si="5"/>
        <v>12609740.75</v>
      </c>
      <c r="F19" s="2">
        <f t="shared" si="6"/>
        <v>989796854.26999986</v>
      </c>
      <c r="G19" s="2">
        <f t="shared" si="7"/>
        <v>989229905.01999986</v>
      </c>
      <c r="H19" s="14">
        <f t="shared" si="1"/>
        <v>12609740.74617945</v>
      </c>
      <c r="I19" s="16">
        <f t="shared" si="2"/>
        <v>-3.8205496966838837E-3</v>
      </c>
    </row>
    <row r="20" spans="1:9" x14ac:dyDescent="0.25">
      <c r="A20" s="36">
        <v>42343</v>
      </c>
      <c r="B20" s="1">
        <f t="shared" si="3"/>
        <v>30</v>
      </c>
      <c r="C20" s="4">
        <f t="shared" si="4"/>
        <v>13176690</v>
      </c>
      <c r="D20" s="2">
        <f t="shared" si="0"/>
        <v>980704.86999999918</v>
      </c>
      <c r="E20" s="19">
        <f t="shared" si="5"/>
        <v>12195985.130000001</v>
      </c>
      <c r="F20" s="2">
        <f t="shared" si="6"/>
        <v>989229905.01999986</v>
      </c>
      <c r="G20" s="2">
        <f t="shared" si="7"/>
        <v>988249200.14999986</v>
      </c>
      <c r="H20" s="14">
        <f t="shared" si="1"/>
        <v>12195985.130383559</v>
      </c>
      <c r="I20" s="16">
        <f t="shared" si="2"/>
        <v>3.835577517747879E-4</v>
      </c>
    </row>
    <row r="21" spans="1:9" x14ac:dyDescent="0.25">
      <c r="A21" s="36">
        <v>42374</v>
      </c>
      <c r="B21" s="1">
        <f t="shared" si="3"/>
        <v>31</v>
      </c>
      <c r="C21" s="4">
        <f t="shared" si="4"/>
        <v>13176690</v>
      </c>
      <c r="D21" s="2">
        <f t="shared" si="0"/>
        <v>586665.93999999948</v>
      </c>
      <c r="E21" s="19">
        <f t="shared" si="5"/>
        <v>12590024.060000001</v>
      </c>
      <c r="F21" s="2">
        <f t="shared" si="6"/>
        <v>988249200.14999986</v>
      </c>
      <c r="G21" s="2">
        <f t="shared" si="7"/>
        <v>987662534.2099998</v>
      </c>
      <c r="H21" s="14">
        <f t="shared" si="1"/>
        <v>12590024.056705477</v>
      </c>
      <c r="I21" s="16">
        <f t="shared" si="2"/>
        <v>-3.2945238053798676E-3</v>
      </c>
    </row>
    <row r="22" spans="1:9" x14ac:dyDescent="0.25">
      <c r="A22" s="36">
        <v>42405</v>
      </c>
      <c r="B22" s="1">
        <f t="shared" si="3"/>
        <v>31</v>
      </c>
      <c r="C22" s="4">
        <f t="shared" si="4"/>
        <v>13176690</v>
      </c>
      <c r="D22" s="2">
        <f t="shared" si="0"/>
        <v>594139.91000000015</v>
      </c>
      <c r="E22" s="19">
        <f t="shared" si="5"/>
        <v>12582550.09</v>
      </c>
      <c r="F22" s="2">
        <f t="shared" si="6"/>
        <v>987662534.2099998</v>
      </c>
      <c r="G22" s="2">
        <f t="shared" si="7"/>
        <v>987068394.29999983</v>
      </c>
      <c r="H22" s="14">
        <f t="shared" si="1"/>
        <v>12582550.093360271</v>
      </c>
      <c r="I22" s="16">
        <f t="shared" si="2"/>
        <v>3.3602714538574219E-3</v>
      </c>
    </row>
    <row r="23" spans="1:9" x14ac:dyDescent="0.25">
      <c r="A23" s="36">
        <v>42434</v>
      </c>
      <c r="B23" s="1">
        <f t="shared" si="3"/>
        <v>29</v>
      </c>
      <c r="C23" s="4">
        <f t="shared" si="4"/>
        <v>13176690</v>
      </c>
      <c r="D23" s="2">
        <f t="shared" si="0"/>
        <v>1412998.1799999997</v>
      </c>
      <c r="E23" s="19">
        <f t="shared" si="5"/>
        <v>11763691.82</v>
      </c>
      <c r="F23" s="2">
        <f t="shared" si="6"/>
        <v>987068394.29999983</v>
      </c>
      <c r="G23" s="2">
        <f t="shared" si="7"/>
        <v>985655396.11999989</v>
      </c>
      <c r="H23" s="14">
        <f t="shared" si="1"/>
        <v>11763691.822479451</v>
      </c>
      <c r="I23" s="16">
        <f t="shared" si="2"/>
        <v>2.4794507771730423E-3</v>
      </c>
    </row>
    <row r="24" spans="1:9" x14ac:dyDescent="0.25">
      <c r="A24" s="36">
        <v>42465</v>
      </c>
      <c r="B24" s="1">
        <f t="shared" si="3"/>
        <v>31</v>
      </c>
      <c r="C24" s="4">
        <f t="shared" si="4"/>
        <v>13176690</v>
      </c>
      <c r="D24" s="2">
        <f t="shared" si="0"/>
        <v>619710.30000000075</v>
      </c>
      <c r="E24" s="19">
        <f t="shared" si="5"/>
        <v>12556979.699999999</v>
      </c>
      <c r="F24" s="2">
        <f t="shared" si="6"/>
        <v>985655396.11999989</v>
      </c>
      <c r="G24" s="2">
        <f t="shared" si="7"/>
        <v>985035685.81999993</v>
      </c>
      <c r="H24" s="14">
        <f t="shared" si="1"/>
        <v>12556979.703994518</v>
      </c>
      <c r="I24" s="16">
        <f t="shared" si="2"/>
        <v>3.9945188909769058E-3</v>
      </c>
    </row>
    <row r="25" spans="1:9" x14ac:dyDescent="0.25">
      <c r="A25" s="36">
        <v>42495</v>
      </c>
      <c r="B25" s="1">
        <f t="shared" si="3"/>
        <v>30</v>
      </c>
      <c r="C25" s="4">
        <f t="shared" si="4"/>
        <v>13176690</v>
      </c>
      <c r="D25" s="2">
        <f t="shared" si="0"/>
        <v>1032414.4199999999</v>
      </c>
      <c r="E25" s="19">
        <f t="shared" si="5"/>
        <v>12144275.58</v>
      </c>
      <c r="F25" s="2">
        <f t="shared" si="6"/>
        <v>985035685.81999993</v>
      </c>
      <c r="G25" s="2">
        <f t="shared" si="7"/>
        <v>984003271.39999998</v>
      </c>
      <c r="H25" s="14">
        <f t="shared" si="1"/>
        <v>12144275.578602739</v>
      </c>
      <c r="I25" s="16">
        <f t="shared" si="2"/>
        <v>-1.3972613960504532E-3</v>
      </c>
    </row>
    <row r="26" spans="1:9" x14ac:dyDescent="0.25">
      <c r="A26" s="36">
        <v>42526</v>
      </c>
      <c r="B26" s="1">
        <f t="shared" si="3"/>
        <v>31</v>
      </c>
      <c r="C26" s="4">
        <f t="shared" si="4"/>
        <v>13176690</v>
      </c>
      <c r="D26" s="2">
        <f t="shared" si="0"/>
        <v>640757.91000000015</v>
      </c>
      <c r="E26" s="19">
        <f t="shared" si="5"/>
        <v>12535932.09</v>
      </c>
      <c r="F26" s="2">
        <f t="shared" si="6"/>
        <v>984003271.39999998</v>
      </c>
      <c r="G26" s="2">
        <f t="shared" si="7"/>
        <v>983362513.49000001</v>
      </c>
      <c r="H26" s="14">
        <f t="shared" si="1"/>
        <v>12535932.087698627</v>
      </c>
      <c r="I26" s="16">
        <f t="shared" si="2"/>
        <v>-2.3013725876808167E-3</v>
      </c>
    </row>
    <row r="27" spans="1:9" x14ac:dyDescent="0.25">
      <c r="A27" s="36">
        <v>42556</v>
      </c>
      <c r="B27" s="1">
        <f t="shared" si="3"/>
        <v>30</v>
      </c>
      <c r="C27" s="4">
        <f t="shared" si="4"/>
        <v>13176690</v>
      </c>
      <c r="D27" s="2">
        <f t="shared" si="0"/>
        <v>1053042.5700000003</v>
      </c>
      <c r="E27" s="19">
        <f t="shared" si="5"/>
        <v>12123647.43</v>
      </c>
      <c r="F27" s="2">
        <f t="shared" si="6"/>
        <v>983362513.49000001</v>
      </c>
      <c r="G27" s="2">
        <f t="shared" si="7"/>
        <v>982309470.91999996</v>
      </c>
      <c r="H27" s="14">
        <f t="shared" si="1"/>
        <v>12123647.42658904</v>
      </c>
      <c r="I27" s="16">
        <f t="shared" si="2"/>
        <v>-3.4109596163034439E-3</v>
      </c>
    </row>
    <row r="28" spans="1:9" x14ac:dyDescent="0.25">
      <c r="A28" s="36">
        <v>42587</v>
      </c>
      <c r="B28" s="1">
        <f t="shared" si="3"/>
        <v>31</v>
      </c>
      <c r="C28" s="4">
        <f t="shared" si="4"/>
        <v>13176690</v>
      </c>
      <c r="D28" s="2">
        <f t="shared" si="0"/>
        <v>662336.47000000067</v>
      </c>
      <c r="E28" s="19">
        <f t="shared" si="5"/>
        <v>12514353.529999999</v>
      </c>
      <c r="F28" s="2">
        <f t="shared" si="6"/>
        <v>982309470.91999996</v>
      </c>
      <c r="G28" s="2">
        <f t="shared" si="7"/>
        <v>981647134.44999993</v>
      </c>
      <c r="H28" s="14">
        <f t="shared" si="1"/>
        <v>12514353.533638356</v>
      </c>
      <c r="I28" s="16">
        <f t="shared" si="2"/>
        <v>3.6383569240570068E-3</v>
      </c>
    </row>
    <row r="29" spans="1:9" x14ac:dyDescent="0.25">
      <c r="A29" s="36">
        <v>42618</v>
      </c>
      <c r="B29" s="1">
        <f t="shared" si="3"/>
        <v>31</v>
      </c>
      <c r="C29" s="4">
        <f t="shared" si="4"/>
        <v>13176690</v>
      </c>
      <c r="D29" s="2">
        <f t="shared" si="0"/>
        <v>670774.44999999925</v>
      </c>
      <c r="E29" s="19">
        <f t="shared" si="5"/>
        <v>12505915.550000001</v>
      </c>
      <c r="F29" s="2">
        <f t="shared" si="6"/>
        <v>981647134.44999993</v>
      </c>
      <c r="G29" s="2">
        <f t="shared" si="7"/>
        <v>980976359.99999988</v>
      </c>
      <c r="H29" s="14">
        <f t="shared" si="1"/>
        <v>12505915.548472604</v>
      </c>
      <c r="I29" s="16">
        <f t="shared" si="2"/>
        <v>-1.5273969620466232E-3</v>
      </c>
    </row>
    <row r="30" spans="1:9" x14ac:dyDescent="0.25">
      <c r="A30" s="36">
        <v>42648</v>
      </c>
      <c r="B30" s="1">
        <f t="shared" si="3"/>
        <v>30</v>
      </c>
      <c r="C30" s="4">
        <f t="shared" si="4"/>
        <v>13176690</v>
      </c>
      <c r="D30" s="2">
        <f t="shared" si="0"/>
        <v>1082460.9000000004</v>
      </c>
      <c r="E30" s="19">
        <f t="shared" si="5"/>
        <v>12094229.1</v>
      </c>
      <c r="F30" s="2">
        <f t="shared" si="6"/>
        <v>980976359.99999988</v>
      </c>
      <c r="G30" s="2">
        <f t="shared" si="7"/>
        <v>979893899.0999999</v>
      </c>
      <c r="H30" s="14">
        <f t="shared" si="1"/>
        <v>12094229.095890408</v>
      </c>
      <c r="I30" s="16">
        <f t="shared" si="2"/>
        <v>-4.1095912456512451E-3</v>
      </c>
    </row>
    <row r="31" spans="1:9" x14ac:dyDescent="0.25">
      <c r="A31" s="36">
        <v>42679</v>
      </c>
      <c r="B31" s="1">
        <f t="shared" si="3"/>
        <v>31</v>
      </c>
      <c r="C31" s="4">
        <f t="shared" si="4"/>
        <v>13176690</v>
      </c>
      <c r="D31" s="2">
        <f t="shared" si="0"/>
        <v>693110.18999999948</v>
      </c>
      <c r="E31" s="19">
        <f t="shared" si="5"/>
        <v>12483579.810000001</v>
      </c>
      <c r="F31" s="2">
        <f t="shared" si="6"/>
        <v>979893899.0999999</v>
      </c>
      <c r="G31" s="2">
        <f t="shared" si="7"/>
        <v>979200788.90999985</v>
      </c>
      <c r="H31" s="14">
        <f t="shared" si="1"/>
        <v>12483579.810452053</v>
      </c>
      <c r="I31" s="16">
        <f t="shared" si="2"/>
        <v>4.5205280184745789E-4</v>
      </c>
    </row>
    <row r="32" spans="1:9" x14ac:dyDescent="0.25">
      <c r="A32" s="36">
        <v>42709</v>
      </c>
      <c r="B32" s="1">
        <f t="shared" si="3"/>
        <v>30</v>
      </c>
      <c r="C32" s="4">
        <f t="shared" si="4"/>
        <v>13176690</v>
      </c>
      <c r="D32" s="2">
        <f t="shared" si="0"/>
        <v>1104351.5099999998</v>
      </c>
      <c r="E32" s="19">
        <f t="shared" si="5"/>
        <v>12072338.49</v>
      </c>
      <c r="F32" s="2">
        <f t="shared" si="6"/>
        <v>979200788.90999985</v>
      </c>
      <c r="G32" s="2">
        <f t="shared" si="7"/>
        <v>978096437.39999986</v>
      </c>
      <c r="H32" s="14">
        <f t="shared" si="1"/>
        <v>12072338.493410954</v>
      </c>
      <c r="I32" s="16">
        <f t="shared" si="2"/>
        <v>3.4109540283679962E-3</v>
      </c>
    </row>
    <row r="33" spans="1:9" x14ac:dyDescent="0.25">
      <c r="A33" s="36">
        <v>42740</v>
      </c>
      <c r="B33" s="1">
        <f t="shared" si="3"/>
        <v>31</v>
      </c>
      <c r="C33" s="4">
        <f t="shared" si="4"/>
        <v>13176690</v>
      </c>
      <c r="D33" s="2">
        <f t="shared" si="0"/>
        <v>716009.3599999994</v>
      </c>
      <c r="E33" s="19">
        <f t="shared" si="5"/>
        <v>12460680.640000001</v>
      </c>
      <c r="F33" s="2">
        <f t="shared" si="6"/>
        <v>978096437.39999986</v>
      </c>
      <c r="G33" s="2">
        <f t="shared" si="7"/>
        <v>977380428.03999984</v>
      </c>
      <c r="H33" s="14">
        <f t="shared" si="1"/>
        <v>12460680.640849315</v>
      </c>
      <c r="I33" s="16">
        <f t="shared" si="2"/>
        <v>8.4931403398513794E-4</v>
      </c>
    </row>
    <row r="34" spans="1:9" x14ac:dyDescent="0.25">
      <c r="A34" s="36">
        <v>42771</v>
      </c>
      <c r="B34" s="1">
        <f t="shared" si="3"/>
        <v>31</v>
      </c>
      <c r="C34" s="4">
        <f t="shared" si="4"/>
        <v>13176690</v>
      </c>
      <c r="D34" s="2">
        <f t="shared" si="0"/>
        <v>725131.11999999918</v>
      </c>
      <c r="E34" s="19">
        <f t="shared" si="5"/>
        <v>12451558.880000001</v>
      </c>
      <c r="F34" s="2">
        <f t="shared" si="6"/>
        <v>977380428.03999984</v>
      </c>
      <c r="G34" s="2">
        <f t="shared" si="7"/>
        <v>976655296.91999984</v>
      </c>
      <c r="H34" s="14"/>
      <c r="I34" s="16"/>
    </row>
    <row r="35" spans="1:9" x14ac:dyDescent="0.25">
      <c r="A35" s="36">
        <v>42799</v>
      </c>
      <c r="B35" s="1">
        <f t="shared" si="3"/>
        <v>28</v>
      </c>
      <c r="C35" s="4">
        <f t="shared" si="4"/>
        <v>13176690</v>
      </c>
      <c r="D35" s="2">
        <f t="shared" si="0"/>
        <v>1938464.67</v>
      </c>
      <c r="E35" s="19">
        <f t="shared" si="5"/>
        <v>11238225.33</v>
      </c>
      <c r="F35" s="2">
        <f t="shared" si="6"/>
        <v>976655296.91999984</v>
      </c>
      <c r="G35" s="2">
        <f t="shared" si="7"/>
        <v>974716832.24999988</v>
      </c>
      <c r="H35" s="14"/>
      <c r="I35" s="16"/>
    </row>
    <row r="36" spans="1:9" x14ac:dyDescent="0.25">
      <c r="A36" s="36">
        <v>42830</v>
      </c>
      <c r="B36" s="1">
        <f t="shared" si="3"/>
        <v>31</v>
      </c>
      <c r="C36" s="4">
        <f t="shared" si="4"/>
        <v>13176690</v>
      </c>
      <c r="D36" s="2">
        <f t="shared" si="0"/>
        <v>759064.59999999963</v>
      </c>
      <c r="E36" s="19">
        <f t="shared" si="5"/>
        <v>12417625.4</v>
      </c>
      <c r="F36" s="2">
        <f t="shared" si="6"/>
        <v>974716832.24999988</v>
      </c>
      <c r="G36" s="2">
        <f t="shared" si="7"/>
        <v>973957767.64999986</v>
      </c>
      <c r="H36" s="14"/>
      <c r="I36" s="16"/>
    </row>
    <row r="37" spans="1:9" x14ac:dyDescent="0.25">
      <c r="A37" s="36">
        <v>42860</v>
      </c>
      <c r="B37" s="1">
        <f t="shared" si="3"/>
        <v>30</v>
      </c>
      <c r="C37" s="4">
        <f t="shared" si="4"/>
        <v>13176690</v>
      </c>
      <c r="D37" s="2">
        <f t="shared" si="0"/>
        <v>1168991.4900000002</v>
      </c>
      <c r="E37" s="19">
        <f t="shared" si="5"/>
        <v>12007698.51</v>
      </c>
      <c r="F37" s="2">
        <f t="shared" si="6"/>
        <v>973957767.64999986</v>
      </c>
      <c r="G37" s="2">
        <f t="shared" si="7"/>
        <v>972788776.15999985</v>
      </c>
      <c r="H37" s="14"/>
      <c r="I37" s="16"/>
    </row>
    <row r="38" spans="1:9" x14ac:dyDescent="0.25">
      <c r="A38" s="36">
        <v>42891</v>
      </c>
      <c r="B38" s="1">
        <f t="shared" si="3"/>
        <v>31</v>
      </c>
      <c r="C38" s="4">
        <f t="shared" si="4"/>
        <v>13176690</v>
      </c>
      <c r="D38" s="2">
        <f t="shared" si="0"/>
        <v>783627.50999999978</v>
      </c>
      <c r="E38" s="19">
        <f t="shared" si="5"/>
        <v>12393062.49</v>
      </c>
      <c r="F38" s="2">
        <f t="shared" si="6"/>
        <v>972788776.15999985</v>
      </c>
      <c r="G38" s="2">
        <f t="shared" si="7"/>
        <v>972005148.64999986</v>
      </c>
      <c r="H38" s="14"/>
      <c r="I38" s="16"/>
    </row>
    <row r="39" spans="1:9" x14ac:dyDescent="0.25">
      <c r="A39" s="36">
        <v>42921</v>
      </c>
      <c r="B39" s="1">
        <f t="shared" si="3"/>
        <v>30</v>
      </c>
      <c r="C39" s="4">
        <f t="shared" si="4"/>
        <v>13176690</v>
      </c>
      <c r="D39" s="2">
        <f t="shared" si="0"/>
        <v>1193064.8800000008</v>
      </c>
      <c r="E39" s="19">
        <f t="shared" si="5"/>
        <v>11983625.119999999</v>
      </c>
      <c r="F39" s="2">
        <f t="shared" si="6"/>
        <v>972005148.64999986</v>
      </c>
      <c r="G39" s="2">
        <f t="shared" si="7"/>
        <v>970812083.76999986</v>
      </c>
      <c r="H39" s="14"/>
      <c r="I39" s="16"/>
    </row>
    <row r="40" spans="1:9" x14ac:dyDescent="0.25">
      <c r="A40" s="36">
        <v>42952</v>
      </c>
      <c r="B40" s="1">
        <f t="shared" si="3"/>
        <v>31</v>
      </c>
      <c r="C40" s="4">
        <f t="shared" si="4"/>
        <v>13176690</v>
      </c>
      <c r="D40" s="2">
        <f>C40-E40</f>
        <v>808810.02999999933</v>
      </c>
      <c r="E40" s="19">
        <f t="shared" si="5"/>
        <v>12367879.970000001</v>
      </c>
      <c r="F40" s="2">
        <f t="shared" si="6"/>
        <v>970812083.76999986</v>
      </c>
      <c r="G40" s="2">
        <f t="shared" si="7"/>
        <v>970003273.73999989</v>
      </c>
      <c r="H40" s="14"/>
      <c r="I40" s="16"/>
    </row>
    <row r="41" spans="1:9" x14ac:dyDescent="0.25">
      <c r="A41" s="36">
        <v>42983</v>
      </c>
      <c r="B41" s="1">
        <f t="shared" si="3"/>
        <v>31</v>
      </c>
      <c r="C41" s="4">
        <f t="shared" ref="C41:C104" si="8">$F$1</f>
        <v>13102365</v>
      </c>
      <c r="D41" s="2">
        <f t="shared" si="0"/>
        <v>805827.49000000022</v>
      </c>
      <c r="E41" s="19">
        <f t="shared" si="5"/>
        <v>12296537.51</v>
      </c>
      <c r="F41" s="2">
        <f>G39-J1</f>
        <v>965212083.76999986</v>
      </c>
      <c r="G41" s="2">
        <f t="shared" si="7"/>
        <v>964406256.27999985</v>
      </c>
      <c r="H41" s="14"/>
      <c r="I41" s="16"/>
    </row>
    <row r="42" spans="1:9" x14ac:dyDescent="0.25">
      <c r="A42" s="36">
        <v>43013</v>
      </c>
      <c r="B42" s="1">
        <f t="shared" si="3"/>
        <v>30</v>
      </c>
      <c r="C42" s="4">
        <f t="shared" si="8"/>
        <v>13102365</v>
      </c>
      <c r="D42" s="2">
        <f t="shared" ref="D42:D105" si="9">C42-E42</f>
        <v>1143420.5299999993</v>
      </c>
      <c r="E42" s="19">
        <f t="shared" si="5"/>
        <v>11958944.470000001</v>
      </c>
      <c r="F42" s="2">
        <f>G40-F2</f>
        <v>970003273.73999989</v>
      </c>
      <c r="G42" s="2">
        <f t="shared" ref="G42:G105" si="10">F42-D42</f>
        <v>968859853.20999992</v>
      </c>
    </row>
    <row r="43" spans="1:9" x14ac:dyDescent="0.25">
      <c r="A43" s="36">
        <v>43044</v>
      </c>
      <c r="B43" s="1">
        <f t="shared" si="3"/>
        <v>31</v>
      </c>
      <c r="C43" s="4">
        <f t="shared" si="8"/>
        <v>13102365</v>
      </c>
      <c r="D43" s="2">
        <f t="shared" si="9"/>
        <v>816093.51999999955</v>
      </c>
      <c r="E43" s="19">
        <f t="shared" si="5"/>
        <v>12286271.48</v>
      </c>
      <c r="F43" s="2">
        <f t="shared" ref="F43:F105" si="11">G41-J3</f>
        <v>964406256.27999985</v>
      </c>
      <c r="G43" s="2">
        <f t="shared" si="10"/>
        <v>963590162.75999987</v>
      </c>
    </row>
    <row r="44" spans="1:9" x14ac:dyDescent="0.25">
      <c r="A44" s="36">
        <v>43074</v>
      </c>
      <c r="B44" s="1">
        <f t="shared" si="3"/>
        <v>30</v>
      </c>
      <c r="C44" s="4">
        <f t="shared" si="8"/>
        <v>13102365</v>
      </c>
      <c r="D44" s="2">
        <f t="shared" si="9"/>
        <v>1157517.4900000002</v>
      </c>
      <c r="E44" s="19">
        <f t="shared" si="5"/>
        <v>11944847.51</v>
      </c>
      <c r="F44" s="2">
        <f t="shared" si="11"/>
        <v>968859853.20999992</v>
      </c>
      <c r="G44" s="2">
        <f t="shared" si="10"/>
        <v>967702335.71999991</v>
      </c>
    </row>
    <row r="45" spans="1:9" x14ac:dyDescent="0.25">
      <c r="A45" s="36">
        <v>43105</v>
      </c>
      <c r="B45" s="1">
        <f t="shared" si="3"/>
        <v>31</v>
      </c>
      <c r="C45" s="4">
        <f t="shared" si="8"/>
        <v>13102365</v>
      </c>
      <c r="D45" s="2">
        <f t="shared" si="9"/>
        <v>826490.3200000003</v>
      </c>
      <c r="E45" s="19">
        <f t="shared" si="5"/>
        <v>12275874.68</v>
      </c>
      <c r="F45" s="2">
        <f t="shared" si="11"/>
        <v>963590162.75999987</v>
      </c>
      <c r="G45" s="2">
        <f t="shared" si="10"/>
        <v>962763672.43999982</v>
      </c>
    </row>
    <row r="46" spans="1:9" x14ac:dyDescent="0.25">
      <c r="A46" s="36">
        <v>43136</v>
      </c>
      <c r="B46" s="1">
        <f t="shared" si="3"/>
        <v>31</v>
      </c>
      <c r="C46" s="4">
        <f t="shared" si="8"/>
        <v>13102365</v>
      </c>
      <c r="D46" s="2">
        <f t="shared" si="9"/>
        <v>774102.36999999918</v>
      </c>
      <c r="E46" s="19">
        <f t="shared" si="5"/>
        <v>12328262.630000001</v>
      </c>
      <c r="F46" s="2">
        <f t="shared" si="11"/>
        <v>967702335.71999991</v>
      </c>
      <c r="G46" s="2">
        <f t="shared" si="10"/>
        <v>966928233.3499999</v>
      </c>
    </row>
    <row r="47" spans="1:9" x14ac:dyDescent="0.25">
      <c r="A47" s="36">
        <v>43164</v>
      </c>
      <c r="B47" s="1">
        <f t="shared" si="3"/>
        <v>28</v>
      </c>
      <c r="C47" s="4">
        <f t="shared" si="8"/>
        <v>13102365</v>
      </c>
      <c r="D47" s="2">
        <f t="shared" si="9"/>
        <v>2023988.5</v>
      </c>
      <c r="E47" s="19">
        <f t="shared" si="5"/>
        <v>11078376.5</v>
      </c>
      <c r="F47" s="2">
        <f t="shared" si="11"/>
        <v>962763672.43999982</v>
      </c>
      <c r="G47" s="2">
        <f t="shared" si="10"/>
        <v>960739683.93999982</v>
      </c>
    </row>
    <row r="48" spans="1:9" x14ac:dyDescent="0.25">
      <c r="A48" s="36">
        <v>43195</v>
      </c>
      <c r="B48" s="1">
        <f t="shared" si="3"/>
        <v>31</v>
      </c>
      <c r="C48" s="4">
        <f t="shared" si="8"/>
        <v>13102365</v>
      </c>
      <c r="D48" s="2">
        <f t="shared" si="9"/>
        <v>783964.22000000067</v>
      </c>
      <c r="E48" s="19">
        <f t="shared" si="5"/>
        <v>12318400.779999999</v>
      </c>
      <c r="F48" s="2">
        <f t="shared" si="11"/>
        <v>966928233.3499999</v>
      </c>
      <c r="G48" s="2">
        <f t="shared" si="10"/>
        <v>966144269.12999988</v>
      </c>
    </row>
    <row r="49" spans="1:7" x14ac:dyDescent="0.25">
      <c r="A49" s="36">
        <v>43225</v>
      </c>
      <c r="B49" s="1">
        <f t="shared" si="3"/>
        <v>30</v>
      </c>
      <c r="C49" s="4">
        <f t="shared" si="8"/>
        <v>13102365</v>
      </c>
      <c r="D49" s="2">
        <f t="shared" si="9"/>
        <v>1257629.17</v>
      </c>
      <c r="E49" s="19">
        <f t="shared" si="5"/>
        <v>11844735.83</v>
      </c>
      <c r="F49" s="2">
        <f t="shared" si="11"/>
        <v>960739683.93999982</v>
      </c>
      <c r="G49" s="2">
        <f t="shared" si="10"/>
        <v>959482054.76999986</v>
      </c>
    </row>
    <row r="50" spans="1:7" x14ac:dyDescent="0.25">
      <c r="A50" s="36">
        <v>43256</v>
      </c>
      <c r="B50" s="1">
        <f t="shared" si="3"/>
        <v>31</v>
      </c>
      <c r="C50" s="4">
        <f t="shared" si="8"/>
        <v>13102365</v>
      </c>
      <c r="D50" s="2">
        <f t="shared" si="9"/>
        <v>793951.71000000089</v>
      </c>
      <c r="E50" s="19">
        <f t="shared" si="5"/>
        <v>12308413.289999999</v>
      </c>
      <c r="F50" s="2">
        <f t="shared" si="11"/>
        <v>966144269.12999988</v>
      </c>
      <c r="G50" s="2">
        <f t="shared" si="10"/>
        <v>965350317.41999984</v>
      </c>
    </row>
    <row r="51" spans="1:7" x14ac:dyDescent="0.25">
      <c r="A51" s="36">
        <v>43286</v>
      </c>
      <c r="B51" s="1">
        <f t="shared" si="3"/>
        <v>30</v>
      </c>
      <c r="C51" s="4">
        <f t="shared" si="8"/>
        <v>13102365</v>
      </c>
      <c r="D51" s="2">
        <f t="shared" si="9"/>
        <v>1273134.1899999995</v>
      </c>
      <c r="E51" s="19">
        <f t="shared" si="5"/>
        <v>11829230.810000001</v>
      </c>
      <c r="F51" s="2">
        <f t="shared" si="11"/>
        <v>959482054.76999986</v>
      </c>
      <c r="G51" s="2">
        <f t="shared" si="10"/>
        <v>958208920.5799998</v>
      </c>
    </row>
    <row r="52" spans="1:7" x14ac:dyDescent="0.25">
      <c r="A52" s="36">
        <v>43317</v>
      </c>
      <c r="B52" s="1">
        <f t="shared" si="3"/>
        <v>31</v>
      </c>
      <c r="C52" s="4">
        <f t="shared" si="8"/>
        <v>13102365</v>
      </c>
      <c r="D52" s="2">
        <f t="shared" si="9"/>
        <v>804066.43999999948</v>
      </c>
      <c r="E52" s="19">
        <f t="shared" si="5"/>
        <v>12298298.560000001</v>
      </c>
      <c r="F52" s="2">
        <f t="shared" si="11"/>
        <v>965350317.41999984</v>
      </c>
      <c r="G52" s="2">
        <f t="shared" si="10"/>
        <v>964546250.97999978</v>
      </c>
    </row>
    <row r="53" spans="1:7" x14ac:dyDescent="0.25">
      <c r="A53" s="36">
        <v>43348</v>
      </c>
      <c r="B53" s="1">
        <f t="shared" si="3"/>
        <v>31</v>
      </c>
      <c r="C53" s="4">
        <f t="shared" si="8"/>
        <v>13102365</v>
      </c>
      <c r="D53" s="2">
        <f t="shared" si="9"/>
        <v>895045.86999999918</v>
      </c>
      <c r="E53" s="19">
        <f t="shared" si="5"/>
        <v>12207319.130000001</v>
      </c>
      <c r="F53" s="2">
        <f t="shared" si="11"/>
        <v>958208920.5799998</v>
      </c>
      <c r="G53" s="2">
        <f t="shared" si="10"/>
        <v>957313874.7099998</v>
      </c>
    </row>
    <row r="54" spans="1:7" x14ac:dyDescent="0.25">
      <c r="A54" s="36">
        <v>43378</v>
      </c>
      <c r="B54" s="1">
        <f t="shared" si="3"/>
        <v>30</v>
      </c>
      <c r="C54" s="4">
        <f t="shared" si="8"/>
        <v>13102365</v>
      </c>
      <c r="D54" s="2">
        <f t="shared" si="9"/>
        <v>1210698.8900000006</v>
      </c>
      <c r="E54" s="19">
        <f t="shared" si="5"/>
        <v>11891666.109999999</v>
      </c>
      <c r="F54" s="2">
        <f t="shared" si="11"/>
        <v>964546250.97999978</v>
      </c>
      <c r="G54" s="2">
        <f t="shared" si="10"/>
        <v>963335552.08999979</v>
      </c>
    </row>
    <row r="55" spans="1:7" x14ac:dyDescent="0.25">
      <c r="A55" s="36">
        <v>43409</v>
      </c>
      <c r="B55" s="1">
        <f t="shared" si="3"/>
        <v>31</v>
      </c>
      <c r="C55" s="4">
        <f t="shared" si="8"/>
        <v>13102365</v>
      </c>
      <c r="D55" s="2">
        <f t="shared" si="9"/>
        <v>906448.50999999978</v>
      </c>
      <c r="E55" s="19">
        <f t="shared" si="5"/>
        <v>12195916.49</v>
      </c>
      <c r="F55" s="2">
        <f t="shared" si="11"/>
        <v>957313874.7099998</v>
      </c>
      <c r="G55" s="2">
        <f t="shared" si="10"/>
        <v>956407426.19999981</v>
      </c>
    </row>
    <row r="56" spans="1:7" x14ac:dyDescent="0.25">
      <c r="A56" s="36">
        <v>43439</v>
      </c>
      <c r="B56" s="1">
        <f t="shared" si="3"/>
        <v>30</v>
      </c>
      <c r="C56" s="4">
        <f t="shared" si="8"/>
        <v>13102365</v>
      </c>
      <c r="D56" s="2">
        <f t="shared" si="9"/>
        <v>1225625.3200000003</v>
      </c>
      <c r="E56" s="19">
        <f t="shared" si="5"/>
        <v>11876739.68</v>
      </c>
      <c r="F56" s="2">
        <f t="shared" si="11"/>
        <v>963335552.08999979</v>
      </c>
      <c r="G56" s="2">
        <f t="shared" si="10"/>
        <v>962109926.76999974</v>
      </c>
    </row>
    <row r="57" spans="1:7" x14ac:dyDescent="0.25">
      <c r="A57" s="36">
        <v>43470</v>
      </c>
      <c r="B57" s="1">
        <f t="shared" si="3"/>
        <v>31</v>
      </c>
      <c r="C57" s="4">
        <f t="shared" si="8"/>
        <v>13102365</v>
      </c>
      <c r="D57" s="2">
        <f t="shared" si="9"/>
        <v>917996.41999999993</v>
      </c>
      <c r="E57" s="19">
        <f t="shared" si="5"/>
        <v>12184368.58</v>
      </c>
      <c r="F57" s="2">
        <f t="shared" si="11"/>
        <v>956407426.19999981</v>
      </c>
      <c r="G57" s="2">
        <f t="shared" si="10"/>
        <v>955489429.77999985</v>
      </c>
    </row>
    <row r="58" spans="1:7" x14ac:dyDescent="0.25">
      <c r="A58" s="36">
        <v>43501</v>
      </c>
      <c r="B58" s="1">
        <f t="shared" si="3"/>
        <v>31</v>
      </c>
      <c r="C58" s="4">
        <f t="shared" si="8"/>
        <v>13102365</v>
      </c>
      <c r="D58" s="2">
        <f t="shared" si="9"/>
        <v>845348.11999999918</v>
      </c>
      <c r="E58" s="19">
        <f t="shared" si="5"/>
        <v>12257016.880000001</v>
      </c>
      <c r="F58" s="2">
        <f t="shared" si="11"/>
        <v>962109926.76999974</v>
      </c>
      <c r="G58" s="2">
        <f t="shared" si="10"/>
        <v>961264578.64999974</v>
      </c>
    </row>
    <row r="59" spans="1:7" x14ac:dyDescent="0.25">
      <c r="A59" s="36">
        <v>43529</v>
      </c>
      <c r="B59" s="1">
        <f t="shared" si="3"/>
        <v>28</v>
      </c>
      <c r="C59" s="4">
        <f t="shared" si="8"/>
        <v>13102365</v>
      </c>
      <c r="D59" s="2">
        <f t="shared" si="9"/>
        <v>2107692.1099999994</v>
      </c>
      <c r="E59" s="19">
        <f t="shared" si="5"/>
        <v>10994672.890000001</v>
      </c>
      <c r="F59" s="2">
        <f t="shared" si="11"/>
        <v>955489429.77999985</v>
      </c>
      <c r="G59" s="2">
        <f t="shared" si="10"/>
        <v>953381737.66999984</v>
      </c>
    </row>
    <row r="60" spans="1:7" x14ac:dyDescent="0.25">
      <c r="A60" s="36">
        <v>43560</v>
      </c>
      <c r="B60" s="1">
        <f t="shared" si="3"/>
        <v>31</v>
      </c>
      <c r="C60" s="4">
        <f t="shared" si="8"/>
        <v>13102365</v>
      </c>
      <c r="D60" s="2">
        <f t="shared" si="9"/>
        <v>856117.63000000082</v>
      </c>
      <c r="E60" s="19">
        <f t="shared" si="5"/>
        <v>12246247.369999999</v>
      </c>
      <c r="F60" s="2">
        <f t="shared" si="11"/>
        <v>961264578.64999974</v>
      </c>
      <c r="G60" s="2">
        <f t="shared" si="10"/>
        <v>960408461.01999974</v>
      </c>
    </row>
    <row r="61" spans="1:7" x14ac:dyDescent="0.25">
      <c r="A61" s="36">
        <v>43590</v>
      </c>
      <c r="B61" s="1">
        <f t="shared" si="3"/>
        <v>30</v>
      </c>
      <c r="C61" s="4">
        <f t="shared" si="8"/>
        <v>13102365</v>
      </c>
      <c r="D61" s="2">
        <f t="shared" si="9"/>
        <v>1348343.58</v>
      </c>
      <c r="E61" s="19">
        <f t="shared" si="5"/>
        <v>11754021.42</v>
      </c>
      <c r="F61" s="2">
        <f t="shared" si="11"/>
        <v>953381737.66999984</v>
      </c>
      <c r="G61" s="2">
        <f t="shared" si="10"/>
        <v>952033394.08999979</v>
      </c>
    </row>
    <row r="62" spans="1:7" x14ac:dyDescent="0.25">
      <c r="A62" s="36">
        <v>43621</v>
      </c>
      <c r="B62" s="1">
        <f t="shared" si="3"/>
        <v>31</v>
      </c>
      <c r="C62" s="4">
        <f t="shared" si="8"/>
        <v>13102365</v>
      </c>
      <c r="D62" s="2">
        <f t="shared" si="9"/>
        <v>867024.33000000007</v>
      </c>
      <c r="E62" s="19">
        <f t="shared" si="5"/>
        <v>12235340.67</v>
      </c>
      <c r="F62" s="2">
        <f t="shared" si="11"/>
        <v>960408461.01999974</v>
      </c>
      <c r="G62" s="2">
        <f t="shared" si="10"/>
        <v>959541436.6899997</v>
      </c>
    </row>
    <row r="63" spans="1:7" x14ac:dyDescent="0.25">
      <c r="A63" s="36">
        <v>43651</v>
      </c>
      <c r="B63" s="1">
        <f t="shared" si="3"/>
        <v>30</v>
      </c>
      <c r="C63" s="4">
        <f t="shared" si="8"/>
        <v>13102365</v>
      </c>
      <c r="D63" s="2">
        <f t="shared" si="9"/>
        <v>1364966.9900000002</v>
      </c>
      <c r="E63" s="19">
        <f t="shared" si="5"/>
        <v>11737398.01</v>
      </c>
      <c r="F63" s="2">
        <f t="shared" si="11"/>
        <v>952033394.08999979</v>
      </c>
      <c r="G63" s="2">
        <f t="shared" si="10"/>
        <v>950668427.09999979</v>
      </c>
    </row>
    <row r="64" spans="1:7" x14ac:dyDescent="0.25">
      <c r="A64" s="36">
        <v>43682</v>
      </c>
      <c r="B64" s="1">
        <f t="shared" si="3"/>
        <v>31</v>
      </c>
      <c r="C64" s="4">
        <f t="shared" si="8"/>
        <v>13102365</v>
      </c>
      <c r="D64" s="2">
        <f t="shared" si="9"/>
        <v>878069.98000000045</v>
      </c>
      <c r="E64" s="19">
        <f t="shared" si="5"/>
        <v>12224295.02</v>
      </c>
      <c r="F64" s="2">
        <f t="shared" si="11"/>
        <v>959541436.6899997</v>
      </c>
      <c r="G64" s="2">
        <f t="shared" si="10"/>
        <v>958663366.70999968</v>
      </c>
    </row>
    <row r="65" spans="1:7" x14ac:dyDescent="0.25">
      <c r="A65" s="36">
        <v>43713</v>
      </c>
      <c r="B65" s="1">
        <f t="shared" si="3"/>
        <v>31</v>
      </c>
      <c r="C65" s="4">
        <f t="shared" si="8"/>
        <v>13102365</v>
      </c>
      <c r="D65" s="2">
        <f t="shared" si="9"/>
        <v>991109.69999999925</v>
      </c>
      <c r="E65" s="19">
        <f t="shared" si="5"/>
        <v>12111255.300000001</v>
      </c>
      <c r="F65" s="2">
        <f t="shared" si="11"/>
        <v>950668427.09999979</v>
      </c>
      <c r="G65" s="2">
        <f t="shared" si="10"/>
        <v>949677317.39999974</v>
      </c>
    </row>
    <row r="66" spans="1:7" x14ac:dyDescent="0.25">
      <c r="A66" s="36">
        <v>43743</v>
      </c>
      <c r="B66" s="1">
        <f t="shared" si="3"/>
        <v>30</v>
      </c>
      <c r="C66" s="4">
        <f t="shared" si="8"/>
        <v>13102365</v>
      </c>
      <c r="D66" s="2">
        <f t="shared" si="9"/>
        <v>1283227.5999999996</v>
      </c>
      <c r="E66" s="19">
        <f t="shared" si="5"/>
        <v>11819137.4</v>
      </c>
      <c r="F66" s="2">
        <f t="shared" si="11"/>
        <v>958663366.70999968</v>
      </c>
      <c r="G66" s="2">
        <f t="shared" si="10"/>
        <v>957380139.10999966</v>
      </c>
    </row>
    <row r="67" spans="1:7" x14ac:dyDescent="0.25">
      <c r="A67" s="36">
        <v>43774</v>
      </c>
      <c r="B67" s="1">
        <f t="shared" si="3"/>
        <v>31</v>
      </c>
      <c r="C67" s="4">
        <f t="shared" si="8"/>
        <v>13102365</v>
      </c>
      <c r="D67" s="2">
        <f t="shared" si="9"/>
        <v>1003736.1600000001</v>
      </c>
      <c r="E67" s="19">
        <f t="shared" si="5"/>
        <v>12098628.84</v>
      </c>
      <c r="F67" s="2">
        <f t="shared" si="11"/>
        <v>949677317.39999974</v>
      </c>
      <c r="G67" s="2">
        <f t="shared" si="10"/>
        <v>948673581.23999977</v>
      </c>
    </row>
    <row r="68" spans="1:7" x14ac:dyDescent="0.25">
      <c r="A68" s="36">
        <v>43804</v>
      </c>
      <c r="B68" s="1">
        <f t="shared" si="3"/>
        <v>30</v>
      </c>
      <c r="C68" s="4">
        <f t="shared" si="8"/>
        <v>13102365</v>
      </c>
      <c r="D68" s="2">
        <f t="shared" si="9"/>
        <v>1299048.2200000007</v>
      </c>
      <c r="E68" s="19">
        <f t="shared" si="5"/>
        <v>11803316.779999999</v>
      </c>
      <c r="F68" s="2">
        <f t="shared" si="11"/>
        <v>957380139.10999966</v>
      </c>
      <c r="G68" s="2">
        <f t="shared" si="10"/>
        <v>956081090.88999963</v>
      </c>
    </row>
    <row r="69" spans="1:7" x14ac:dyDescent="0.25">
      <c r="A69" s="36">
        <v>43835</v>
      </c>
      <c r="B69" s="1">
        <f t="shared" si="3"/>
        <v>31</v>
      </c>
      <c r="C69" s="4">
        <f t="shared" si="8"/>
        <v>13102365</v>
      </c>
      <c r="D69" s="2">
        <f t="shared" si="9"/>
        <v>1016523.4900000002</v>
      </c>
      <c r="E69" s="19">
        <f t="shared" si="5"/>
        <v>12085841.51</v>
      </c>
      <c r="F69" s="2">
        <f t="shared" si="11"/>
        <v>948673581.23999977</v>
      </c>
      <c r="G69" s="2">
        <f t="shared" si="10"/>
        <v>947657057.74999976</v>
      </c>
    </row>
    <row r="70" spans="1:7" x14ac:dyDescent="0.25">
      <c r="A70" s="36">
        <v>43866</v>
      </c>
      <c r="B70" s="1">
        <f t="shared" ref="B70:B133" si="12">_xlfn.DAYS(A70,A69)</f>
        <v>31</v>
      </c>
      <c r="C70" s="4">
        <f t="shared" si="8"/>
        <v>13102365</v>
      </c>
      <c r="D70" s="2">
        <f t="shared" si="9"/>
        <v>922153.83999999985</v>
      </c>
      <c r="E70" s="19">
        <f t="shared" ref="E70:E133" si="13">ROUND(F70*$B$2*B70/365,2)</f>
        <v>12180211.16</v>
      </c>
      <c r="F70" s="2">
        <f t="shared" si="11"/>
        <v>956081090.88999963</v>
      </c>
      <c r="G70" s="2">
        <f t="shared" si="10"/>
        <v>955158937.04999959</v>
      </c>
    </row>
    <row r="71" spans="1:7" x14ac:dyDescent="0.25">
      <c r="A71" s="36">
        <v>43895</v>
      </c>
      <c r="B71" s="1">
        <f t="shared" si="12"/>
        <v>29</v>
      </c>
      <c r="C71" s="4">
        <f t="shared" si="8"/>
        <v>13102365</v>
      </c>
      <c r="D71" s="2">
        <f t="shared" si="9"/>
        <v>1808369.9299999997</v>
      </c>
      <c r="E71" s="19">
        <f t="shared" si="13"/>
        <v>11293995.07</v>
      </c>
      <c r="F71" s="2">
        <f t="shared" si="11"/>
        <v>947657057.74999976</v>
      </c>
      <c r="G71" s="2">
        <f t="shared" si="10"/>
        <v>945848687.81999981</v>
      </c>
    </row>
    <row r="72" spans="1:7" x14ac:dyDescent="0.25">
      <c r="A72" s="36">
        <v>43926</v>
      </c>
      <c r="B72" s="1">
        <f t="shared" si="12"/>
        <v>31</v>
      </c>
      <c r="C72" s="4">
        <f t="shared" si="8"/>
        <v>13102365</v>
      </c>
      <c r="D72" s="2">
        <f t="shared" si="9"/>
        <v>933901.83000000007</v>
      </c>
      <c r="E72" s="19">
        <f t="shared" si="13"/>
        <v>12168463.17</v>
      </c>
      <c r="F72" s="2">
        <f t="shared" si="11"/>
        <v>955158937.04999959</v>
      </c>
      <c r="G72" s="2">
        <f t="shared" si="10"/>
        <v>954225035.21999955</v>
      </c>
    </row>
    <row r="73" spans="1:7" x14ac:dyDescent="0.25">
      <c r="A73" s="36">
        <v>43956</v>
      </c>
      <c r="B73" s="1">
        <f t="shared" si="12"/>
        <v>30</v>
      </c>
      <c r="C73" s="4">
        <f t="shared" si="8"/>
        <v>13102365</v>
      </c>
      <c r="D73" s="2">
        <f t="shared" si="9"/>
        <v>1441216.7899999991</v>
      </c>
      <c r="E73" s="19">
        <f t="shared" si="13"/>
        <v>11661148.210000001</v>
      </c>
      <c r="F73" s="2">
        <f t="shared" si="11"/>
        <v>945848687.81999981</v>
      </c>
      <c r="G73" s="2">
        <f t="shared" si="10"/>
        <v>944407471.02999985</v>
      </c>
    </row>
    <row r="74" spans="1:7" x14ac:dyDescent="0.25">
      <c r="A74" s="36">
        <v>43987</v>
      </c>
      <c r="B74" s="1">
        <f t="shared" si="12"/>
        <v>31</v>
      </c>
      <c r="C74" s="4">
        <f t="shared" si="8"/>
        <v>13102365</v>
      </c>
      <c r="D74" s="2">
        <f t="shared" si="9"/>
        <v>945799.48000000045</v>
      </c>
      <c r="E74" s="19">
        <f t="shared" si="13"/>
        <v>12156565.52</v>
      </c>
      <c r="F74" s="2">
        <f t="shared" si="11"/>
        <v>954225035.21999955</v>
      </c>
      <c r="G74" s="2">
        <f t="shared" si="10"/>
        <v>953279235.73999953</v>
      </c>
    </row>
    <row r="75" spans="1:7" x14ac:dyDescent="0.25">
      <c r="A75" s="36">
        <v>44017</v>
      </c>
      <c r="B75" s="1">
        <f t="shared" si="12"/>
        <v>30</v>
      </c>
      <c r="C75" s="4">
        <f t="shared" si="8"/>
        <v>13102365</v>
      </c>
      <c r="D75" s="2">
        <f t="shared" si="9"/>
        <v>1458985.2200000007</v>
      </c>
      <c r="E75" s="19">
        <f t="shared" si="13"/>
        <v>11643379.779999999</v>
      </c>
      <c r="F75" s="2">
        <f t="shared" si="11"/>
        <v>944407471.02999985</v>
      </c>
      <c r="G75" s="2">
        <f t="shared" si="10"/>
        <v>942948485.80999982</v>
      </c>
    </row>
    <row r="76" spans="1:7" x14ac:dyDescent="0.25">
      <c r="A76" s="36">
        <v>44048</v>
      </c>
      <c r="B76" s="1">
        <f t="shared" si="12"/>
        <v>31</v>
      </c>
      <c r="C76" s="4">
        <f t="shared" si="8"/>
        <v>13102365</v>
      </c>
      <c r="D76" s="2">
        <f t="shared" si="9"/>
        <v>957848.71000000089</v>
      </c>
      <c r="E76" s="19">
        <f t="shared" si="13"/>
        <v>12144516.289999999</v>
      </c>
      <c r="F76" s="2">
        <f t="shared" si="11"/>
        <v>953279235.73999953</v>
      </c>
      <c r="G76" s="2">
        <f t="shared" si="10"/>
        <v>952321387.02999949</v>
      </c>
    </row>
    <row r="77" spans="1:7" x14ac:dyDescent="0.25">
      <c r="A77" s="36">
        <v>44079</v>
      </c>
      <c r="B77" s="1">
        <f t="shared" si="12"/>
        <v>31</v>
      </c>
      <c r="C77" s="4">
        <f t="shared" si="8"/>
        <v>13102365</v>
      </c>
      <c r="D77" s="2">
        <f t="shared" si="9"/>
        <v>1089459.6300000008</v>
      </c>
      <c r="E77" s="19">
        <f t="shared" si="13"/>
        <v>12012905.369999999</v>
      </c>
      <c r="F77" s="2">
        <f t="shared" si="11"/>
        <v>942948485.80999982</v>
      </c>
      <c r="G77" s="2">
        <f t="shared" si="10"/>
        <v>941859026.17999983</v>
      </c>
    </row>
    <row r="78" spans="1:7" x14ac:dyDescent="0.25">
      <c r="A78" s="36">
        <v>44109</v>
      </c>
      <c r="B78" s="1">
        <f t="shared" si="12"/>
        <v>30</v>
      </c>
      <c r="C78" s="4">
        <f t="shared" si="8"/>
        <v>13102365</v>
      </c>
      <c r="D78" s="2">
        <f t="shared" si="9"/>
        <v>1361416.3900000006</v>
      </c>
      <c r="E78" s="19">
        <f t="shared" si="13"/>
        <v>11740948.609999999</v>
      </c>
      <c r="F78" s="2">
        <f t="shared" si="11"/>
        <v>952321387.02999949</v>
      </c>
      <c r="G78" s="2">
        <f t="shared" si="10"/>
        <v>950959970.63999951</v>
      </c>
    </row>
    <row r="79" spans="1:7" x14ac:dyDescent="0.25">
      <c r="A79" s="36">
        <v>44140</v>
      </c>
      <c r="B79" s="1">
        <f t="shared" si="12"/>
        <v>31</v>
      </c>
      <c r="C79" s="4">
        <f t="shared" si="8"/>
        <v>13102365</v>
      </c>
      <c r="D79" s="2">
        <f t="shared" si="9"/>
        <v>1103339.0500000007</v>
      </c>
      <c r="E79" s="19">
        <f t="shared" si="13"/>
        <v>11999025.949999999</v>
      </c>
      <c r="F79" s="2">
        <f t="shared" si="11"/>
        <v>941859026.17999983</v>
      </c>
      <c r="G79" s="2">
        <f t="shared" si="10"/>
        <v>940755687.12999988</v>
      </c>
    </row>
    <row r="80" spans="1:7" x14ac:dyDescent="0.25">
      <c r="A80" s="36">
        <v>44170</v>
      </c>
      <c r="B80" s="1">
        <f t="shared" si="12"/>
        <v>30</v>
      </c>
      <c r="C80" s="4">
        <f t="shared" si="8"/>
        <v>13102365</v>
      </c>
      <c r="D80" s="2">
        <f t="shared" si="9"/>
        <v>1378200.9800000004</v>
      </c>
      <c r="E80" s="19">
        <f t="shared" si="13"/>
        <v>11724164.02</v>
      </c>
      <c r="F80" s="2">
        <f t="shared" si="11"/>
        <v>950959970.63999951</v>
      </c>
      <c r="G80" s="2">
        <f t="shared" si="10"/>
        <v>949581769.65999949</v>
      </c>
    </row>
    <row r="81" spans="1:7" x14ac:dyDescent="0.25">
      <c r="A81" s="36">
        <v>44201</v>
      </c>
      <c r="B81" s="1">
        <f t="shared" si="12"/>
        <v>31</v>
      </c>
      <c r="C81" s="4">
        <f t="shared" si="8"/>
        <v>13102365</v>
      </c>
      <c r="D81" s="2">
        <f t="shared" si="9"/>
        <v>1117395.2899999991</v>
      </c>
      <c r="E81" s="19">
        <f t="shared" si="13"/>
        <v>11984969.710000001</v>
      </c>
      <c r="F81" s="2">
        <f t="shared" si="11"/>
        <v>940755687.12999988</v>
      </c>
      <c r="G81" s="2">
        <f t="shared" si="10"/>
        <v>939638291.83999991</v>
      </c>
    </row>
    <row r="82" spans="1:7" x14ac:dyDescent="0.25">
      <c r="A82" s="36">
        <v>44232</v>
      </c>
      <c r="B82" s="1">
        <f t="shared" si="12"/>
        <v>31</v>
      </c>
      <c r="C82" s="4">
        <f t="shared" si="8"/>
        <v>13102365</v>
      </c>
      <c r="D82" s="2">
        <f t="shared" si="9"/>
        <v>1004953.4100000001</v>
      </c>
      <c r="E82" s="19">
        <f t="shared" si="13"/>
        <v>12097411.59</v>
      </c>
      <c r="F82" s="2">
        <f t="shared" si="11"/>
        <v>949581769.65999949</v>
      </c>
      <c r="G82" s="2">
        <f t="shared" si="10"/>
        <v>948576816.24999952</v>
      </c>
    </row>
    <row r="83" spans="1:7" x14ac:dyDescent="0.25">
      <c r="A83" s="36">
        <v>44260</v>
      </c>
      <c r="B83" s="1">
        <f t="shared" si="12"/>
        <v>28</v>
      </c>
      <c r="C83" s="4">
        <f t="shared" si="8"/>
        <v>13102365</v>
      </c>
      <c r="D83" s="2">
        <f t="shared" si="9"/>
        <v>2290088.7699999996</v>
      </c>
      <c r="E83" s="19">
        <f t="shared" si="13"/>
        <v>10812276.23</v>
      </c>
      <c r="F83" s="2">
        <f t="shared" si="11"/>
        <v>939638291.83999991</v>
      </c>
      <c r="G83" s="2">
        <f t="shared" si="10"/>
        <v>937348203.06999993</v>
      </c>
    </row>
    <row r="84" spans="1:7" x14ac:dyDescent="0.25">
      <c r="A84" s="36">
        <v>44291</v>
      </c>
      <c r="B84" s="1">
        <f t="shared" si="12"/>
        <v>31</v>
      </c>
      <c r="C84" s="4">
        <f t="shared" si="8"/>
        <v>13102365</v>
      </c>
      <c r="D84" s="2">
        <f t="shared" si="9"/>
        <v>1017756.25</v>
      </c>
      <c r="E84" s="19">
        <f t="shared" si="13"/>
        <v>12084608.75</v>
      </c>
      <c r="F84" s="2">
        <f t="shared" si="11"/>
        <v>948576816.24999952</v>
      </c>
      <c r="G84" s="2">
        <f t="shared" si="10"/>
        <v>947559059.99999952</v>
      </c>
    </row>
    <row r="85" spans="1:7" x14ac:dyDescent="0.25">
      <c r="A85" s="36">
        <v>44321</v>
      </c>
      <c r="B85" s="1">
        <f t="shared" si="12"/>
        <v>30</v>
      </c>
      <c r="C85" s="4">
        <f t="shared" si="8"/>
        <v>13102365</v>
      </c>
      <c r="D85" s="2">
        <f t="shared" si="9"/>
        <v>1546017.2899999991</v>
      </c>
      <c r="E85" s="19">
        <f t="shared" si="13"/>
        <v>11556347.710000001</v>
      </c>
      <c r="F85" s="2">
        <f t="shared" si="11"/>
        <v>937348203.06999993</v>
      </c>
      <c r="G85" s="2">
        <f t="shared" si="10"/>
        <v>935802185.77999997</v>
      </c>
    </row>
    <row r="86" spans="1:7" x14ac:dyDescent="0.25">
      <c r="A86" s="36">
        <v>44352</v>
      </c>
      <c r="B86" s="1">
        <f t="shared" si="12"/>
        <v>31</v>
      </c>
      <c r="C86" s="4">
        <f t="shared" si="8"/>
        <v>13102365</v>
      </c>
      <c r="D86" s="2">
        <f t="shared" si="9"/>
        <v>1030722.1799999997</v>
      </c>
      <c r="E86" s="19">
        <f t="shared" si="13"/>
        <v>12071642.82</v>
      </c>
      <c r="F86" s="2">
        <f t="shared" si="11"/>
        <v>947559059.99999952</v>
      </c>
      <c r="G86" s="2">
        <f t="shared" si="10"/>
        <v>946528337.81999958</v>
      </c>
    </row>
    <row r="87" spans="1:7" x14ac:dyDescent="0.25">
      <c r="A87" s="36">
        <v>44382</v>
      </c>
      <c r="B87" s="1">
        <f t="shared" si="12"/>
        <v>30</v>
      </c>
      <c r="C87" s="4">
        <f t="shared" si="8"/>
        <v>13102365</v>
      </c>
      <c r="D87" s="2">
        <f t="shared" si="9"/>
        <v>1565077.7799999993</v>
      </c>
      <c r="E87" s="19">
        <f t="shared" si="13"/>
        <v>11537287.220000001</v>
      </c>
      <c r="F87" s="2">
        <f t="shared" si="11"/>
        <v>935802185.77999997</v>
      </c>
      <c r="G87" s="2">
        <f t="shared" si="10"/>
        <v>934237108</v>
      </c>
    </row>
    <row r="88" spans="1:7" x14ac:dyDescent="0.25">
      <c r="A88" s="36">
        <v>44413</v>
      </c>
      <c r="B88" s="1">
        <f t="shared" si="12"/>
        <v>31</v>
      </c>
      <c r="C88" s="4">
        <f t="shared" si="8"/>
        <v>13102365</v>
      </c>
      <c r="D88" s="2">
        <f t="shared" si="9"/>
        <v>1043853.3000000007</v>
      </c>
      <c r="E88" s="19">
        <f t="shared" si="13"/>
        <v>12058511.699999999</v>
      </c>
      <c r="F88" s="2">
        <f t="shared" si="11"/>
        <v>946528337.81999958</v>
      </c>
      <c r="G88" s="2">
        <f t="shared" si="10"/>
        <v>945484484.51999962</v>
      </c>
    </row>
    <row r="89" spans="1:7" x14ac:dyDescent="0.25">
      <c r="A89" s="36">
        <v>44444</v>
      </c>
      <c r="B89" s="1">
        <f t="shared" si="12"/>
        <v>31</v>
      </c>
      <c r="C89" s="4">
        <f t="shared" si="8"/>
        <v>13102365</v>
      </c>
      <c r="D89" s="2">
        <f t="shared" si="9"/>
        <v>1200440.1999999993</v>
      </c>
      <c r="E89" s="19">
        <f t="shared" si="13"/>
        <v>11901924.800000001</v>
      </c>
      <c r="F89" s="2">
        <f t="shared" si="11"/>
        <v>934237108</v>
      </c>
      <c r="G89" s="2">
        <f t="shared" si="10"/>
        <v>933036667.79999995</v>
      </c>
    </row>
    <row r="90" spans="1:7" x14ac:dyDescent="0.25">
      <c r="A90" s="36">
        <v>44474</v>
      </c>
      <c r="B90" s="1">
        <f t="shared" si="12"/>
        <v>30</v>
      </c>
      <c r="C90" s="4">
        <f t="shared" si="8"/>
        <v>13102365</v>
      </c>
      <c r="D90" s="2">
        <f t="shared" si="9"/>
        <v>1445706.9700000007</v>
      </c>
      <c r="E90" s="19">
        <f t="shared" si="13"/>
        <v>11656658.029999999</v>
      </c>
      <c r="F90" s="2">
        <f t="shared" si="11"/>
        <v>945484484.51999962</v>
      </c>
      <c r="G90" s="2">
        <f t="shared" si="10"/>
        <v>944038777.54999959</v>
      </c>
    </row>
    <row r="91" spans="1:7" x14ac:dyDescent="0.25">
      <c r="A91" s="36">
        <v>44505</v>
      </c>
      <c r="B91" s="1">
        <f t="shared" si="12"/>
        <v>31</v>
      </c>
      <c r="C91" s="4">
        <f t="shared" si="8"/>
        <v>13102365</v>
      </c>
      <c r="D91" s="2">
        <f t="shared" si="9"/>
        <v>1215733.4800000004</v>
      </c>
      <c r="E91" s="19">
        <f t="shared" si="13"/>
        <v>11886631.52</v>
      </c>
      <c r="F91" s="2">
        <f t="shared" si="11"/>
        <v>933036667.79999995</v>
      </c>
      <c r="G91" s="2">
        <f t="shared" si="10"/>
        <v>931820934.31999993</v>
      </c>
    </row>
    <row r="92" spans="1:7" x14ac:dyDescent="0.25">
      <c r="A92" s="36">
        <v>44535</v>
      </c>
      <c r="B92" s="1">
        <f t="shared" si="12"/>
        <v>30</v>
      </c>
      <c r="C92" s="4">
        <f t="shared" si="8"/>
        <v>13102365</v>
      </c>
      <c r="D92" s="2">
        <f t="shared" si="9"/>
        <v>1463530.7599999998</v>
      </c>
      <c r="E92" s="19">
        <f t="shared" si="13"/>
        <v>11638834.24</v>
      </c>
      <c r="F92" s="2">
        <f t="shared" si="11"/>
        <v>944038777.54999959</v>
      </c>
      <c r="G92" s="2">
        <f t="shared" si="10"/>
        <v>942575246.7899996</v>
      </c>
    </row>
    <row r="93" spans="1:7" x14ac:dyDescent="0.25">
      <c r="A93" s="36">
        <v>44566</v>
      </c>
      <c r="B93" s="1">
        <f t="shared" si="12"/>
        <v>31</v>
      </c>
      <c r="C93" s="4">
        <f t="shared" si="8"/>
        <v>13102365</v>
      </c>
      <c r="D93" s="2">
        <f t="shared" si="9"/>
        <v>1231221.5899999999</v>
      </c>
      <c r="E93" s="19">
        <f t="shared" si="13"/>
        <v>11871143.41</v>
      </c>
      <c r="F93" s="2">
        <f t="shared" si="11"/>
        <v>931820934.31999993</v>
      </c>
      <c r="G93" s="2">
        <f t="shared" si="10"/>
        <v>930589712.7299999</v>
      </c>
    </row>
    <row r="94" spans="1:7" x14ac:dyDescent="0.25">
      <c r="A94" s="36">
        <v>44597</v>
      </c>
      <c r="B94" s="1">
        <f t="shared" si="12"/>
        <v>31</v>
      </c>
      <c r="C94" s="4">
        <f t="shared" si="8"/>
        <v>13102365</v>
      </c>
      <c r="D94" s="2">
        <f t="shared" si="9"/>
        <v>1094214.5999999996</v>
      </c>
      <c r="E94" s="19">
        <f t="shared" si="13"/>
        <v>12008150.4</v>
      </c>
      <c r="F94" s="2">
        <f t="shared" si="11"/>
        <v>942575246.7899996</v>
      </c>
      <c r="G94" s="2">
        <f t="shared" si="10"/>
        <v>941481032.18999958</v>
      </c>
    </row>
    <row r="95" spans="1:7" x14ac:dyDescent="0.25">
      <c r="A95" s="36">
        <v>44625</v>
      </c>
      <c r="B95" s="1">
        <f t="shared" si="12"/>
        <v>28</v>
      </c>
      <c r="C95" s="4">
        <f t="shared" si="8"/>
        <v>13102365</v>
      </c>
      <c r="D95" s="2">
        <f t="shared" si="9"/>
        <v>2394209.4000000004</v>
      </c>
      <c r="E95" s="19">
        <f t="shared" si="13"/>
        <v>10708155.6</v>
      </c>
      <c r="F95" s="2">
        <f t="shared" si="11"/>
        <v>930589712.7299999</v>
      </c>
      <c r="G95" s="2">
        <f t="shared" si="10"/>
        <v>928195503.32999992</v>
      </c>
    </row>
    <row r="96" spans="1:7" x14ac:dyDescent="0.25">
      <c r="A96" s="36">
        <v>44656</v>
      </c>
      <c r="B96" s="1">
        <f t="shared" si="12"/>
        <v>31</v>
      </c>
      <c r="C96" s="4">
        <f t="shared" si="8"/>
        <v>13102365</v>
      </c>
      <c r="D96" s="2">
        <f t="shared" si="9"/>
        <v>1108154.5899999999</v>
      </c>
      <c r="E96" s="19">
        <f t="shared" si="13"/>
        <v>11994210.41</v>
      </c>
      <c r="F96" s="2">
        <f t="shared" si="11"/>
        <v>941481032.18999958</v>
      </c>
      <c r="G96" s="2">
        <f t="shared" si="10"/>
        <v>940372877.59999955</v>
      </c>
    </row>
    <row r="97" spans="1:7" x14ac:dyDescent="0.25">
      <c r="A97" s="36">
        <v>44686</v>
      </c>
      <c r="B97" s="1">
        <f t="shared" si="12"/>
        <v>30</v>
      </c>
      <c r="C97" s="4">
        <f t="shared" si="8"/>
        <v>13102365</v>
      </c>
      <c r="D97" s="2">
        <f t="shared" si="9"/>
        <v>1658858.7899999991</v>
      </c>
      <c r="E97" s="19">
        <f t="shared" si="13"/>
        <v>11443506.210000001</v>
      </c>
      <c r="F97" s="2">
        <f t="shared" si="11"/>
        <v>928195503.32999992</v>
      </c>
      <c r="G97" s="2">
        <f t="shared" si="10"/>
        <v>926536644.53999996</v>
      </c>
    </row>
    <row r="98" spans="1:7" x14ac:dyDescent="0.25">
      <c r="A98" s="36">
        <v>44717</v>
      </c>
      <c r="B98" s="1">
        <f t="shared" si="12"/>
        <v>31</v>
      </c>
      <c r="C98" s="4">
        <f t="shared" si="8"/>
        <v>13102365</v>
      </c>
      <c r="D98" s="2">
        <f t="shared" si="9"/>
        <v>1122272.1799999997</v>
      </c>
      <c r="E98" s="19">
        <f t="shared" si="13"/>
        <v>11980092.82</v>
      </c>
      <c r="F98" s="2">
        <f t="shared" si="11"/>
        <v>940372877.59999955</v>
      </c>
      <c r="G98" s="2">
        <f t="shared" si="10"/>
        <v>939250605.4199996</v>
      </c>
    </row>
    <row r="99" spans="1:7" x14ac:dyDescent="0.25">
      <c r="A99" s="36">
        <v>44747</v>
      </c>
      <c r="B99" s="1">
        <f t="shared" si="12"/>
        <v>30</v>
      </c>
      <c r="C99" s="4">
        <f t="shared" si="8"/>
        <v>13102365</v>
      </c>
      <c r="D99" s="2">
        <f t="shared" si="9"/>
        <v>1679310.4800000004</v>
      </c>
      <c r="E99" s="19">
        <f t="shared" si="13"/>
        <v>11423054.52</v>
      </c>
      <c r="F99" s="2">
        <f t="shared" si="11"/>
        <v>926536644.53999996</v>
      </c>
      <c r="G99" s="2">
        <f t="shared" si="10"/>
        <v>924857334.05999994</v>
      </c>
    </row>
    <row r="100" spans="1:7" x14ac:dyDescent="0.25">
      <c r="A100" s="36">
        <v>44778</v>
      </c>
      <c r="B100" s="1">
        <f t="shared" si="12"/>
        <v>31</v>
      </c>
      <c r="C100" s="4">
        <f t="shared" si="8"/>
        <v>13102365</v>
      </c>
      <c r="D100" s="2">
        <f t="shared" si="9"/>
        <v>1136569.6199999992</v>
      </c>
      <c r="E100" s="19">
        <f t="shared" si="13"/>
        <v>11965795.380000001</v>
      </c>
      <c r="F100" s="2">
        <f t="shared" si="11"/>
        <v>939250605.4199996</v>
      </c>
      <c r="G100" s="2">
        <f t="shared" si="10"/>
        <v>938114035.79999959</v>
      </c>
    </row>
    <row r="101" spans="1:7" x14ac:dyDescent="0.25">
      <c r="A101" s="36">
        <v>44809</v>
      </c>
      <c r="B101" s="1">
        <f t="shared" si="12"/>
        <v>31</v>
      </c>
      <c r="C101" s="4">
        <f t="shared" si="8"/>
        <v>13102365</v>
      </c>
      <c r="D101" s="2">
        <f t="shared" si="9"/>
        <v>1319935.9499999993</v>
      </c>
      <c r="E101" s="19">
        <f t="shared" si="13"/>
        <v>11782429.050000001</v>
      </c>
      <c r="F101" s="2">
        <f t="shared" si="11"/>
        <v>924857334.05999994</v>
      </c>
      <c r="G101" s="2">
        <f t="shared" si="10"/>
        <v>923537398.1099999</v>
      </c>
    </row>
    <row r="102" spans="1:7" x14ac:dyDescent="0.25">
      <c r="A102" s="36">
        <v>44839</v>
      </c>
      <c r="B102" s="1">
        <f t="shared" si="12"/>
        <v>30</v>
      </c>
      <c r="C102" s="4">
        <f t="shared" si="8"/>
        <v>13102365</v>
      </c>
      <c r="D102" s="2">
        <f t="shared" si="9"/>
        <v>1536575.5199999996</v>
      </c>
      <c r="E102" s="19">
        <f t="shared" si="13"/>
        <v>11565789.48</v>
      </c>
      <c r="F102" s="2">
        <f t="shared" si="11"/>
        <v>938114035.79999959</v>
      </c>
      <c r="G102" s="2">
        <f t="shared" si="10"/>
        <v>936577460.27999961</v>
      </c>
    </row>
    <row r="103" spans="1:7" x14ac:dyDescent="0.25">
      <c r="A103" s="36">
        <v>44870</v>
      </c>
      <c r="B103" s="1">
        <f t="shared" si="12"/>
        <v>31</v>
      </c>
      <c r="C103" s="4">
        <f t="shared" si="8"/>
        <v>13102365</v>
      </c>
      <c r="D103" s="2">
        <f t="shared" si="9"/>
        <v>1336751.5700000003</v>
      </c>
      <c r="E103" s="19">
        <f t="shared" si="13"/>
        <v>11765613.43</v>
      </c>
      <c r="F103" s="2">
        <f t="shared" si="11"/>
        <v>923537398.1099999</v>
      </c>
      <c r="G103" s="2">
        <f t="shared" si="10"/>
        <v>922200646.53999984</v>
      </c>
    </row>
    <row r="104" spans="1:7" x14ac:dyDescent="0.25">
      <c r="A104" s="36">
        <v>44900</v>
      </c>
      <c r="B104" s="1">
        <f t="shared" si="12"/>
        <v>30</v>
      </c>
      <c r="C104" s="4">
        <f t="shared" si="8"/>
        <v>13102365</v>
      </c>
      <c r="D104" s="2">
        <f t="shared" si="9"/>
        <v>1555519.5999999996</v>
      </c>
      <c r="E104" s="19">
        <f t="shared" si="13"/>
        <v>11546845.4</v>
      </c>
      <c r="F104" s="2">
        <f t="shared" si="11"/>
        <v>936577460.27999961</v>
      </c>
      <c r="G104" s="2">
        <f t="shared" si="10"/>
        <v>935021940.67999959</v>
      </c>
    </row>
    <row r="105" spans="1:7" x14ac:dyDescent="0.25">
      <c r="A105" s="36">
        <v>44931</v>
      </c>
      <c r="B105" s="1">
        <f t="shared" si="12"/>
        <v>31</v>
      </c>
      <c r="C105" s="4">
        <f t="shared" ref="C105:C168" si="14">$F$1</f>
        <v>13102365</v>
      </c>
      <c r="D105" s="2">
        <f t="shared" si="9"/>
        <v>1353781.42</v>
      </c>
      <c r="E105" s="19">
        <f t="shared" si="13"/>
        <v>11748583.58</v>
      </c>
      <c r="F105" s="2">
        <f t="shared" si="11"/>
        <v>922200646.53999984</v>
      </c>
      <c r="G105" s="2">
        <f t="shared" si="10"/>
        <v>920846865.11999989</v>
      </c>
    </row>
    <row r="106" spans="1:7" x14ac:dyDescent="0.25">
      <c r="A106" s="36">
        <v>44962</v>
      </c>
      <c r="B106" s="1">
        <f t="shared" si="12"/>
        <v>31</v>
      </c>
      <c r="C106" s="4">
        <f t="shared" si="14"/>
        <v>13102365</v>
      </c>
      <c r="D106" s="2">
        <f t="shared" ref="D106:D169" si="15">C106-E106</f>
        <v>1190441.6500000004</v>
      </c>
      <c r="E106" s="19">
        <f t="shared" si="13"/>
        <v>11911923.35</v>
      </c>
      <c r="F106" s="2">
        <f t="shared" ref="F106:F169" si="16">G104-J66</f>
        <v>935021940.67999959</v>
      </c>
      <c r="G106" s="2">
        <f t="shared" ref="G106:G169" si="17">F106-D106</f>
        <v>933831499.02999961</v>
      </c>
    </row>
    <row r="107" spans="1:7" x14ac:dyDescent="0.25">
      <c r="A107" s="36">
        <v>44990</v>
      </c>
      <c r="B107" s="1">
        <f t="shared" si="12"/>
        <v>28</v>
      </c>
      <c r="C107" s="4">
        <f t="shared" si="14"/>
        <v>13102365</v>
      </c>
      <c r="D107" s="2">
        <f t="shared" si="15"/>
        <v>2506318.8800000008</v>
      </c>
      <c r="E107" s="19">
        <f t="shared" si="13"/>
        <v>10596046.119999999</v>
      </c>
      <c r="F107" s="2">
        <f t="shared" si="16"/>
        <v>920846865.11999989</v>
      </c>
      <c r="G107" s="2">
        <f t="shared" si="17"/>
        <v>918340546.23999989</v>
      </c>
    </row>
    <row r="108" spans="1:7" x14ac:dyDescent="0.25">
      <c r="A108" s="36">
        <v>45021</v>
      </c>
      <c r="B108" s="1">
        <f t="shared" si="12"/>
        <v>31</v>
      </c>
      <c r="C108" s="4">
        <f t="shared" si="14"/>
        <v>13102365</v>
      </c>
      <c r="D108" s="2">
        <f t="shared" si="15"/>
        <v>1205607.5500000007</v>
      </c>
      <c r="E108" s="19">
        <f t="shared" si="13"/>
        <v>11896757.449999999</v>
      </c>
      <c r="F108" s="2">
        <f t="shared" si="16"/>
        <v>933831499.02999961</v>
      </c>
      <c r="G108" s="2">
        <f t="shared" si="17"/>
        <v>932625891.47999966</v>
      </c>
    </row>
    <row r="109" spans="1:7" x14ac:dyDescent="0.25">
      <c r="A109" s="36">
        <v>45051</v>
      </c>
      <c r="B109" s="1">
        <f t="shared" si="12"/>
        <v>30</v>
      </c>
      <c r="C109" s="4">
        <f t="shared" si="14"/>
        <v>13102365</v>
      </c>
      <c r="D109" s="2">
        <f t="shared" si="15"/>
        <v>1780358.2699999996</v>
      </c>
      <c r="E109" s="19">
        <f t="shared" si="13"/>
        <v>11322006.73</v>
      </c>
      <c r="F109" s="2">
        <f t="shared" si="16"/>
        <v>918340546.23999989</v>
      </c>
      <c r="G109" s="2">
        <f t="shared" si="17"/>
        <v>916560187.96999991</v>
      </c>
    </row>
    <row r="110" spans="1:7" x14ac:dyDescent="0.25">
      <c r="A110" s="36">
        <v>45082</v>
      </c>
      <c r="B110" s="1">
        <f t="shared" si="12"/>
        <v>31</v>
      </c>
      <c r="C110" s="4">
        <f t="shared" si="14"/>
        <v>13102365</v>
      </c>
      <c r="D110" s="2">
        <f t="shared" si="15"/>
        <v>1220966.6600000001</v>
      </c>
      <c r="E110" s="19">
        <f t="shared" si="13"/>
        <v>11881398.34</v>
      </c>
      <c r="F110" s="2">
        <f t="shared" si="16"/>
        <v>932625891.47999966</v>
      </c>
      <c r="G110" s="2">
        <f t="shared" si="17"/>
        <v>931404924.81999969</v>
      </c>
    </row>
    <row r="111" spans="1:7" x14ac:dyDescent="0.25">
      <c r="A111" s="36">
        <v>45112</v>
      </c>
      <c r="B111" s="1">
        <f t="shared" si="12"/>
        <v>30</v>
      </c>
      <c r="C111" s="4">
        <f t="shared" si="14"/>
        <v>13102365</v>
      </c>
      <c r="D111" s="2">
        <f t="shared" si="15"/>
        <v>1802307.8900000006</v>
      </c>
      <c r="E111" s="19">
        <f t="shared" si="13"/>
        <v>11300057.109999999</v>
      </c>
      <c r="F111" s="2">
        <f t="shared" si="16"/>
        <v>916560187.96999991</v>
      </c>
      <c r="G111" s="2">
        <f t="shared" si="17"/>
        <v>914757880.07999992</v>
      </c>
    </row>
    <row r="112" spans="1:7" x14ac:dyDescent="0.25">
      <c r="A112" s="36">
        <v>45143</v>
      </c>
      <c r="B112" s="1">
        <f t="shared" si="12"/>
        <v>31</v>
      </c>
      <c r="C112" s="4">
        <f t="shared" si="14"/>
        <v>13102365</v>
      </c>
      <c r="D112" s="2">
        <f t="shared" si="15"/>
        <v>1236521.4399999995</v>
      </c>
      <c r="E112" s="19">
        <f t="shared" si="13"/>
        <v>11865843.560000001</v>
      </c>
      <c r="F112" s="2">
        <f t="shared" si="16"/>
        <v>931404924.81999969</v>
      </c>
      <c r="G112" s="2">
        <f t="shared" si="17"/>
        <v>930168403.37999964</v>
      </c>
    </row>
    <row r="113" spans="1:7" x14ac:dyDescent="0.25">
      <c r="A113" s="36">
        <v>45174</v>
      </c>
      <c r="B113" s="1">
        <f t="shared" si="12"/>
        <v>31</v>
      </c>
      <c r="C113" s="4">
        <f t="shared" si="14"/>
        <v>13102365</v>
      </c>
      <c r="D113" s="2">
        <f t="shared" si="15"/>
        <v>1448600.2300000004</v>
      </c>
      <c r="E113" s="19">
        <f t="shared" si="13"/>
        <v>11653764.77</v>
      </c>
      <c r="F113" s="2">
        <f t="shared" si="16"/>
        <v>914757880.07999992</v>
      </c>
      <c r="G113" s="2">
        <f t="shared" si="17"/>
        <v>913309279.8499999</v>
      </c>
    </row>
    <row r="114" spans="1:7" x14ac:dyDescent="0.25">
      <c r="A114" s="36">
        <v>45204</v>
      </c>
      <c r="B114" s="1">
        <f t="shared" si="12"/>
        <v>30</v>
      </c>
      <c r="C114" s="4">
        <f t="shared" si="14"/>
        <v>13102365</v>
      </c>
      <c r="D114" s="2">
        <f t="shared" si="15"/>
        <v>1634535.3699999992</v>
      </c>
      <c r="E114" s="19">
        <f t="shared" si="13"/>
        <v>11467829.630000001</v>
      </c>
      <c r="F114" s="2">
        <f t="shared" si="16"/>
        <v>930168403.37999964</v>
      </c>
      <c r="G114" s="2">
        <f t="shared" si="17"/>
        <v>928533868.00999963</v>
      </c>
    </row>
    <row r="115" spans="1:7" x14ac:dyDescent="0.25">
      <c r="A115" s="36">
        <v>45235</v>
      </c>
      <c r="B115" s="1">
        <f t="shared" si="12"/>
        <v>31</v>
      </c>
      <c r="C115" s="4">
        <f t="shared" si="14"/>
        <v>13102365</v>
      </c>
      <c r="D115" s="2">
        <f t="shared" si="15"/>
        <v>1467055</v>
      </c>
      <c r="E115" s="19">
        <f t="shared" si="13"/>
        <v>11635310</v>
      </c>
      <c r="F115" s="2">
        <f t="shared" si="16"/>
        <v>913309279.8499999</v>
      </c>
      <c r="G115" s="2">
        <f t="shared" si="17"/>
        <v>911842224.8499999</v>
      </c>
    </row>
    <row r="116" spans="1:7" x14ac:dyDescent="0.25">
      <c r="A116" s="36">
        <v>45265</v>
      </c>
      <c r="B116" s="1">
        <f t="shared" si="12"/>
        <v>30</v>
      </c>
      <c r="C116" s="4">
        <f t="shared" si="14"/>
        <v>13102365</v>
      </c>
      <c r="D116" s="2">
        <f t="shared" si="15"/>
        <v>1654687.1799999997</v>
      </c>
      <c r="E116" s="19">
        <f t="shared" si="13"/>
        <v>11447677.82</v>
      </c>
      <c r="F116" s="2">
        <f t="shared" si="16"/>
        <v>928533868.00999963</v>
      </c>
      <c r="G116" s="2">
        <f t="shared" si="17"/>
        <v>926879180.82999969</v>
      </c>
    </row>
    <row r="117" spans="1:7" x14ac:dyDescent="0.25">
      <c r="A117" s="36">
        <v>45296</v>
      </c>
      <c r="B117" s="1">
        <f t="shared" si="12"/>
        <v>31</v>
      </c>
      <c r="C117" s="4">
        <f t="shared" si="14"/>
        <v>13102365</v>
      </c>
      <c r="D117" s="2">
        <f t="shared" si="15"/>
        <v>1485744.8800000008</v>
      </c>
      <c r="E117" s="19">
        <f t="shared" si="13"/>
        <v>11616620.119999999</v>
      </c>
      <c r="F117" s="2">
        <f t="shared" si="16"/>
        <v>911842224.8499999</v>
      </c>
      <c r="G117" s="2">
        <f t="shared" si="17"/>
        <v>910356479.96999991</v>
      </c>
    </row>
    <row r="118" spans="1:7" x14ac:dyDescent="0.25">
      <c r="A118" s="36">
        <v>45327</v>
      </c>
      <c r="B118" s="1">
        <f t="shared" si="12"/>
        <v>31</v>
      </c>
      <c r="C118" s="4">
        <f t="shared" si="14"/>
        <v>13102365</v>
      </c>
      <c r="D118" s="2">
        <f t="shared" si="15"/>
        <v>1294178.1799999997</v>
      </c>
      <c r="E118" s="19">
        <f t="shared" si="13"/>
        <v>11808186.82</v>
      </c>
      <c r="F118" s="2">
        <f t="shared" si="16"/>
        <v>926879180.82999969</v>
      </c>
      <c r="G118" s="2">
        <f t="shared" si="17"/>
        <v>925585002.64999974</v>
      </c>
    </row>
    <row r="119" spans="1:7" x14ac:dyDescent="0.25">
      <c r="A119" s="36">
        <v>45356</v>
      </c>
      <c r="B119" s="1">
        <f t="shared" si="12"/>
        <v>29</v>
      </c>
      <c r="C119" s="4">
        <f t="shared" si="14"/>
        <v>13102365</v>
      </c>
      <c r="D119" s="2">
        <f t="shared" si="15"/>
        <v>2252911.0600000005</v>
      </c>
      <c r="E119" s="19">
        <f t="shared" si="13"/>
        <v>10849453.939999999</v>
      </c>
      <c r="F119" s="2">
        <f t="shared" si="16"/>
        <v>910356479.96999991</v>
      </c>
      <c r="G119" s="2">
        <f t="shared" si="17"/>
        <v>908103568.90999997</v>
      </c>
    </row>
    <row r="120" spans="1:7" x14ac:dyDescent="0.25">
      <c r="A120" s="36">
        <v>45387</v>
      </c>
      <c r="B120" s="1">
        <f t="shared" si="12"/>
        <v>31</v>
      </c>
      <c r="C120" s="4">
        <f t="shared" si="14"/>
        <v>13102365</v>
      </c>
      <c r="D120" s="2">
        <f t="shared" si="15"/>
        <v>1310665.6500000004</v>
      </c>
      <c r="E120" s="19">
        <f t="shared" si="13"/>
        <v>11791699.35</v>
      </c>
      <c r="F120" s="2">
        <f t="shared" si="16"/>
        <v>925585002.64999974</v>
      </c>
      <c r="G120" s="2">
        <f t="shared" si="17"/>
        <v>924274336.99999976</v>
      </c>
    </row>
    <row r="121" spans="1:7" x14ac:dyDescent="0.25">
      <c r="A121" s="36">
        <v>45417</v>
      </c>
      <c r="B121" s="1">
        <f t="shared" si="12"/>
        <v>30</v>
      </c>
      <c r="C121" s="4">
        <f t="shared" si="14"/>
        <v>13102365</v>
      </c>
      <c r="D121" s="2">
        <f t="shared" si="15"/>
        <v>1906567.58</v>
      </c>
      <c r="E121" s="19">
        <f t="shared" si="13"/>
        <v>11195797.42</v>
      </c>
      <c r="F121" s="2">
        <f t="shared" si="16"/>
        <v>908103568.90999997</v>
      </c>
      <c r="G121" s="2">
        <f t="shared" si="17"/>
        <v>906197001.32999992</v>
      </c>
    </row>
    <row r="122" spans="1:7" x14ac:dyDescent="0.25">
      <c r="A122" s="36">
        <v>45448</v>
      </c>
      <c r="B122" s="1">
        <f t="shared" si="12"/>
        <v>31</v>
      </c>
      <c r="C122" s="4">
        <f t="shared" si="14"/>
        <v>13102365</v>
      </c>
      <c r="D122" s="2">
        <f t="shared" si="15"/>
        <v>1327363.17</v>
      </c>
      <c r="E122" s="19">
        <f t="shared" si="13"/>
        <v>11775001.83</v>
      </c>
      <c r="F122" s="2">
        <f t="shared" si="16"/>
        <v>924274336.99999976</v>
      </c>
      <c r="G122" s="2">
        <f t="shared" si="17"/>
        <v>922946973.8299998</v>
      </c>
    </row>
    <row r="123" spans="1:7" x14ac:dyDescent="0.25">
      <c r="A123" s="36">
        <v>45478</v>
      </c>
      <c r="B123" s="1">
        <f t="shared" si="12"/>
        <v>30</v>
      </c>
      <c r="C123" s="4">
        <f t="shared" si="14"/>
        <v>13102365</v>
      </c>
      <c r="D123" s="2">
        <f t="shared" si="15"/>
        <v>1930073.1999999993</v>
      </c>
      <c r="E123" s="19">
        <f t="shared" si="13"/>
        <v>11172291.800000001</v>
      </c>
      <c r="F123" s="2">
        <f t="shared" si="16"/>
        <v>906197001.32999992</v>
      </c>
      <c r="G123" s="2">
        <f t="shared" si="17"/>
        <v>904266928.12999988</v>
      </c>
    </row>
    <row r="124" spans="1:7" x14ac:dyDescent="0.25">
      <c r="A124" s="36">
        <v>45509</v>
      </c>
      <c r="B124" s="1">
        <f t="shared" si="12"/>
        <v>31</v>
      </c>
      <c r="C124" s="4">
        <f t="shared" si="14"/>
        <v>13102365</v>
      </c>
      <c r="D124" s="2">
        <f t="shared" si="15"/>
        <v>1344273.42</v>
      </c>
      <c r="E124" s="19">
        <f t="shared" si="13"/>
        <v>11758091.58</v>
      </c>
      <c r="F124" s="2">
        <f t="shared" si="16"/>
        <v>922946973.8299998</v>
      </c>
      <c r="G124" s="2">
        <f t="shared" si="17"/>
        <v>921602700.40999985</v>
      </c>
    </row>
    <row r="125" spans="1:7" x14ac:dyDescent="0.25">
      <c r="A125" s="36">
        <v>45540</v>
      </c>
      <c r="B125" s="1">
        <f t="shared" si="12"/>
        <v>31</v>
      </c>
      <c r="C125" s="4">
        <f t="shared" si="14"/>
        <v>13102365</v>
      </c>
      <c r="D125" s="2">
        <f t="shared" si="15"/>
        <v>1582252.08</v>
      </c>
      <c r="E125" s="19">
        <f t="shared" si="13"/>
        <v>11520112.92</v>
      </c>
      <c r="F125" s="2">
        <f t="shared" si="16"/>
        <v>904266928.12999988</v>
      </c>
      <c r="G125" s="2">
        <f t="shared" si="17"/>
        <v>902684676.04999983</v>
      </c>
    </row>
    <row r="126" spans="1:7" x14ac:dyDescent="0.25">
      <c r="A126" s="36">
        <v>45570</v>
      </c>
      <c r="B126" s="1">
        <f t="shared" si="12"/>
        <v>30</v>
      </c>
      <c r="C126" s="4">
        <f t="shared" si="14"/>
        <v>13102365</v>
      </c>
      <c r="D126" s="2">
        <f t="shared" si="15"/>
        <v>1740139.9299999997</v>
      </c>
      <c r="E126" s="19">
        <f t="shared" si="13"/>
        <v>11362225.07</v>
      </c>
      <c r="F126" s="2">
        <f t="shared" si="16"/>
        <v>921602700.40999985</v>
      </c>
      <c r="G126" s="2">
        <f t="shared" si="17"/>
        <v>919862560.4799999</v>
      </c>
    </row>
    <row r="127" spans="1:7" x14ac:dyDescent="0.25">
      <c r="A127" s="36">
        <v>45601</v>
      </c>
      <c r="B127" s="1">
        <f t="shared" si="12"/>
        <v>31</v>
      </c>
      <c r="C127" s="4">
        <f t="shared" si="14"/>
        <v>13102365</v>
      </c>
      <c r="D127" s="2">
        <f t="shared" si="15"/>
        <v>1602409.5399999991</v>
      </c>
      <c r="E127" s="19">
        <f t="shared" si="13"/>
        <v>11499955.460000001</v>
      </c>
      <c r="F127" s="2">
        <f t="shared" si="16"/>
        <v>902684676.04999983</v>
      </c>
      <c r="G127" s="2">
        <f t="shared" si="17"/>
        <v>901082266.50999987</v>
      </c>
    </row>
    <row r="128" spans="1:7" x14ac:dyDescent="0.25">
      <c r="A128" s="36">
        <v>45631</v>
      </c>
      <c r="B128" s="1">
        <f t="shared" si="12"/>
        <v>30</v>
      </c>
      <c r="C128" s="4">
        <f t="shared" si="14"/>
        <v>13102365</v>
      </c>
      <c r="D128" s="2">
        <f t="shared" si="15"/>
        <v>1761593.7100000009</v>
      </c>
      <c r="E128" s="19">
        <f t="shared" si="13"/>
        <v>11340771.289999999</v>
      </c>
      <c r="F128" s="2">
        <f t="shared" si="16"/>
        <v>919862560.4799999</v>
      </c>
      <c r="G128" s="2">
        <f t="shared" si="17"/>
        <v>918100966.76999986</v>
      </c>
    </row>
    <row r="129" spans="1:7" x14ac:dyDescent="0.25">
      <c r="A129" s="36">
        <v>45662</v>
      </c>
      <c r="B129" s="1">
        <f t="shared" si="12"/>
        <v>31</v>
      </c>
      <c r="C129" s="4">
        <f t="shared" si="14"/>
        <v>13102365</v>
      </c>
      <c r="D129" s="2">
        <f t="shared" si="15"/>
        <v>1622823.8000000007</v>
      </c>
      <c r="E129" s="19">
        <f t="shared" si="13"/>
        <v>11479541.199999999</v>
      </c>
      <c r="F129" s="2">
        <f t="shared" si="16"/>
        <v>901082266.50999987</v>
      </c>
      <c r="G129" s="2">
        <f t="shared" si="17"/>
        <v>899459442.70999992</v>
      </c>
    </row>
    <row r="130" spans="1:7" x14ac:dyDescent="0.25">
      <c r="A130" s="36">
        <v>45693</v>
      </c>
      <c r="B130" s="1">
        <f t="shared" si="12"/>
        <v>31</v>
      </c>
      <c r="C130" s="4">
        <f t="shared" si="14"/>
        <v>13102365</v>
      </c>
      <c r="D130" s="2">
        <f t="shared" si="15"/>
        <v>1406010.2200000007</v>
      </c>
      <c r="E130" s="19">
        <f t="shared" si="13"/>
        <v>11696354.779999999</v>
      </c>
      <c r="F130" s="2">
        <f t="shared" si="16"/>
        <v>918100966.76999986</v>
      </c>
      <c r="G130" s="2">
        <f t="shared" si="17"/>
        <v>916694956.54999983</v>
      </c>
    </row>
    <row r="131" spans="1:7" x14ac:dyDescent="0.25">
      <c r="A131" s="36">
        <v>45721</v>
      </c>
      <c r="B131" s="1">
        <f t="shared" si="12"/>
        <v>28</v>
      </c>
      <c r="C131" s="4">
        <f t="shared" si="14"/>
        <v>13102365</v>
      </c>
      <c r="D131" s="2">
        <f t="shared" si="15"/>
        <v>2752420.7300000004</v>
      </c>
      <c r="E131" s="19">
        <f t="shared" si="13"/>
        <v>10349944.27</v>
      </c>
      <c r="F131" s="2">
        <f t="shared" si="16"/>
        <v>899459442.70999992</v>
      </c>
      <c r="G131" s="2">
        <f t="shared" si="17"/>
        <v>896707021.9799999</v>
      </c>
    </row>
    <row r="132" spans="1:7" x14ac:dyDescent="0.25">
      <c r="A132" s="36">
        <v>45752</v>
      </c>
      <c r="B132" s="1">
        <f t="shared" si="12"/>
        <v>31</v>
      </c>
      <c r="C132" s="4">
        <f t="shared" si="14"/>
        <v>13102365</v>
      </c>
      <c r="D132" s="2">
        <f t="shared" si="15"/>
        <v>1423922.4000000004</v>
      </c>
      <c r="E132" s="19">
        <f t="shared" si="13"/>
        <v>11678442.6</v>
      </c>
      <c r="F132" s="2">
        <f t="shared" si="16"/>
        <v>916694956.54999983</v>
      </c>
      <c r="G132" s="2">
        <f t="shared" si="17"/>
        <v>915271034.14999986</v>
      </c>
    </row>
    <row r="133" spans="1:7" x14ac:dyDescent="0.25">
      <c r="A133" s="36">
        <v>45782</v>
      </c>
      <c r="B133" s="1">
        <f t="shared" si="12"/>
        <v>30</v>
      </c>
      <c r="C133" s="4">
        <f t="shared" si="14"/>
        <v>13102365</v>
      </c>
      <c r="D133" s="2">
        <f t="shared" si="15"/>
        <v>2047072.9499999993</v>
      </c>
      <c r="E133" s="19">
        <f t="shared" si="13"/>
        <v>11055292.050000001</v>
      </c>
      <c r="F133" s="2">
        <f t="shared" si="16"/>
        <v>896707021.9799999</v>
      </c>
      <c r="G133" s="2">
        <f t="shared" si="17"/>
        <v>894659949.02999985</v>
      </c>
    </row>
    <row r="134" spans="1:7" x14ac:dyDescent="0.25">
      <c r="A134" s="36">
        <v>45813</v>
      </c>
      <c r="B134" s="1">
        <f t="shared" ref="B134:B197" si="18">_xlfn.DAYS(A134,A133)</f>
        <v>31</v>
      </c>
      <c r="C134" s="4">
        <f t="shared" si="14"/>
        <v>13102365</v>
      </c>
      <c r="D134" s="2">
        <f t="shared" si="15"/>
        <v>1442062.7799999993</v>
      </c>
      <c r="E134" s="19">
        <f t="shared" ref="E134:E197" si="19">ROUND(F134*$B$2*B134/365,2)</f>
        <v>11660302.220000001</v>
      </c>
      <c r="F134" s="2">
        <f t="shared" si="16"/>
        <v>915271034.14999986</v>
      </c>
      <c r="G134" s="2">
        <f t="shared" si="17"/>
        <v>913828971.36999989</v>
      </c>
    </row>
    <row r="135" spans="1:7" x14ac:dyDescent="0.25">
      <c r="A135" s="36">
        <v>45843</v>
      </c>
      <c r="B135" s="1">
        <f t="shared" si="18"/>
        <v>30</v>
      </c>
      <c r="C135" s="4">
        <f t="shared" si="14"/>
        <v>13102365</v>
      </c>
      <c r="D135" s="2">
        <f t="shared" si="15"/>
        <v>2072310.83</v>
      </c>
      <c r="E135" s="19">
        <f t="shared" si="19"/>
        <v>11030054.17</v>
      </c>
      <c r="F135" s="2">
        <f t="shared" si="16"/>
        <v>894659949.02999985</v>
      </c>
      <c r="G135" s="2">
        <f t="shared" si="17"/>
        <v>892587638.19999981</v>
      </c>
    </row>
    <row r="136" spans="1:7" x14ac:dyDescent="0.25">
      <c r="A136" s="36">
        <v>45874</v>
      </c>
      <c r="B136" s="1">
        <f t="shared" si="18"/>
        <v>31</v>
      </c>
      <c r="C136" s="4">
        <f t="shared" si="14"/>
        <v>13102365</v>
      </c>
      <c r="D136" s="2">
        <f t="shared" si="15"/>
        <v>1460434.2699999996</v>
      </c>
      <c r="E136" s="19">
        <f t="shared" si="19"/>
        <v>11641930.73</v>
      </c>
      <c r="F136" s="2">
        <f t="shared" si="16"/>
        <v>913828971.36999989</v>
      </c>
      <c r="G136" s="2">
        <f t="shared" si="17"/>
        <v>912368537.0999999</v>
      </c>
    </row>
    <row r="137" spans="1:7" x14ac:dyDescent="0.25">
      <c r="A137" s="36">
        <v>45905</v>
      </c>
      <c r="B137" s="1">
        <f t="shared" si="18"/>
        <v>31</v>
      </c>
      <c r="C137" s="4">
        <f t="shared" si="14"/>
        <v>13102365</v>
      </c>
      <c r="D137" s="2">
        <f t="shared" si="15"/>
        <v>1731043.0299999993</v>
      </c>
      <c r="E137" s="19">
        <f t="shared" si="19"/>
        <v>11371321.970000001</v>
      </c>
      <c r="F137" s="2">
        <f t="shared" si="16"/>
        <v>892587638.19999981</v>
      </c>
      <c r="G137" s="2">
        <f t="shared" si="17"/>
        <v>890856595.16999984</v>
      </c>
    </row>
    <row r="138" spans="1:7" x14ac:dyDescent="0.25">
      <c r="A138" s="36">
        <v>45935</v>
      </c>
      <c r="B138" s="1">
        <f t="shared" si="18"/>
        <v>30</v>
      </c>
      <c r="C138" s="4">
        <f t="shared" si="14"/>
        <v>13102365</v>
      </c>
      <c r="D138" s="2">
        <f t="shared" si="15"/>
        <v>1853985.7799999993</v>
      </c>
      <c r="E138" s="19">
        <f t="shared" si="19"/>
        <v>11248379.220000001</v>
      </c>
      <c r="F138" s="2">
        <f t="shared" si="16"/>
        <v>912368537.0999999</v>
      </c>
      <c r="G138" s="2">
        <f t="shared" si="17"/>
        <v>910514551.31999993</v>
      </c>
    </row>
    <row r="139" spans="1:7" x14ac:dyDescent="0.25">
      <c r="A139" s="36">
        <v>45966</v>
      </c>
      <c r="B139" s="1">
        <f t="shared" si="18"/>
        <v>31</v>
      </c>
      <c r="C139" s="4">
        <f t="shared" si="14"/>
        <v>13102365</v>
      </c>
      <c r="D139" s="2">
        <f t="shared" si="15"/>
        <v>1753096.0500000007</v>
      </c>
      <c r="E139" s="19">
        <f t="shared" si="19"/>
        <v>11349268.949999999</v>
      </c>
      <c r="F139" s="2">
        <f t="shared" si="16"/>
        <v>890856595.16999984</v>
      </c>
      <c r="G139" s="2">
        <f t="shared" si="17"/>
        <v>889103499.11999989</v>
      </c>
    </row>
    <row r="140" spans="1:7" x14ac:dyDescent="0.25">
      <c r="A140" s="36">
        <v>45996</v>
      </c>
      <c r="B140" s="1">
        <f t="shared" si="18"/>
        <v>30</v>
      </c>
      <c r="C140" s="4">
        <f t="shared" si="14"/>
        <v>13102365</v>
      </c>
      <c r="D140" s="2">
        <f t="shared" si="15"/>
        <v>1876843.1300000008</v>
      </c>
      <c r="E140" s="19">
        <f t="shared" si="19"/>
        <v>11225521.869999999</v>
      </c>
      <c r="F140" s="2">
        <f t="shared" si="16"/>
        <v>910514551.31999993</v>
      </c>
      <c r="G140" s="2">
        <f t="shared" si="17"/>
        <v>908637708.18999994</v>
      </c>
    </row>
    <row r="141" spans="1:7" x14ac:dyDescent="0.25">
      <c r="A141" s="36">
        <v>46027</v>
      </c>
      <c r="B141" s="1">
        <f t="shared" si="18"/>
        <v>31</v>
      </c>
      <c r="C141" s="4">
        <f t="shared" si="14"/>
        <v>13102365</v>
      </c>
      <c r="D141" s="2">
        <f t="shared" si="15"/>
        <v>1775430.0099999998</v>
      </c>
      <c r="E141" s="19">
        <f t="shared" si="19"/>
        <v>11326934.99</v>
      </c>
      <c r="F141" s="2">
        <f t="shared" si="16"/>
        <v>889103499.11999989</v>
      </c>
      <c r="G141" s="2">
        <f t="shared" si="17"/>
        <v>887328069.1099999</v>
      </c>
    </row>
    <row r="142" spans="1:7" x14ac:dyDescent="0.25">
      <c r="A142" s="36">
        <v>46058</v>
      </c>
      <c r="B142" s="1">
        <f t="shared" si="18"/>
        <v>31</v>
      </c>
      <c r="C142" s="4">
        <f t="shared" si="14"/>
        <v>13102365</v>
      </c>
      <c r="D142" s="2">
        <f t="shared" si="15"/>
        <v>1526569.5399999991</v>
      </c>
      <c r="E142" s="19">
        <f t="shared" si="19"/>
        <v>11575795.460000001</v>
      </c>
      <c r="F142" s="2">
        <f t="shared" si="16"/>
        <v>908637708.18999994</v>
      </c>
      <c r="G142" s="2">
        <f t="shared" si="17"/>
        <v>907111138.64999998</v>
      </c>
    </row>
    <row r="143" spans="1:7" x14ac:dyDescent="0.25">
      <c r="A143" s="36">
        <v>46086</v>
      </c>
      <c r="B143" s="1">
        <f t="shared" si="18"/>
        <v>28</v>
      </c>
      <c r="C143" s="4">
        <f t="shared" si="14"/>
        <v>13102365</v>
      </c>
      <c r="D143" s="2">
        <f t="shared" si="15"/>
        <v>2892014.6199999992</v>
      </c>
      <c r="E143" s="19">
        <f t="shared" si="19"/>
        <v>10210350.380000001</v>
      </c>
      <c r="F143" s="2">
        <f t="shared" si="16"/>
        <v>887328069.1099999</v>
      </c>
      <c r="G143" s="2">
        <f t="shared" si="17"/>
        <v>884436054.48999989</v>
      </c>
    </row>
    <row r="144" spans="1:7" x14ac:dyDescent="0.25">
      <c r="A144" s="36">
        <v>46117</v>
      </c>
      <c r="B144" s="1">
        <f t="shared" si="18"/>
        <v>31</v>
      </c>
      <c r="C144" s="4">
        <f t="shared" si="14"/>
        <v>13102365</v>
      </c>
      <c r="D144" s="2">
        <f t="shared" si="15"/>
        <v>1546017.6199999992</v>
      </c>
      <c r="E144" s="19">
        <f t="shared" si="19"/>
        <v>11556347.380000001</v>
      </c>
      <c r="F144" s="2">
        <f t="shared" si="16"/>
        <v>907111138.64999998</v>
      </c>
      <c r="G144" s="2">
        <f t="shared" si="17"/>
        <v>905565121.02999997</v>
      </c>
    </row>
    <row r="145" spans="1:7" x14ac:dyDescent="0.25">
      <c r="A145" s="36">
        <v>46147</v>
      </c>
      <c r="B145" s="1">
        <f t="shared" si="18"/>
        <v>30</v>
      </c>
      <c r="C145" s="4">
        <f t="shared" si="14"/>
        <v>13102365</v>
      </c>
      <c r="D145" s="2">
        <f t="shared" si="15"/>
        <v>2198358.8499999996</v>
      </c>
      <c r="E145" s="19">
        <f t="shared" si="19"/>
        <v>10904006.15</v>
      </c>
      <c r="F145" s="2">
        <f t="shared" si="16"/>
        <v>884436054.48999989</v>
      </c>
      <c r="G145" s="2">
        <f t="shared" si="17"/>
        <v>882237695.63999987</v>
      </c>
    </row>
    <row r="146" spans="1:7" x14ac:dyDescent="0.25">
      <c r="A146" s="36">
        <v>46178</v>
      </c>
      <c r="B146" s="1">
        <f t="shared" si="18"/>
        <v>31</v>
      </c>
      <c r="C146" s="4">
        <f t="shared" si="14"/>
        <v>13102365</v>
      </c>
      <c r="D146" s="2">
        <f t="shared" si="15"/>
        <v>1565713.4600000009</v>
      </c>
      <c r="E146" s="19">
        <f t="shared" si="19"/>
        <v>11536651.539999999</v>
      </c>
      <c r="F146" s="2">
        <f t="shared" si="16"/>
        <v>905565121.02999997</v>
      </c>
      <c r="G146" s="2">
        <f t="shared" si="17"/>
        <v>903999407.56999993</v>
      </c>
    </row>
    <row r="147" spans="1:7" x14ac:dyDescent="0.25">
      <c r="A147" s="36">
        <v>46208</v>
      </c>
      <c r="B147" s="1">
        <f t="shared" si="18"/>
        <v>30</v>
      </c>
      <c r="C147" s="4">
        <f t="shared" si="14"/>
        <v>13102365</v>
      </c>
      <c r="D147" s="2">
        <f t="shared" si="15"/>
        <v>2225461.9000000004</v>
      </c>
      <c r="E147" s="19">
        <f t="shared" si="19"/>
        <v>10876903.1</v>
      </c>
      <c r="F147" s="2">
        <f t="shared" si="16"/>
        <v>882237695.63999987</v>
      </c>
      <c r="G147" s="2">
        <f t="shared" si="17"/>
        <v>880012233.73999989</v>
      </c>
    </row>
    <row r="148" spans="1:7" x14ac:dyDescent="0.25">
      <c r="A148" s="36">
        <v>46239</v>
      </c>
      <c r="B148" s="1">
        <f t="shared" si="18"/>
        <v>31</v>
      </c>
      <c r="C148" s="4">
        <f t="shared" si="14"/>
        <v>13102365</v>
      </c>
      <c r="D148" s="2">
        <f t="shared" si="15"/>
        <v>1585660.2200000007</v>
      </c>
      <c r="E148" s="19">
        <f t="shared" si="19"/>
        <v>11516704.779999999</v>
      </c>
      <c r="F148" s="2">
        <f t="shared" si="16"/>
        <v>903999407.56999993</v>
      </c>
      <c r="G148" s="2">
        <f t="shared" si="17"/>
        <v>902413747.3499999</v>
      </c>
    </row>
    <row r="149" spans="1:7" x14ac:dyDescent="0.25">
      <c r="A149" s="36">
        <v>46270</v>
      </c>
      <c r="B149" s="1">
        <f t="shared" si="18"/>
        <v>31</v>
      </c>
      <c r="C149" s="4">
        <f t="shared" si="14"/>
        <v>13102365</v>
      </c>
      <c r="D149" s="2">
        <f t="shared" si="15"/>
        <v>1891250.2400000002</v>
      </c>
      <c r="E149" s="19">
        <f t="shared" si="19"/>
        <v>11211114.76</v>
      </c>
      <c r="F149" s="2">
        <f t="shared" si="16"/>
        <v>880012233.73999989</v>
      </c>
      <c r="G149" s="2">
        <f t="shared" si="17"/>
        <v>878120983.49999988</v>
      </c>
    </row>
    <row r="150" spans="1:7" x14ac:dyDescent="0.25">
      <c r="A150" s="36">
        <v>46300</v>
      </c>
      <c r="B150" s="1">
        <f t="shared" si="18"/>
        <v>30</v>
      </c>
      <c r="C150" s="4">
        <f t="shared" si="14"/>
        <v>13102365</v>
      </c>
      <c r="D150" s="2">
        <f t="shared" si="15"/>
        <v>1976716.0600000005</v>
      </c>
      <c r="E150" s="19">
        <f t="shared" si="19"/>
        <v>11125648.939999999</v>
      </c>
      <c r="F150" s="2">
        <f t="shared" si="16"/>
        <v>902413747.3499999</v>
      </c>
      <c r="G150" s="2">
        <f t="shared" si="17"/>
        <v>900437031.28999996</v>
      </c>
    </row>
    <row r="151" spans="1:7" x14ac:dyDescent="0.25">
      <c r="A151" s="36">
        <v>46331</v>
      </c>
      <c r="B151" s="1">
        <f t="shared" si="18"/>
        <v>31</v>
      </c>
      <c r="C151" s="4">
        <f t="shared" si="14"/>
        <v>13102365</v>
      </c>
      <c r="D151" s="2">
        <f t="shared" si="15"/>
        <v>1915344.25</v>
      </c>
      <c r="E151" s="19">
        <f t="shared" si="19"/>
        <v>11187020.75</v>
      </c>
      <c r="F151" s="2">
        <f t="shared" si="16"/>
        <v>878120983.49999988</v>
      </c>
      <c r="G151" s="2">
        <f t="shared" si="17"/>
        <v>876205639.24999988</v>
      </c>
    </row>
    <row r="152" spans="1:7" x14ac:dyDescent="0.25">
      <c r="A152" s="36">
        <v>46361</v>
      </c>
      <c r="B152" s="1">
        <f t="shared" si="18"/>
        <v>30</v>
      </c>
      <c r="C152" s="4">
        <f t="shared" si="14"/>
        <v>13102365</v>
      </c>
      <c r="D152" s="2">
        <f t="shared" si="15"/>
        <v>2001086.5299999993</v>
      </c>
      <c r="E152" s="19">
        <f t="shared" si="19"/>
        <v>11101278.470000001</v>
      </c>
      <c r="F152" s="2">
        <f t="shared" si="16"/>
        <v>900437031.28999996</v>
      </c>
      <c r="G152" s="2">
        <f t="shared" si="17"/>
        <v>898435944.75999999</v>
      </c>
    </row>
    <row r="153" spans="1:7" x14ac:dyDescent="0.25">
      <c r="A153" s="36">
        <v>46392</v>
      </c>
      <c r="B153" s="1">
        <f t="shared" si="18"/>
        <v>31</v>
      </c>
      <c r="C153" s="4">
        <f t="shared" si="14"/>
        <v>13102365</v>
      </c>
      <c r="D153" s="2">
        <f t="shared" si="15"/>
        <v>1939745.2100000009</v>
      </c>
      <c r="E153" s="19">
        <f t="shared" si="19"/>
        <v>11162619.789999999</v>
      </c>
      <c r="F153" s="2">
        <f t="shared" si="16"/>
        <v>876205639.24999988</v>
      </c>
      <c r="G153" s="2">
        <f t="shared" si="17"/>
        <v>874265894.03999984</v>
      </c>
    </row>
    <row r="154" spans="1:7" x14ac:dyDescent="0.25">
      <c r="A154" s="36">
        <v>46423</v>
      </c>
      <c r="B154" s="1">
        <f t="shared" si="18"/>
        <v>31</v>
      </c>
      <c r="C154" s="4">
        <f t="shared" si="14"/>
        <v>13102365</v>
      </c>
      <c r="D154" s="2">
        <f t="shared" si="15"/>
        <v>1656537.2100000009</v>
      </c>
      <c r="E154" s="19">
        <f t="shared" si="19"/>
        <v>11445827.789999999</v>
      </c>
      <c r="F154" s="2">
        <f t="shared" si="16"/>
        <v>898435944.75999999</v>
      </c>
      <c r="G154" s="2">
        <f t="shared" si="17"/>
        <v>896779407.54999995</v>
      </c>
    </row>
    <row r="155" spans="1:7" x14ac:dyDescent="0.25">
      <c r="A155" s="36">
        <v>46451</v>
      </c>
      <c r="B155" s="1">
        <f t="shared" si="18"/>
        <v>28</v>
      </c>
      <c r="C155" s="4">
        <f t="shared" si="14"/>
        <v>13102365</v>
      </c>
      <c r="D155" s="2">
        <f t="shared" si="15"/>
        <v>3042319.0999999996</v>
      </c>
      <c r="E155" s="19">
        <f t="shared" si="19"/>
        <v>10060045.9</v>
      </c>
      <c r="F155" s="2">
        <f t="shared" si="16"/>
        <v>874265894.03999984</v>
      </c>
      <c r="G155" s="2">
        <f t="shared" si="17"/>
        <v>871223574.93999982</v>
      </c>
    </row>
    <row r="156" spans="1:7" x14ac:dyDescent="0.25">
      <c r="A156" s="36">
        <v>46482</v>
      </c>
      <c r="B156" s="1">
        <f t="shared" si="18"/>
        <v>31</v>
      </c>
      <c r="C156" s="4">
        <f t="shared" si="14"/>
        <v>13102365</v>
      </c>
      <c r="D156" s="2">
        <f t="shared" si="15"/>
        <v>1677641.0399999991</v>
      </c>
      <c r="E156" s="19">
        <f t="shared" si="19"/>
        <v>11424723.960000001</v>
      </c>
      <c r="F156" s="2">
        <f t="shared" si="16"/>
        <v>896779407.54999995</v>
      </c>
      <c r="G156" s="2">
        <f t="shared" si="17"/>
        <v>895101766.50999999</v>
      </c>
    </row>
    <row r="157" spans="1:7" x14ac:dyDescent="0.25">
      <c r="A157" s="36">
        <v>46512</v>
      </c>
      <c r="B157" s="1">
        <f t="shared" si="18"/>
        <v>30</v>
      </c>
      <c r="C157" s="4">
        <f t="shared" si="14"/>
        <v>13102365</v>
      </c>
      <c r="D157" s="2">
        <f t="shared" si="15"/>
        <v>2361252.4299999997</v>
      </c>
      <c r="E157" s="19">
        <f t="shared" si="19"/>
        <v>10741112.57</v>
      </c>
      <c r="F157" s="2">
        <f t="shared" si="16"/>
        <v>871223574.93999982</v>
      </c>
      <c r="G157" s="2">
        <f t="shared" si="17"/>
        <v>868862322.50999987</v>
      </c>
    </row>
    <row r="158" spans="1:7" x14ac:dyDescent="0.25">
      <c r="A158" s="36">
        <v>46543</v>
      </c>
      <c r="B158" s="1">
        <f t="shared" si="18"/>
        <v>31</v>
      </c>
      <c r="C158" s="4">
        <f t="shared" si="14"/>
        <v>13102365</v>
      </c>
      <c r="D158" s="2">
        <f t="shared" si="15"/>
        <v>1699013.7300000004</v>
      </c>
      <c r="E158" s="19">
        <f t="shared" si="19"/>
        <v>11403351.27</v>
      </c>
      <c r="F158" s="2">
        <f t="shared" si="16"/>
        <v>895101766.50999999</v>
      </c>
      <c r="G158" s="2">
        <f t="shared" si="17"/>
        <v>893402752.77999997</v>
      </c>
    </row>
    <row r="159" spans="1:7" x14ac:dyDescent="0.25">
      <c r="A159" s="36">
        <v>46573</v>
      </c>
      <c r="B159" s="1">
        <f t="shared" si="18"/>
        <v>30</v>
      </c>
      <c r="C159" s="4">
        <f t="shared" si="14"/>
        <v>13102365</v>
      </c>
      <c r="D159" s="2">
        <f t="shared" si="15"/>
        <v>2390363.7599999998</v>
      </c>
      <c r="E159" s="19">
        <f t="shared" si="19"/>
        <v>10712001.24</v>
      </c>
      <c r="F159" s="2">
        <f t="shared" si="16"/>
        <v>868862322.50999987</v>
      </c>
      <c r="G159" s="2">
        <f t="shared" si="17"/>
        <v>866471958.74999988</v>
      </c>
    </row>
    <row r="160" spans="1:7" x14ac:dyDescent="0.25">
      <c r="A160" s="36">
        <v>46604</v>
      </c>
      <c r="B160" s="1">
        <f t="shared" si="18"/>
        <v>31</v>
      </c>
      <c r="C160" s="4">
        <f t="shared" si="14"/>
        <v>13102365</v>
      </c>
      <c r="D160" s="2">
        <f t="shared" si="15"/>
        <v>1720658.6999999993</v>
      </c>
      <c r="E160" s="19">
        <f t="shared" si="19"/>
        <v>11381706.300000001</v>
      </c>
      <c r="F160" s="2">
        <f t="shared" si="16"/>
        <v>893402752.77999997</v>
      </c>
      <c r="G160" s="2">
        <f t="shared" si="17"/>
        <v>891682094.07999992</v>
      </c>
    </row>
    <row r="161" spans="1:7" x14ac:dyDescent="0.25">
      <c r="A161" s="36">
        <v>46635</v>
      </c>
      <c r="B161" s="1">
        <f t="shared" si="18"/>
        <v>31</v>
      </c>
      <c r="C161" s="4">
        <f t="shared" si="14"/>
        <v>13102365</v>
      </c>
      <c r="D161" s="2">
        <f t="shared" si="15"/>
        <v>2063749.6400000006</v>
      </c>
      <c r="E161" s="19">
        <f t="shared" si="19"/>
        <v>11038615.359999999</v>
      </c>
      <c r="F161" s="2">
        <f t="shared" si="16"/>
        <v>866471958.74999988</v>
      </c>
      <c r="G161" s="2">
        <f t="shared" si="17"/>
        <v>864408209.1099999</v>
      </c>
    </row>
    <row r="162" spans="1:7" x14ac:dyDescent="0.25">
      <c r="A162" s="36">
        <v>46665</v>
      </c>
      <c r="B162" s="1">
        <f t="shared" si="18"/>
        <v>30</v>
      </c>
      <c r="C162" s="4">
        <f t="shared" si="14"/>
        <v>13102365</v>
      </c>
      <c r="D162" s="2">
        <f t="shared" si="15"/>
        <v>2109024.1099999994</v>
      </c>
      <c r="E162" s="19">
        <f t="shared" si="19"/>
        <v>10993340.890000001</v>
      </c>
      <c r="F162" s="2">
        <f t="shared" si="16"/>
        <v>891682094.07999992</v>
      </c>
      <c r="G162" s="2">
        <f t="shared" si="17"/>
        <v>889573069.96999991</v>
      </c>
    </row>
    <row r="163" spans="1:7" x14ac:dyDescent="0.25">
      <c r="A163" s="36">
        <v>46696</v>
      </c>
      <c r="B163" s="1">
        <f t="shared" si="18"/>
        <v>31</v>
      </c>
      <c r="C163" s="4">
        <f t="shared" si="14"/>
        <v>13102365</v>
      </c>
      <c r="D163" s="2">
        <f t="shared" si="15"/>
        <v>2090041.2400000002</v>
      </c>
      <c r="E163" s="19">
        <f t="shared" si="19"/>
        <v>11012323.76</v>
      </c>
      <c r="F163" s="2">
        <f t="shared" si="16"/>
        <v>864408209.1099999</v>
      </c>
      <c r="G163" s="2">
        <f t="shared" si="17"/>
        <v>862318167.86999989</v>
      </c>
    </row>
    <row r="164" spans="1:7" x14ac:dyDescent="0.25">
      <c r="A164" s="36">
        <v>46726</v>
      </c>
      <c r="B164" s="1">
        <f t="shared" si="18"/>
        <v>30</v>
      </c>
      <c r="C164" s="4">
        <f t="shared" si="14"/>
        <v>13102365</v>
      </c>
      <c r="D164" s="2">
        <f t="shared" si="15"/>
        <v>2135025.7799999993</v>
      </c>
      <c r="E164" s="19">
        <f t="shared" si="19"/>
        <v>10967339.220000001</v>
      </c>
      <c r="F164" s="2">
        <f t="shared" si="16"/>
        <v>889573069.96999991</v>
      </c>
      <c r="G164" s="2">
        <f t="shared" si="17"/>
        <v>887438044.18999994</v>
      </c>
    </row>
    <row r="165" spans="1:7" x14ac:dyDescent="0.25">
      <c r="A165" s="36">
        <v>46757</v>
      </c>
      <c r="B165" s="1">
        <f t="shared" si="18"/>
        <v>31</v>
      </c>
      <c r="C165" s="4">
        <f t="shared" si="14"/>
        <v>13102365</v>
      </c>
      <c r="D165" s="2">
        <f t="shared" si="15"/>
        <v>2116667.7899999991</v>
      </c>
      <c r="E165" s="19">
        <f t="shared" si="19"/>
        <v>10985697.210000001</v>
      </c>
      <c r="F165" s="2">
        <f t="shared" si="16"/>
        <v>862318167.86999989</v>
      </c>
      <c r="G165" s="2">
        <f t="shared" si="17"/>
        <v>860201500.07999992</v>
      </c>
    </row>
    <row r="166" spans="1:7" x14ac:dyDescent="0.25">
      <c r="A166" s="36">
        <v>46788</v>
      </c>
      <c r="B166" s="1">
        <f t="shared" si="18"/>
        <v>31</v>
      </c>
      <c r="C166" s="4">
        <f t="shared" si="14"/>
        <v>13102365</v>
      </c>
      <c r="D166" s="2">
        <f t="shared" si="15"/>
        <v>1796647.4499999993</v>
      </c>
      <c r="E166" s="19">
        <f t="shared" si="19"/>
        <v>11305717.550000001</v>
      </c>
      <c r="F166" s="2">
        <f t="shared" si="16"/>
        <v>887438044.18999994</v>
      </c>
      <c r="G166" s="2">
        <f t="shared" si="17"/>
        <v>885641396.73999989</v>
      </c>
    </row>
    <row r="167" spans="1:7" x14ac:dyDescent="0.25">
      <c r="A167" s="36">
        <v>46817</v>
      </c>
      <c r="B167" s="1">
        <f t="shared" si="18"/>
        <v>29</v>
      </c>
      <c r="C167" s="4">
        <f t="shared" si="14"/>
        <v>13102365</v>
      </c>
      <c r="D167" s="2">
        <f t="shared" si="15"/>
        <v>2850648.49</v>
      </c>
      <c r="E167" s="19">
        <f t="shared" si="19"/>
        <v>10251716.51</v>
      </c>
      <c r="F167" s="2">
        <f t="shared" si="16"/>
        <v>860201500.07999992</v>
      </c>
      <c r="G167" s="2">
        <f t="shared" si="17"/>
        <v>857350851.58999991</v>
      </c>
    </row>
    <row r="168" spans="1:7" x14ac:dyDescent="0.25">
      <c r="A168" s="36">
        <v>46848</v>
      </c>
      <c r="B168" s="1">
        <f t="shared" si="18"/>
        <v>31</v>
      </c>
      <c r="C168" s="4">
        <f t="shared" si="14"/>
        <v>13102365</v>
      </c>
      <c r="D168" s="2">
        <f t="shared" si="15"/>
        <v>1819536.25</v>
      </c>
      <c r="E168" s="19">
        <f t="shared" si="19"/>
        <v>11282828.75</v>
      </c>
      <c r="F168" s="2">
        <f t="shared" si="16"/>
        <v>885641396.73999989</v>
      </c>
      <c r="G168" s="2">
        <f t="shared" si="17"/>
        <v>883821860.48999989</v>
      </c>
    </row>
    <row r="169" spans="1:7" x14ac:dyDescent="0.25">
      <c r="A169" s="36">
        <v>46878</v>
      </c>
      <c r="B169" s="1">
        <f t="shared" si="18"/>
        <v>30</v>
      </c>
      <c r="C169" s="4">
        <f t="shared" ref="C169:C232" si="20">$F$1</f>
        <v>13102365</v>
      </c>
      <c r="D169" s="2">
        <f t="shared" si="15"/>
        <v>2532286.0099999998</v>
      </c>
      <c r="E169" s="19">
        <f t="shared" si="19"/>
        <v>10570078.99</v>
      </c>
      <c r="F169" s="2">
        <f t="shared" si="16"/>
        <v>857350851.58999991</v>
      </c>
      <c r="G169" s="2">
        <f t="shared" si="17"/>
        <v>854818565.57999992</v>
      </c>
    </row>
    <row r="170" spans="1:7" x14ac:dyDescent="0.25">
      <c r="A170" s="36">
        <v>46909</v>
      </c>
      <c r="B170" s="1">
        <f t="shared" si="18"/>
        <v>31</v>
      </c>
      <c r="C170" s="4">
        <f t="shared" si="20"/>
        <v>13102365</v>
      </c>
      <c r="D170" s="2">
        <f t="shared" ref="D170:D233" si="21">C170-E170</f>
        <v>1842716.6400000006</v>
      </c>
      <c r="E170" s="19">
        <f t="shared" si="19"/>
        <v>11259648.359999999</v>
      </c>
      <c r="F170" s="2">
        <f t="shared" ref="F170:F233" si="22">G168-J130</f>
        <v>883821860.48999989</v>
      </c>
      <c r="G170" s="2">
        <f t="shared" ref="G170:G233" si="23">F170-D170</f>
        <v>881979143.8499999</v>
      </c>
    </row>
    <row r="171" spans="1:7" x14ac:dyDescent="0.25">
      <c r="A171" s="36">
        <v>46939</v>
      </c>
      <c r="B171" s="1">
        <f t="shared" si="18"/>
        <v>30</v>
      </c>
      <c r="C171" s="4">
        <f t="shared" si="20"/>
        <v>13102365</v>
      </c>
      <c r="D171" s="2">
        <f t="shared" si="21"/>
        <v>2563505.9700000007</v>
      </c>
      <c r="E171" s="19">
        <f t="shared" si="19"/>
        <v>10538859.029999999</v>
      </c>
      <c r="F171" s="2">
        <f t="shared" si="22"/>
        <v>854818565.57999992</v>
      </c>
      <c r="G171" s="2">
        <f t="shared" si="23"/>
        <v>852255059.6099999</v>
      </c>
    </row>
    <row r="172" spans="1:7" x14ac:dyDescent="0.25">
      <c r="A172" s="36">
        <v>46970</v>
      </c>
      <c r="B172" s="1">
        <f t="shared" si="18"/>
        <v>31</v>
      </c>
      <c r="C172" s="4">
        <f t="shared" si="20"/>
        <v>13102365</v>
      </c>
      <c r="D172" s="2">
        <f t="shared" si="21"/>
        <v>1866192.3499999996</v>
      </c>
      <c r="E172" s="19">
        <f t="shared" si="19"/>
        <v>11236172.65</v>
      </c>
      <c r="F172" s="2">
        <f t="shared" si="22"/>
        <v>881979143.8499999</v>
      </c>
      <c r="G172" s="2">
        <f t="shared" si="23"/>
        <v>880112951.49999988</v>
      </c>
    </row>
    <row r="173" spans="1:7" x14ac:dyDescent="0.25">
      <c r="A173" s="36">
        <v>47001</v>
      </c>
      <c r="B173" s="1">
        <f t="shared" si="18"/>
        <v>31</v>
      </c>
      <c r="C173" s="4">
        <f t="shared" si="20"/>
        <v>13102365</v>
      </c>
      <c r="D173" s="2">
        <f t="shared" si="21"/>
        <v>2244869.0399999991</v>
      </c>
      <c r="E173" s="19">
        <f t="shared" si="19"/>
        <v>10857495.960000001</v>
      </c>
      <c r="F173" s="2">
        <f t="shared" si="22"/>
        <v>852255059.6099999</v>
      </c>
      <c r="G173" s="2">
        <f t="shared" si="23"/>
        <v>850010190.56999993</v>
      </c>
    </row>
    <row r="174" spans="1:7" x14ac:dyDescent="0.25">
      <c r="A174" s="36">
        <v>47031</v>
      </c>
      <c r="B174" s="1">
        <f t="shared" si="18"/>
        <v>30</v>
      </c>
      <c r="C174" s="4">
        <f t="shared" si="20"/>
        <v>13102365</v>
      </c>
      <c r="D174" s="2">
        <f t="shared" si="21"/>
        <v>2251657.3800000008</v>
      </c>
      <c r="E174" s="19">
        <f t="shared" si="19"/>
        <v>10850707.619999999</v>
      </c>
      <c r="F174" s="2">
        <f t="shared" si="22"/>
        <v>880112951.49999988</v>
      </c>
      <c r="G174" s="2">
        <f t="shared" si="23"/>
        <v>877861294.11999989</v>
      </c>
    </row>
    <row r="175" spans="1:7" x14ac:dyDescent="0.25">
      <c r="A175" s="36">
        <v>47062</v>
      </c>
      <c r="B175" s="1">
        <f t="shared" si="18"/>
        <v>31</v>
      </c>
      <c r="C175" s="4">
        <f t="shared" si="20"/>
        <v>13102365</v>
      </c>
      <c r="D175" s="2">
        <f t="shared" si="21"/>
        <v>2273468.0500000007</v>
      </c>
      <c r="E175" s="19">
        <f t="shared" si="19"/>
        <v>10828896.949999999</v>
      </c>
      <c r="F175" s="2">
        <f t="shared" si="22"/>
        <v>850010190.56999993</v>
      </c>
      <c r="G175" s="2">
        <f t="shared" si="23"/>
        <v>847736722.51999998</v>
      </c>
    </row>
    <row r="176" spans="1:7" x14ac:dyDescent="0.25">
      <c r="A176" s="36">
        <v>47092</v>
      </c>
      <c r="B176" s="1">
        <f t="shared" si="18"/>
        <v>30</v>
      </c>
      <c r="C176" s="4">
        <f t="shared" si="20"/>
        <v>13102365</v>
      </c>
      <c r="D176" s="2">
        <f t="shared" si="21"/>
        <v>2279417.5399999991</v>
      </c>
      <c r="E176" s="19">
        <f t="shared" si="19"/>
        <v>10822947.460000001</v>
      </c>
      <c r="F176" s="2">
        <f t="shared" si="22"/>
        <v>877861294.11999989</v>
      </c>
      <c r="G176" s="2">
        <f t="shared" si="23"/>
        <v>875581876.57999992</v>
      </c>
    </row>
    <row r="177" spans="1:7" x14ac:dyDescent="0.25">
      <c r="A177" s="36">
        <v>47123</v>
      </c>
      <c r="B177" s="1">
        <f t="shared" si="18"/>
        <v>31</v>
      </c>
      <c r="C177" s="4">
        <f t="shared" si="20"/>
        <v>13102365</v>
      </c>
      <c r="D177" s="2">
        <f t="shared" si="21"/>
        <v>2302431.41</v>
      </c>
      <c r="E177" s="19">
        <f t="shared" si="19"/>
        <v>10799933.59</v>
      </c>
      <c r="F177" s="2">
        <f t="shared" si="22"/>
        <v>847736722.51999998</v>
      </c>
      <c r="G177" s="2">
        <f t="shared" si="23"/>
        <v>845434291.11000001</v>
      </c>
    </row>
    <row r="178" spans="1:7" x14ac:dyDescent="0.25">
      <c r="A178" s="36">
        <v>47154</v>
      </c>
      <c r="B178" s="1">
        <f t="shared" si="18"/>
        <v>31</v>
      </c>
      <c r="C178" s="4">
        <f t="shared" si="20"/>
        <v>13102365</v>
      </c>
      <c r="D178" s="2">
        <f t="shared" si="21"/>
        <v>1947691.7799999993</v>
      </c>
      <c r="E178" s="19">
        <f t="shared" si="19"/>
        <v>11154673.220000001</v>
      </c>
      <c r="F178" s="2">
        <f t="shared" si="22"/>
        <v>875581876.57999992</v>
      </c>
      <c r="G178" s="2">
        <f t="shared" si="23"/>
        <v>873634184.79999995</v>
      </c>
    </row>
    <row r="179" spans="1:7" x14ac:dyDescent="0.25">
      <c r="A179" s="36">
        <v>47182</v>
      </c>
      <c r="B179" s="1">
        <f t="shared" si="18"/>
        <v>28</v>
      </c>
      <c r="C179" s="4">
        <f t="shared" si="20"/>
        <v>13102365</v>
      </c>
      <c r="D179" s="2">
        <f t="shared" si="21"/>
        <v>3374080.01</v>
      </c>
      <c r="E179" s="19">
        <f t="shared" si="19"/>
        <v>9728284.9900000002</v>
      </c>
      <c r="F179" s="2">
        <f t="shared" si="22"/>
        <v>845434291.11000001</v>
      </c>
      <c r="G179" s="2">
        <f t="shared" si="23"/>
        <v>842060211.10000002</v>
      </c>
    </row>
    <row r="180" spans="1:7" x14ac:dyDescent="0.25">
      <c r="A180" s="36">
        <v>47213</v>
      </c>
      <c r="B180" s="1">
        <f t="shared" si="18"/>
        <v>31</v>
      </c>
      <c r="C180" s="4">
        <f t="shared" si="20"/>
        <v>13102365</v>
      </c>
      <c r="D180" s="2">
        <f t="shared" si="21"/>
        <v>1972504.8399999999</v>
      </c>
      <c r="E180" s="19">
        <f t="shared" si="19"/>
        <v>11129860.16</v>
      </c>
      <c r="F180" s="2">
        <f t="shared" si="22"/>
        <v>873634184.79999995</v>
      </c>
      <c r="G180" s="2">
        <f t="shared" si="23"/>
        <v>871661679.95999992</v>
      </c>
    </row>
    <row r="181" spans="1:7" x14ac:dyDescent="0.25">
      <c r="A181" s="36">
        <v>47243</v>
      </c>
      <c r="B181" s="1">
        <f t="shared" si="18"/>
        <v>30</v>
      </c>
      <c r="C181" s="4">
        <f t="shared" si="20"/>
        <v>13102365</v>
      </c>
      <c r="D181" s="2">
        <f t="shared" si="21"/>
        <v>2720800.75</v>
      </c>
      <c r="E181" s="19">
        <f t="shared" si="19"/>
        <v>10381564.25</v>
      </c>
      <c r="F181" s="2">
        <f t="shared" si="22"/>
        <v>842060211.10000002</v>
      </c>
      <c r="G181" s="2">
        <f t="shared" si="23"/>
        <v>839339410.35000002</v>
      </c>
    </row>
    <row r="182" spans="1:7" x14ac:dyDescent="0.25">
      <c r="A182" s="36">
        <v>47274</v>
      </c>
      <c r="B182" s="1">
        <f t="shared" si="18"/>
        <v>31</v>
      </c>
      <c r="C182" s="4">
        <f t="shared" si="20"/>
        <v>13102365</v>
      </c>
      <c r="D182" s="2">
        <f t="shared" si="21"/>
        <v>1997634.0099999998</v>
      </c>
      <c r="E182" s="19">
        <f t="shared" si="19"/>
        <v>11104730.99</v>
      </c>
      <c r="F182" s="2">
        <f t="shared" si="22"/>
        <v>871661679.95999992</v>
      </c>
      <c r="G182" s="2">
        <f t="shared" si="23"/>
        <v>869664045.94999993</v>
      </c>
    </row>
    <row r="183" spans="1:7" x14ac:dyDescent="0.25">
      <c r="A183" s="36">
        <v>47304</v>
      </c>
      <c r="B183" s="1">
        <f t="shared" si="18"/>
        <v>30</v>
      </c>
      <c r="C183" s="4">
        <f t="shared" si="20"/>
        <v>13102365</v>
      </c>
      <c r="D183" s="2">
        <f t="shared" si="21"/>
        <v>2754344.8699999992</v>
      </c>
      <c r="E183" s="19">
        <f t="shared" si="19"/>
        <v>10348020.130000001</v>
      </c>
      <c r="F183" s="2">
        <f t="shared" si="22"/>
        <v>839339410.35000002</v>
      </c>
      <c r="G183" s="2">
        <f t="shared" si="23"/>
        <v>836585065.48000002</v>
      </c>
    </row>
    <row r="184" spans="1:7" x14ac:dyDescent="0.25">
      <c r="A184" s="36">
        <v>47335</v>
      </c>
      <c r="B184" s="1">
        <f t="shared" si="18"/>
        <v>31</v>
      </c>
      <c r="C184" s="4">
        <f t="shared" si="20"/>
        <v>13102365</v>
      </c>
      <c r="D184" s="2">
        <f t="shared" si="21"/>
        <v>2023083.3200000003</v>
      </c>
      <c r="E184" s="19">
        <f t="shared" si="19"/>
        <v>11079281.68</v>
      </c>
      <c r="F184" s="2">
        <f t="shared" si="22"/>
        <v>869664045.94999993</v>
      </c>
      <c r="G184" s="2">
        <f t="shared" si="23"/>
        <v>867640962.62999988</v>
      </c>
    </row>
    <row r="185" spans="1:7" x14ac:dyDescent="0.25">
      <c r="A185" s="36">
        <v>47366</v>
      </c>
      <c r="B185" s="1">
        <f t="shared" si="18"/>
        <v>31</v>
      </c>
      <c r="C185" s="4">
        <f t="shared" si="20"/>
        <v>13102365</v>
      </c>
      <c r="D185" s="2">
        <f t="shared" si="21"/>
        <v>2444500.4700000007</v>
      </c>
      <c r="E185" s="19">
        <f t="shared" si="19"/>
        <v>10657864.529999999</v>
      </c>
      <c r="F185" s="2">
        <f t="shared" si="22"/>
        <v>836585065.48000002</v>
      </c>
      <c r="G185" s="2">
        <f t="shared" si="23"/>
        <v>834140565.00999999</v>
      </c>
    </row>
    <row r="186" spans="1:7" x14ac:dyDescent="0.25">
      <c r="A186" s="36">
        <v>47396</v>
      </c>
      <c r="B186" s="1">
        <f t="shared" si="18"/>
        <v>30</v>
      </c>
      <c r="C186" s="4">
        <f t="shared" si="20"/>
        <v>13102365</v>
      </c>
      <c r="D186" s="2">
        <f t="shared" si="21"/>
        <v>2405421.6300000008</v>
      </c>
      <c r="E186" s="19">
        <f t="shared" si="19"/>
        <v>10696943.369999999</v>
      </c>
      <c r="F186" s="2">
        <f t="shared" si="22"/>
        <v>867640962.62999988</v>
      </c>
      <c r="G186" s="2">
        <f t="shared" si="23"/>
        <v>865235540.99999988</v>
      </c>
    </row>
    <row r="187" spans="1:7" x14ac:dyDescent="0.25">
      <c r="A187" s="36">
        <v>47427</v>
      </c>
      <c r="B187" s="1">
        <f t="shared" si="18"/>
        <v>31</v>
      </c>
      <c r="C187" s="4">
        <f t="shared" si="20"/>
        <v>13102365</v>
      </c>
      <c r="D187" s="2">
        <f t="shared" si="21"/>
        <v>2475642.7300000004</v>
      </c>
      <c r="E187" s="19">
        <f t="shared" si="19"/>
        <v>10626722.27</v>
      </c>
      <c r="F187" s="2">
        <f t="shared" si="22"/>
        <v>834140565.00999999</v>
      </c>
      <c r="G187" s="2">
        <f t="shared" si="23"/>
        <v>831664922.27999997</v>
      </c>
    </row>
    <row r="188" spans="1:7" x14ac:dyDescent="0.25">
      <c r="A188" s="36">
        <v>47457</v>
      </c>
      <c r="B188" s="1">
        <f t="shared" si="18"/>
        <v>30</v>
      </c>
      <c r="C188" s="4">
        <f t="shared" si="20"/>
        <v>13102365</v>
      </c>
      <c r="D188" s="2">
        <f t="shared" si="21"/>
        <v>2435077.5099999998</v>
      </c>
      <c r="E188" s="19">
        <f t="shared" si="19"/>
        <v>10667287.49</v>
      </c>
      <c r="F188" s="2">
        <f t="shared" si="22"/>
        <v>865235540.99999988</v>
      </c>
      <c r="G188" s="2">
        <f t="shared" si="23"/>
        <v>862800463.48999989</v>
      </c>
    </row>
    <row r="189" spans="1:7" x14ac:dyDescent="0.25">
      <c r="A189" s="36">
        <v>47488</v>
      </c>
      <c r="B189" s="1">
        <f t="shared" si="18"/>
        <v>31</v>
      </c>
      <c r="C189" s="4">
        <f t="shared" si="20"/>
        <v>13102365</v>
      </c>
      <c r="D189" s="2">
        <f t="shared" si="21"/>
        <v>2507181.7400000002</v>
      </c>
      <c r="E189" s="19">
        <f t="shared" si="19"/>
        <v>10595183.26</v>
      </c>
      <c r="F189" s="2">
        <f t="shared" si="22"/>
        <v>831664922.27999997</v>
      </c>
      <c r="G189" s="2">
        <f t="shared" si="23"/>
        <v>829157740.53999996</v>
      </c>
    </row>
    <row r="190" spans="1:7" x14ac:dyDescent="0.25">
      <c r="A190" s="36">
        <v>47519</v>
      </c>
      <c r="B190" s="1">
        <f t="shared" si="18"/>
        <v>31</v>
      </c>
      <c r="C190" s="4">
        <f t="shared" si="20"/>
        <v>13102365</v>
      </c>
      <c r="D190" s="2">
        <f t="shared" si="21"/>
        <v>2110523.4800000004</v>
      </c>
      <c r="E190" s="19">
        <f t="shared" si="19"/>
        <v>10991841.52</v>
      </c>
      <c r="F190" s="2">
        <f t="shared" si="22"/>
        <v>862800463.48999989</v>
      </c>
      <c r="G190" s="2">
        <f t="shared" si="23"/>
        <v>860689940.00999987</v>
      </c>
    </row>
    <row r="191" spans="1:7" x14ac:dyDescent="0.25">
      <c r="A191" s="36">
        <v>47547</v>
      </c>
      <c r="B191" s="1">
        <f t="shared" si="18"/>
        <v>28</v>
      </c>
      <c r="C191" s="4">
        <f t="shared" si="20"/>
        <v>13102365</v>
      </c>
      <c r="D191" s="2">
        <f t="shared" si="21"/>
        <v>3561371.8200000003</v>
      </c>
      <c r="E191" s="19">
        <f t="shared" si="19"/>
        <v>9540993.1799999997</v>
      </c>
      <c r="F191" s="2">
        <f t="shared" si="22"/>
        <v>829157740.53999996</v>
      </c>
      <c r="G191" s="2">
        <f t="shared" si="23"/>
        <v>825596368.71999991</v>
      </c>
    </row>
    <row r="192" spans="1:7" x14ac:dyDescent="0.25">
      <c r="A192" s="36">
        <v>47578</v>
      </c>
      <c r="B192" s="1">
        <f t="shared" si="18"/>
        <v>31</v>
      </c>
      <c r="C192" s="4">
        <f t="shared" si="20"/>
        <v>13102365</v>
      </c>
      <c r="D192" s="2">
        <f t="shared" si="21"/>
        <v>2137410.9700000007</v>
      </c>
      <c r="E192" s="19">
        <f t="shared" si="19"/>
        <v>10964954.029999999</v>
      </c>
      <c r="F192" s="2">
        <f t="shared" si="22"/>
        <v>860689940.00999987</v>
      </c>
      <c r="G192" s="2">
        <f t="shared" si="23"/>
        <v>858552529.03999984</v>
      </c>
    </row>
    <row r="193" spans="1:7" x14ac:dyDescent="0.25">
      <c r="A193" s="36">
        <v>47608</v>
      </c>
      <c r="B193" s="1">
        <f t="shared" si="18"/>
        <v>30</v>
      </c>
      <c r="C193" s="4">
        <f t="shared" si="20"/>
        <v>13102365</v>
      </c>
      <c r="D193" s="2">
        <f t="shared" si="21"/>
        <v>2923779.6300000008</v>
      </c>
      <c r="E193" s="19">
        <f t="shared" si="19"/>
        <v>10178585.369999999</v>
      </c>
      <c r="F193" s="2">
        <f t="shared" si="22"/>
        <v>825596368.71999991</v>
      </c>
      <c r="G193" s="2">
        <f t="shared" si="23"/>
        <v>822672589.08999991</v>
      </c>
    </row>
    <row r="194" spans="1:7" x14ac:dyDescent="0.25">
      <c r="A194" s="36">
        <v>47639</v>
      </c>
      <c r="B194" s="1">
        <f t="shared" si="18"/>
        <v>31</v>
      </c>
      <c r="C194" s="4">
        <f t="shared" si="20"/>
        <v>13102365</v>
      </c>
      <c r="D194" s="2">
        <f t="shared" si="21"/>
        <v>2164641</v>
      </c>
      <c r="E194" s="19">
        <f t="shared" si="19"/>
        <v>10937724</v>
      </c>
      <c r="F194" s="2">
        <f t="shared" si="22"/>
        <v>858552529.03999984</v>
      </c>
      <c r="G194" s="2">
        <f t="shared" si="23"/>
        <v>856387888.03999984</v>
      </c>
    </row>
    <row r="195" spans="1:7" x14ac:dyDescent="0.25">
      <c r="A195" s="36">
        <v>47669</v>
      </c>
      <c r="B195" s="1">
        <f t="shared" si="18"/>
        <v>30</v>
      </c>
      <c r="C195" s="4">
        <f t="shared" si="20"/>
        <v>13102365</v>
      </c>
      <c r="D195" s="2">
        <f t="shared" si="21"/>
        <v>2959826.2300000004</v>
      </c>
      <c r="E195" s="19">
        <f t="shared" si="19"/>
        <v>10142538.77</v>
      </c>
      <c r="F195" s="2">
        <f t="shared" si="22"/>
        <v>822672589.08999991</v>
      </c>
      <c r="G195" s="2">
        <f t="shared" si="23"/>
        <v>819712762.8599999</v>
      </c>
    </row>
    <row r="196" spans="1:7" x14ac:dyDescent="0.25">
      <c r="A196" s="36">
        <v>47700</v>
      </c>
      <c r="B196" s="1">
        <f t="shared" si="18"/>
        <v>31</v>
      </c>
      <c r="C196" s="4">
        <f t="shared" si="20"/>
        <v>13102365</v>
      </c>
      <c r="D196" s="2">
        <f t="shared" si="21"/>
        <v>2192217.9299999997</v>
      </c>
      <c r="E196" s="19">
        <f t="shared" si="19"/>
        <v>10910147.07</v>
      </c>
      <c r="F196" s="2">
        <f t="shared" si="22"/>
        <v>856387888.03999984</v>
      </c>
      <c r="G196" s="2">
        <f t="shared" si="23"/>
        <v>854195670.1099999</v>
      </c>
    </row>
    <row r="197" spans="1:7" x14ac:dyDescent="0.25">
      <c r="A197" s="36">
        <v>47731</v>
      </c>
      <c r="B197" s="1">
        <f t="shared" si="18"/>
        <v>31</v>
      </c>
      <c r="C197" s="4">
        <f t="shared" si="20"/>
        <v>13102365</v>
      </c>
      <c r="D197" s="2">
        <f t="shared" si="21"/>
        <v>2659448.9800000004</v>
      </c>
      <c r="E197" s="19">
        <f t="shared" si="19"/>
        <v>10442916.02</v>
      </c>
      <c r="F197" s="2">
        <f t="shared" si="22"/>
        <v>819712762.8599999</v>
      </c>
      <c r="G197" s="2">
        <f t="shared" si="23"/>
        <v>817053313.87999988</v>
      </c>
    </row>
    <row r="198" spans="1:7" x14ac:dyDescent="0.25">
      <c r="A198" s="36">
        <v>47761</v>
      </c>
      <c r="B198" s="1">
        <f t="shared" ref="B198:B244" si="24">_xlfn.DAYS(A198,A197)</f>
        <v>30</v>
      </c>
      <c r="C198" s="4">
        <f t="shared" si="20"/>
        <v>13102365</v>
      </c>
      <c r="D198" s="2">
        <f t="shared" si="21"/>
        <v>2571185.5099999998</v>
      </c>
      <c r="E198" s="19">
        <f t="shared" ref="E198:E244" si="25">ROUND(F198*$B$2*B198/365,2)</f>
        <v>10531179.49</v>
      </c>
      <c r="F198" s="2">
        <f t="shared" si="22"/>
        <v>854195670.1099999</v>
      </c>
      <c r="G198" s="2">
        <f t="shared" si="23"/>
        <v>851624484.5999999</v>
      </c>
    </row>
    <row r="199" spans="1:7" x14ac:dyDescent="0.25">
      <c r="A199" s="36">
        <v>47792</v>
      </c>
      <c r="B199" s="1">
        <f t="shared" si="24"/>
        <v>31</v>
      </c>
      <c r="C199" s="4">
        <f t="shared" si="20"/>
        <v>13102365</v>
      </c>
      <c r="D199" s="2">
        <f t="shared" si="21"/>
        <v>2693329.6300000008</v>
      </c>
      <c r="E199" s="19">
        <f t="shared" si="25"/>
        <v>10409035.369999999</v>
      </c>
      <c r="F199" s="2">
        <f t="shared" si="22"/>
        <v>817053313.87999988</v>
      </c>
      <c r="G199" s="2">
        <f t="shared" si="23"/>
        <v>814359984.24999988</v>
      </c>
    </row>
    <row r="200" spans="1:7" x14ac:dyDescent="0.25">
      <c r="A200" s="36">
        <v>47822</v>
      </c>
      <c r="B200" s="1">
        <f t="shared" si="24"/>
        <v>30</v>
      </c>
      <c r="C200" s="4">
        <f t="shared" si="20"/>
        <v>13102365</v>
      </c>
      <c r="D200" s="2">
        <f t="shared" si="21"/>
        <v>2602885.0500000007</v>
      </c>
      <c r="E200" s="19">
        <f t="shared" si="25"/>
        <v>10499479.949999999</v>
      </c>
      <c r="F200" s="2">
        <f t="shared" si="22"/>
        <v>851624484.5999999</v>
      </c>
      <c r="G200" s="2">
        <f t="shared" si="23"/>
        <v>849021599.54999995</v>
      </c>
    </row>
    <row r="201" spans="1:7" x14ac:dyDescent="0.25">
      <c r="A201" s="36">
        <v>47853</v>
      </c>
      <c r="B201" s="1">
        <f t="shared" si="24"/>
        <v>31</v>
      </c>
      <c r="C201" s="4">
        <f t="shared" si="20"/>
        <v>13102365</v>
      </c>
      <c r="D201" s="2">
        <f t="shared" si="21"/>
        <v>2727641.91</v>
      </c>
      <c r="E201" s="19">
        <f t="shared" si="25"/>
        <v>10374723.09</v>
      </c>
      <c r="F201" s="2">
        <f t="shared" si="22"/>
        <v>814359984.24999988</v>
      </c>
      <c r="G201" s="2">
        <f t="shared" si="23"/>
        <v>811632342.33999991</v>
      </c>
    </row>
    <row r="202" spans="1:7" x14ac:dyDescent="0.25">
      <c r="A202" s="36">
        <v>47884</v>
      </c>
      <c r="B202" s="1">
        <f t="shared" si="24"/>
        <v>31</v>
      </c>
      <c r="C202" s="4">
        <f t="shared" si="20"/>
        <v>13102365</v>
      </c>
      <c r="D202" s="2">
        <f t="shared" si="21"/>
        <v>2286062.4299999997</v>
      </c>
      <c r="E202" s="19">
        <f t="shared" si="25"/>
        <v>10816302.57</v>
      </c>
      <c r="F202" s="2">
        <f t="shared" si="22"/>
        <v>849021599.54999995</v>
      </c>
      <c r="G202" s="2">
        <f t="shared" si="23"/>
        <v>846735537.12</v>
      </c>
    </row>
    <row r="203" spans="1:7" x14ac:dyDescent="0.25">
      <c r="A203" s="36">
        <v>47912</v>
      </c>
      <c r="B203" s="1">
        <f t="shared" si="24"/>
        <v>28</v>
      </c>
      <c r="C203" s="4">
        <f t="shared" si="20"/>
        <v>13102365</v>
      </c>
      <c r="D203" s="2">
        <f t="shared" si="21"/>
        <v>3763033.9399999995</v>
      </c>
      <c r="E203" s="19">
        <f t="shared" si="25"/>
        <v>9339331.0600000005</v>
      </c>
      <c r="F203" s="2">
        <f t="shared" si="22"/>
        <v>811632342.33999991</v>
      </c>
      <c r="G203" s="2">
        <f t="shared" si="23"/>
        <v>807869308.39999986</v>
      </c>
    </row>
    <row r="204" spans="1:7" x14ac:dyDescent="0.25">
      <c r="A204" s="36">
        <v>47943</v>
      </c>
      <c r="B204" s="1">
        <f t="shared" si="24"/>
        <v>31</v>
      </c>
      <c r="C204" s="4">
        <f t="shared" si="20"/>
        <v>13102365</v>
      </c>
      <c r="D204" s="2">
        <f t="shared" si="21"/>
        <v>2315186.2400000002</v>
      </c>
      <c r="E204" s="19">
        <f t="shared" si="25"/>
        <v>10787178.76</v>
      </c>
      <c r="F204" s="2">
        <f t="shared" si="22"/>
        <v>846735537.12</v>
      </c>
      <c r="G204" s="2">
        <f t="shared" si="23"/>
        <v>844420350.88</v>
      </c>
    </row>
    <row r="205" spans="1:7" x14ac:dyDescent="0.25">
      <c r="A205" s="36">
        <v>47973</v>
      </c>
      <c r="B205" s="1">
        <f t="shared" si="24"/>
        <v>30</v>
      </c>
      <c r="C205" s="4">
        <f t="shared" si="20"/>
        <v>13102365</v>
      </c>
      <c r="D205" s="2">
        <f t="shared" si="21"/>
        <v>3142332.4299999997</v>
      </c>
      <c r="E205" s="19">
        <f t="shared" si="25"/>
        <v>9960032.5700000003</v>
      </c>
      <c r="F205" s="2">
        <f t="shared" si="22"/>
        <v>807869308.39999986</v>
      </c>
      <c r="G205" s="2">
        <f t="shared" si="23"/>
        <v>804726975.96999991</v>
      </c>
    </row>
    <row r="206" spans="1:7" x14ac:dyDescent="0.25">
      <c r="A206" s="36">
        <v>48004</v>
      </c>
      <c r="B206" s="1">
        <f t="shared" si="24"/>
        <v>31</v>
      </c>
      <c r="C206" s="4">
        <f t="shared" si="20"/>
        <v>13102365</v>
      </c>
      <c r="D206" s="2">
        <f t="shared" si="21"/>
        <v>2344681.08</v>
      </c>
      <c r="E206" s="19">
        <f t="shared" si="25"/>
        <v>10757683.92</v>
      </c>
      <c r="F206" s="2">
        <f t="shared" si="22"/>
        <v>844420350.88</v>
      </c>
      <c r="G206" s="2">
        <f t="shared" si="23"/>
        <v>842075669.79999995</v>
      </c>
    </row>
    <row r="207" spans="1:7" x14ac:dyDescent="0.25">
      <c r="A207" s="36">
        <v>48034</v>
      </c>
      <c r="B207" s="1">
        <f t="shared" si="24"/>
        <v>30</v>
      </c>
      <c r="C207" s="4">
        <f t="shared" si="20"/>
        <v>13102365</v>
      </c>
      <c r="D207" s="2">
        <f t="shared" si="21"/>
        <v>3181073.5199999996</v>
      </c>
      <c r="E207" s="19">
        <f t="shared" si="25"/>
        <v>9921291.4800000004</v>
      </c>
      <c r="F207" s="2">
        <f t="shared" si="22"/>
        <v>804726975.96999991</v>
      </c>
      <c r="G207" s="2">
        <f t="shared" si="23"/>
        <v>801545902.44999993</v>
      </c>
    </row>
    <row r="208" spans="1:7" x14ac:dyDescent="0.25">
      <c r="A208" s="36">
        <v>48065</v>
      </c>
      <c r="B208" s="1">
        <f t="shared" si="24"/>
        <v>31</v>
      </c>
      <c r="C208" s="4">
        <f t="shared" si="20"/>
        <v>13102365</v>
      </c>
      <c r="D208" s="2">
        <f t="shared" si="21"/>
        <v>2374551.67</v>
      </c>
      <c r="E208" s="19">
        <f t="shared" si="25"/>
        <v>10727813.33</v>
      </c>
      <c r="F208" s="2">
        <f t="shared" si="22"/>
        <v>842075669.79999995</v>
      </c>
      <c r="G208" s="2">
        <f t="shared" si="23"/>
        <v>839701118.13</v>
      </c>
    </row>
    <row r="209" spans="1:7" x14ac:dyDescent="0.25">
      <c r="A209" s="36">
        <v>48096</v>
      </c>
      <c r="B209" s="1">
        <f t="shared" si="24"/>
        <v>31</v>
      </c>
      <c r="C209" s="4">
        <f t="shared" si="20"/>
        <v>13102365</v>
      </c>
      <c r="D209" s="2">
        <f t="shared" si="21"/>
        <v>2890889.8000000007</v>
      </c>
      <c r="E209" s="19">
        <f t="shared" si="25"/>
        <v>10211475.199999999</v>
      </c>
      <c r="F209" s="2">
        <f t="shared" si="22"/>
        <v>801545902.44999993</v>
      </c>
      <c r="G209" s="2">
        <f t="shared" si="23"/>
        <v>798655012.64999998</v>
      </c>
    </row>
    <row r="210" spans="1:7" x14ac:dyDescent="0.25">
      <c r="A210" s="36">
        <v>48126</v>
      </c>
      <c r="B210" s="1">
        <f t="shared" si="24"/>
        <v>30</v>
      </c>
      <c r="C210" s="4">
        <f t="shared" si="20"/>
        <v>13102365</v>
      </c>
      <c r="D210" s="2">
        <f t="shared" si="21"/>
        <v>2749885.4600000009</v>
      </c>
      <c r="E210" s="19">
        <f t="shared" si="25"/>
        <v>10352479.539999999</v>
      </c>
      <c r="F210" s="2">
        <f t="shared" si="22"/>
        <v>839701118.13</v>
      </c>
      <c r="G210" s="2">
        <f t="shared" si="23"/>
        <v>836951232.66999996</v>
      </c>
    </row>
    <row r="211" spans="1:7" x14ac:dyDescent="0.25">
      <c r="A211" s="36">
        <v>48157</v>
      </c>
      <c r="B211" s="1">
        <f t="shared" si="24"/>
        <v>31</v>
      </c>
      <c r="C211" s="4">
        <f t="shared" si="20"/>
        <v>13102365</v>
      </c>
      <c r="D211" s="2">
        <f t="shared" si="21"/>
        <v>2927718.9499999993</v>
      </c>
      <c r="E211" s="19">
        <f t="shared" si="25"/>
        <v>10174646.050000001</v>
      </c>
      <c r="F211" s="2">
        <f t="shared" si="22"/>
        <v>798655012.64999998</v>
      </c>
      <c r="G211" s="2">
        <f t="shared" si="23"/>
        <v>795727293.69999993</v>
      </c>
    </row>
    <row r="212" spans="1:7" x14ac:dyDescent="0.25">
      <c r="A212" s="36">
        <v>48187</v>
      </c>
      <c r="B212" s="1">
        <f t="shared" si="24"/>
        <v>30</v>
      </c>
      <c r="C212" s="4">
        <f t="shared" si="20"/>
        <v>13102365</v>
      </c>
      <c r="D212" s="2">
        <f t="shared" si="21"/>
        <v>2783788.16</v>
      </c>
      <c r="E212" s="19">
        <f t="shared" si="25"/>
        <v>10318576.84</v>
      </c>
      <c r="F212" s="2">
        <f t="shared" si="22"/>
        <v>836951232.66999996</v>
      </c>
      <c r="G212" s="2">
        <f t="shared" si="23"/>
        <v>834167444.50999999</v>
      </c>
    </row>
    <row r="213" spans="1:7" x14ac:dyDescent="0.25">
      <c r="A213" s="36">
        <v>48218</v>
      </c>
      <c r="B213" s="1">
        <f t="shared" si="24"/>
        <v>31</v>
      </c>
      <c r="C213" s="4">
        <f t="shared" si="20"/>
        <v>13102365</v>
      </c>
      <c r="D213" s="2">
        <f t="shared" si="21"/>
        <v>2965017.2899999991</v>
      </c>
      <c r="E213" s="19">
        <f t="shared" si="25"/>
        <v>10137347.710000001</v>
      </c>
      <c r="F213" s="2">
        <f t="shared" si="22"/>
        <v>795727293.69999993</v>
      </c>
      <c r="G213" s="2">
        <f t="shared" si="23"/>
        <v>792762276.40999997</v>
      </c>
    </row>
    <row r="214" spans="1:7" x14ac:dyDescent="0.25">
      <c r="A214" s="36">
        <v>48249</v>
      </c>
      <c r="B214" s="1">
        <f t="shared" si="24"/>
        <v>31</v>
      </c>
      <c r="C214" s="4">
        <f t="shared" si="20"/>
        <v>13102365</v>
      </c>
      <c r="D214" s="2">
        <f t="shared" si="21"/>
        <v>2475300.3000000007</v>
      </c>
      <c r="E214" s="19">
        <f t="shared" si="25"/>
        <v>10627064.699999999</v>
      </c>
      <c r="F214" s="2">
        <f t="shared" si="22"/>
        <v>834167444.50999999</v>
      </c>
      <c r="G214" s="2">
        <f t="shared" si="23"/>
        <v>831692144.21000004</v>
      </c>
    </row>
    <row r="215" spans="1:7" x14ac:dyDescent="0.25">
      <c r="A215" s="36">
        <v>48278</v>
      </c>
      <c r="B215" s="1">
        <f t="shared" si="24"/>
        <v>29</v>
      </c>
      <c r="C215" s="4">
        <f t="shared" si="20"/>
        <v>13102365</v>
      </c>
      <c r="D215" s="2">
        <f t="shared" si="21"/>
        <v>3654376.2300000004</v>
      </c>
      <c r="E215" s="19">
        <f t="shared" si="25"/>
        <v>9447988.7699999996</v>
      </c>
      <c r="F215" s="2">
        <f t="shared" si="22"/>
        <v>792762276.40999997</v>
      </c>
      <c r="G215" s="2">
        <f t="shared" si="23"/>
        <v>789107900.17999995</v>
      </c>
    </row>
    <row r="216" spans="1:7" x14ac:dyDescent="0.25">
      <c r="A216" s="36">
        <v>48309</v>
      </c>
      <c r="B216" s="1">
        <f t="shared" si="24"/>
        <v>31</v>
      </c>
      <c r="C216" s="4">
        <f t="shared" si="20"/>
        <v>13102365</v>
      </c>
      <c r="D216" s="2">
        <f t="shared" si="21"/>
        <v>2506834.9399999995</v>
      </c>
      <c r="E216" s="19">
        <f t="shared" si="25"/>
        <v>10595530.060000001</v>
      </c>
      <c r="F216" s="2">
        <f t="shared" si="22"/>
        <v>831692144.21000004</v>
      </c>
      <c r="G216" s="2">
        <f t="shared" si="23"/>
        <v>829185309.26999998</v>
      </c>
    </row>
    <row r="217" spans="1:7" x14ac:dyDescent="0.25">
      <c r="A217" s="36">
        <v>48339</v>
      </c>
      <c r="B217" s="1">
        <f t="shared" si="24"/>
        <v>30</v>
      </c>
      <c r="C217" s="4">
        <f t="shared" si="20"/>
        <v>13102365</v>
      </c>
      <c r="D217" s="2">
        <f t="shared" si="21"/>
        <v>3373637.4600000009</v>
      </c>
      <c r="E217" s="19">
        <f t="shared" si="25"/>
        <v>9728727.5399999991</v>
      </c>
      <c r="F217" s="2">
        <f t="shared" si="22"/>
        <v>789107900.17999995</v>
      </c>
      <c r="G217" s="2">
        <f t="shared" si="23"/>
        <v>785734262.71999991</v>
      </c>
    </row>
    <row r="218" spans="1:7" x14ac:dyDescent="0.25">
      <c r="A218" s="36">
        <v>48370</v>
      </c>
      <c r="B218" s="1">
        <f t="shared" si="24"/>
        <v>31</v>
      </c>
      <c r="C218" s="4">
        <f t="shared" si="20"/>
        <v>13102365</v>
      </c>
      <c r="D218" s="2">
        <f t="shared" si="21"/>
        <v>2538771.33</v>
      </c>
      <c r="E218" s="19">
        <f t="shared" si="25"/>
        <v>10563593.67</v>
      </c>
      <c r="F218" s="2">
        <f t="shared" si="22"/>
        <v>829185309.26999998</v>
      </c>
      <c r="G218" s="2">
        <f t="shared" si="23"/>
        <v>826646537.93999994</v>
      </c>
    </row>
    <row r="219" spans="1:7" x14ac:dyDescent="0.25">
      <c r="A219" s="36">
        <v>48400</v>
      </c>
      <c r="B219" s="1">
        <f t="shared" si="24"/>
        <v>30</v>
      </c>
      <c r="C219" s="4">
        <f t="shared" si="20"/>
        <v>13102365</v>
      </c>
      <c r="D219" s="2">
        <f t="shared" si="21"/>
        <v>3415230.25</v>
      </c>
      <c r="E219" s="19">
        <f t="shared" si="25"/>
        <v>9687134.75</v>
      </c>
      <c r="F219" s="2">
        <f t="shared" si="22"/>
        <v>785734262.71999991</v>
      </c>
      <c r="G219" s="2">
        <f t="shared" si="23"/>
        <v>782319032.46999991</v>
      </c>
    </row>
    <row r="220" spans="1:7" x14ac:dyDescent="0.25">
      <c r="A220" s="36">
        <v>48431</v>
      </c>
      <c r="B220" s="1">
        <f t="shared" si="24"/>
        <v>31</v>
      </c>
      <c r="C220" s="4">
        <f t="shared" si="20"/>
        <v>13102365</v>
      </c>
      <c r="D220" s="2">
        <f t="shared" si="21"/>
        <v>2571114.59</v>
      </c>
      <c r="E220" s="19">
        <f t="shared" si="25"/>
        <v>10531250.41</v>
      </c>
      <c r="F220" s="2">
        <f t="shared" si="22"/>
        <v>826646537.93999994</v>
      </c>
      <c r="G220" s="2">
        <f t="shared" si="23"/>
        <v>824075423.3499999</v>
      </c>
    </row>
    <row r="221" spans="1:7" x14ac:dyDescent="0.25">
      <c r="A221" s="36">
        <v>48462</v>
      </c>
      <c r="B221" s="1">
        <f t="shared" si="24"/>
        <v>31</v>
      </c>
      <c r="C221" s="4">
        <f t="shared" si="20"/>
        <v>13102365</v>
      </c>
      <c r="D221" s="2">
        <f t="shared" si="21"/>
        <v>3135834.8599999994</v>
      </c>
      <c r="E221" s="19">
        <f t="shared" si="25"/>
        <v>9966530.1400000006</v>
      </c>
      <c r="F221" s="2">
        <f t="shared" si="22"/>
        <v>782319032.46999991</v>
      </c>
      <c r="G221" s="2">
        <f t="shared" si="23"/>
        <v>779183197.6099999</v>
      </c>
    </row>
    <row r="222" spans="1:7" x14ac:dyDescent="0.25">
      <c r="A222" s="36">
        <v>48492</v>
      </c>
      <c r="B222" s="1">
        <f t="shared" si="24"/>
        <v>30</v>
      </c>
      <c r="C222" s="4">
        <f t="shared" si="20"/>
        <v>13102365</v>
      </c>
      <c r="D222" s="2">
        <f t="shared" si="21"/>
        <v>2942531.01</v>
      </c>
      <c r="E222" s="19">
        <f t="shared" si="25"/>
        <v>10159833.99</v>
      </c>
      <c r="F222" s="2">
        <f t="shared" si="22"/>
        <v>824075423.3499999</v>
      </c>
      <c r="G222" s="2">
        <f t="shared" si="23"/>
        <v>821132892.33999991</v>
      </c>
    </row>
    <row r="223" spans="1:7" x14ac:dyDescent="0.25">
      <c r="A223" s="36">
        <v>48523</v>
      </c>
      <c r="B223" s="1">
        <f t="shared" si="24"/>
        <v>31</v>
      </c>
      <c r="C223" s="4">
        <f t="shared" si="20"/>
        <v>13102365</v>
      </c>
      <c r="D223" s="2">
        <f t="shared" si="21"/>
        <v>3175784.5399999991</v>
      </c>
      <c r="E223" s="19">
        <f t="shared" si="25"/>
        <v>9926580.4600000009</v>
      </c>
      <c r="F223" s="2">
        <f t="shared" si="22"/>
        <v>779183197.6099999</v>
      </c>
      <c r="G223" s="2">
        <f t="shared" si="23"/>
        <v>776007413.06999993</v>
      </c>
    </row>
    <row r="224" spans="1:7" x14ac:dyDescent="0.25">
      <c r="A224" s="36">
        <v>48553</v>
      </c>
      <c r="B224" s="1">
        <f t="shared" si="24"/>
        <v>30</v>
      </c>
      <c r="C224" s="4">
        <f t="shared" si="20"/>
        <v>13102365</v>
      </c>
      <c r="D224" s="2">
        <f t="shared" si="21"/>
        <v>2978808.7899999991</v>
      </c>
      <c r="E224" s="19">
        <f t="shared" si="25"/>
        <v>10123556.210000001</v>
      </c>
      <c r="F224" s="2">
        <f t="shared" si="22"/>
        <v>821132892.33999991</v>
      </c>
      <c r="G224" s="2">
        <f t="shared" si="23"/>
        <v>818154083.54999995</v>
      </c>
    </row>
    <row r="225" spans="1:7" x14ac:dyDescent="0.25">
      <c r="A225" s="36">
        <v>48584</v>
      </c>
      <c r="B225" s="1">
        <f t="shared" si="24"/>
        <v>31</v>
      </c>
      <c r="C225" s="4">
        <f t="shared" si="20"/>
        <v>13102365</v>
      </c>
      <c r="D225" s="2">
        <f t="shared" si="21"/>
        <v>3216243.16</v>
      </c>
      <c r="E225" s="19">
        <f t="shared" si="25"/>
        <v>9886121.8399999999</v>
      </c>
      <c r="F225" s="2">
        <f t="shared" si="22"/>
        <v>776007413.06999993</v>
      </c>
      <c r="G225" s="2">
        <f t="shared" si="23"/>
        <v>772791169.90999997</v>
      </c>
    </row>
    <row r="226" spans="1:7" x14ac:dyDescent="0.25">
      <c r="A226" s="36">
        <v>48615</v>
      </c>
      <c r="B226" s="1">
        <f t="shared" si="24"/>
        <v>31</v>
      </c>
      <c r="C226" s="4">
        <f t="shared" si="20"/>
        <v>13102365</v>
      </c>
      <c r="D226" s="2">
        <f t="shared" si="21"/>
        <v>2679306.1300000008</v>
      </c>
      <c r="E226" s="19">
        <f t="shared" si="25"/>
        <v>10423058.869999999</v>
      </c>
      <c r="F226" s="2">
        <f t="shared" si="22"/>
        <v>818154083.54999995</v>
      </c>
      <c r="G226" s="2">
        <f t="shared" si="23"/>
        <v>815474777.41999996</v>
      </c>
    </row>
    <row r="227" spans="1:7" x14ac:dyDescent="0.25">
      <c r="A227" s="36">
        <v>48643</v>
      </c>
      <c r="B227" s="1">
        <f t="shared" si="24"/>
        <v>28</v>
      </c>
      <c r="C227" s="4">
        <f t="shared" si="20"/>
        <v>13102365</v>
      </c>
      <c r="D227" s="2">
        <f t="shared" si="21"/>
        <v>4209973.4600000009</v>
      </c>
      <c r="E227" s="19">
        <f t="shared" si="25"/>
        <v>8892391.5399999991</v>
      </c>
      <c r="F227" s="2">
        <f t="shared" si="22"/>
        <v>772791169.90999997</v>
      </c>
      <c r="G227" s="2">
        <f t="shared" si="23"/>
        <v>768581196.44999993</v>
      </c>
    </row>
    <row r="228" spans="1:7" x14ac:dyDescent="0.25">
      <c r="A228" s="36">
        <v>48674</v>
      </c>
      <c r="B228" s="1">
        <f t="shared" si="24"/>
        <v>31</v>
      </c>
      <c r="C228" s="4">
        <f t="shared" si="20"/>
        <v>13102365</v>
      </c>
      <c r="D228" s="2">
        <f t="shared" si="21"/>
        <v>2713439.75</v>
      </c>
      <c r="E228" s="19">
        <f t="shared" si="25"/>
        <v>10388925.25</v>
      </c>
      <c r="F228" s="2">
        <f t="shared" si="22"/>
        <v>815474777.41999996</v>
      </c>
      <c r="G228" s="2">
        <f t="shared" si="23"/>
        <v>812761337.66999996</v>
      </c>
    </row>
    <row r="229" spans="1:7" x14ac:dyDescent="0.25">
      <c r="A229" s="36">
        <v>48704</v>
      </c>
      <c r="B229" s="1">
        <f t="shared" si="24"/>
        <v>30</v>
      </c>
      <c r="C229" s="4">
        <f t="shared" si="20"/>
        <v>13102365</v>
      </c>
      <c r="D229" s="2">
        <f t="shared" si="21"/>
        <v>3626706.41</v>
      </c>
      <c r="E229" s="19">
        <f t="shared" si="25"/>
        <v>9475658.5899999999</v>
      </c>
      <c r="F229" s="2">
        <f t="shared" si="22"/>
        <v>768581196.44999993</v>
      </c>
      <c r="G229" s="2">
        <f t="shared" si="23"/>
        <v>764954490.03999996</v>
      </c>
    </row>
    <row r="230" spans="1:7" x14ac:dyDescent="0.25">
      <c r="A230" s="36">
        <v>48735</v>
      </c>
      <c r="B230" s="1">
        <f t="shared" si="24"/>
        <v>31</v>
      </c>
      <c r="C230" s="4">
        <f t="shared" si="20"/>
        <v>13102365</v>
      </c>
      <c r="D230" s="2">
        <f t="shared" si="21"/>
        <v>2748008.2300000004</v>
      </c>
      <c r="E230" s="19">
        <f t="shared" si="25"/>
        <v>10354356.77</v>
      </c>
      <c r="F230" s="2">
        <f t="shared" si="22"/>
        <v>812761337.66999996</v>
      </c>
      <c r="G230" s="2">
        <f t="shared" si="23"/>
        <v>810013329.43999994</v>
      </c>
    </row>
    <row r="231" spans="1:7" x14ac:dyDescent="0.25">
      <c r="A231" s="36">
        <v>48765</v>
      </c>
      <c r="B231" s="1">
        <f t="shared" si="24"/>
        <v>30</v>
      </c>
      <c r="C231" s="4">
        <f t="shared" si="20"/>
        <v>13102365</v>
      </c>
      <c r="D231" s="2">
        <f t="shared" si="21"/>
        <v>3671419.2300000004</v>
      </c>
      <c r="E231" s="19">
        <f t="shared" si="25"/>
        <v>9430945.7699999996</v>
      </c>
      <c r="F231" s="2">
        <f t="shared" si="22"/>
        <v>764954490.03999996</v>
      </c>
      <c r="G231" s="2">
        <f t="shared" si="23"/>
        <v>761283070.80999994</v>
      </c>
    </row>
    <row r="232" spans="1:7" x14ac:dyDescent="0.25">
      <c r="A232" s="36">
        <v>48796</v>
      </c>
      <c r="B232" s="1">
        <f t="shared" si="24"/>
        <v>31</v>
      </c>
      <c r="C232" s="4">
        <f t="shared" si="20"/>
        <v>13102365</v>
      </c>
      <c r="D232" s="2">
        <f t="shared" si="21"/>
        <v>2783017.0999999996</v>
      </c>
      <c r="E232" s="19">
        <f t="shared" si="25"/>
        <v>10319347.9</v>
      </c>
      <c r="F232" s="2">
        <f t="shared" si="22"/>
        <v>810013329.43999994</v>
      </c>
      <c r="G232" s="2">
        <f t="shared" si="23"/>
        <v>807230312.33999991</v>
      </c>
    </row>
    <row r="233" spans="1:7" x14ac:dyDescent="0.25">
      <c r="A233" s="36">
        <v>48827</v>
      </c>
      <c r="B233" s="1">
        <f t="shared" si="24"/>
        <v>31</v>
      </c>
      <c r="C233" s="4">
        <f t="shared" ref="C233:C244" si="26">$F$1</f>
        <v>13102365</v>
      </c>
      <c r="D233" s="2">
        <f t="shared" si="21"/>
        <v>3403827.25</v>
      </c>
      <c r="E233" s="19">
        <f t="shared" si="25"/>
        <v>9698537.75</v>
      </c>
      <c r="F233" s="2">
        <f t="shared" si="22"/>
        <v>761283070.80999994</v>
      </c>
      <c r="G233" s="2">
        <f t="shared" si="23"/>
        <v>757879243.55999994</v>
      </c>
    </row>
    <row r="234" spans="1:7" x14ac:dyDescent="0.25">
      <c r="A234" s="36">
        <v>48857</v>
      </c>
      <c r="B234" s="1">
        <f t="shared" si="24"/>
        <v>30</v>
      </c>
      <c r="C234" s="4">
        <f t="shared" si="26"/>
        <v>13102365</v>
      </c>
      <c r="D234" s="2">
        <f t="shared" ref="D234:D244" si="27">C234-E234</f>
        <v>3150210.4600000009</v>
      </c>
      <c r="E234" s="19">
        <f t="shared" si="25"/>
        <v>9952154.5399999991</v>
      </c>
      <c r="F234" s="2">
        <f t="shared" ref="F234:F244" si="28">G232-J194</f>
        <v>807230312.33999991</v>
      </c>
      <c r="G234" s="2">
        <f t="shared" ref="G234:G244" si="29">F234-D234</f>
        <v>804080101.87999988</v>
      </c>
    </row>
    <row r="235" spans="1:7" x14ac:dyDescent="0.25">
      <c r="A235" s="36">
        <v>48888</v>
      </c>
      <c r="B235" s="1">
        <f t="shared" si="24"/>
        <v>31</v>
      </c>
      <c r="C235" s="4">
        <f t="shared" si="26"/>
        <v>13102365</v>
      </c>
      <c r="D235" s="2">
        <f t="shared" si="27"/>
        <v>3447191.08</v>
      </c>
      <c r="E235" s="19">
        <f t="shared" si="25"/>
        <v>9655173.9199999999</v>
      </c>
      <c r="F235" s="2">
        <f t="shared" si="28"/>
        <v>757879243.55999994</v>
      </c>
      <c r="G235" s="2">
        <f t="shared" si="29"/>
        <v>754432052.4799999</v>
      </c>
    </row>
    <row r="236" spans="1:7" x14ac:dyDescent="0.25">
      <c r="A236" s="36">
        <v>48918</v>
      </c>
      <c r="B236" s="1">
        <f t="shared" si="24"/>
        <v>30</v>
      </c>
      <c r="C236" s="4">
        <f t="shared" si="26"/>
        <v>13102365</v>
      </c>
      <c r="D236" s="2">
        <f t="shared" si="27"/>
        <v>3189048.6799999997</v>
      </c>
      <c r="E236" s="19">
        <f t="shared" si="25"/>
        <v>9913316.3200000003</v>
      </c>
      <c r="F236" s="2">
        <f t="shared" si="28"/>
        <v>804080101.87999988</v>
      </c>
      <c r="G236" s="2">
        <f t="shared" si="29"/>
        <v>800891053.19999993</v>
      </c>
    </row>
    <row r="237" spans="1:7" x14ac:dyDescent="0.25">
      <c r="A237" s="36">
        <v>48949</v>
      </c>
      <c r="B237" s="1">
        <f t="shared" si="24"/>
        <v>31</v>
      </c>
      <c r="C237" s="4">
        <f t="shared" si="26"/>
        <v>13102365</v>
      </c>
      <c r="D237" s="2">
        <f t="shared" si="27"/>
        <v>3491107.3499999996</v>
      </c>
      <c r="E237" s="19">
        <f t="shared" si="25"/>
        <v>9611257.6500000004</v>
      </c>
      <c r="F237" s="2">
        <f t="shared" si="28"/>
        <v>754432052.4799999</v>
      </c>
      <c r="G237" s="2">
        <f t="shared" si="29"/>
        <v>750940945.12999988</v>
      </c>
    </row>
    <row r="238" spans="1:7" x14ac:dyDescent="0.25">
      <c r="A238" s="36">
        <v>48980</v>
      </c>
      <c r="B238" s="1">
        <f t="shared" si="24"/>
        <v>31</v>
      </c>
      <c r="C238" s="4">
        <f t="shared" si="26"/>
        <v>13102365</v>
      </c>
      <c r="D238" s="2">
        <f t="shared" si="27"/>
        <v>2899232.4000000004</v>
      </c>
      <c r="E238" s="19">
        <f t="shared" si="25"/>
        <v>10203132.6</v>
      </c>
      <c r="F238" s="2">
        <f t="shared" si="28"/>
        <v>800891053.19999993</v>
      </c>
      <c r="G238" s="2">
        <f t="shared" si="29"/>
        <v>797991820.79999995</v>
      </c>
    </row>
    <row r="239" spans="1:7" x14ac:dyDescent="0.25">
      <c r="A239" s="36">
        <v>49008</v>
      </c>
      <c r="B239" s="1">
        <f t="shared" si="24"/>
        <v>28</v>
      </c>
      <c r="C239" s="4">
        <f t="shared" si="26"/>
        <v>13102365</v>
      </c>
      <c r="D239" s="2">
        <f t="shared" si="27"/>
        <v>4461400.6999999993</v>
      </c>
      <c r="E239" s="19">
        <f t="shared" si="25"/>
        <v>8640964.3000000007</v>
      </c>
      <c r="F239" s="2">
        <f t="shared" si="28"/>
        <v>750940945.12999988</v>
      </c>
      <c r="G239" s="2">
        <f t="shared" si="29"/>
        <v>746479544.42999983</v>
      </c>
    </row>
    <row r="240" spans="1:7" x14ac:dyDescent="0.25">
      <c r="A240" s="36">
        <v>49039</v>
      </c>
      <c r="B240" s="1">
        <f t="shared" si="24"/>
        <v>31</v>
      </c>
      <c r="C240" s="4">
        <f t="shared" si="26"/>
        <v>13102365</v>
      </c>
      <c r="D240" s="2">
        <f t="shared" si="27"/>
        <v>2936167.83</v>
      </c>
      <c r="E240" s="19">
        <f t="shared" si="25"/>
        <v>10166197.17</v>
      </c>
      <c r="F240" s="2">
        <f t="shared" si="28"/>
        <v>797991820.79999995</v>
      </c>
      <c r="G240" s="2">
        <f t="shared" si="29"/>
        <v>795055652.96999991</v>
      </c>
    </row>
    <row r="241" spans="1:7" x14ac:dyDescent="0.25">
      <c r="A241" s="36">
        <v>49069</v>
      </c>
      <c r="B241" s="1">
        <f t="shared" si="24"/>
        <v>30</v>
      </c>
      <c r="C241" s="4">
        <f t="shared" si="26"/>
        <v>13102365</v>
      </c>
      <c r="D241" s="2">
        <f t="shared" si="27"/>
        <v>3899192.5299999993</v>
      </c>
      <c r="E241" s="19">
        <f t="shared" si="25"/>
        <v>9203172.4700000007</v>
      </c>
      <c r="F241" s="2">
        <f t="shared" si="28"/>
        <v>746479544.42999983</v>
      </c>
      <c r="G241" s="2">
        <f t="shared" si="29"/>
        <v>742580351.89999986</v>
      </c>
    </row>
    <row r="242" spans="1:7" x14ac:dyDescent="0.25">
      <c r="A242" s="36">
        <v>49100</v>
      </c>
      <c r="B242" s="1">
        <f t="shared" si="24"/>
        <v>31</v>
      </c>
      <c r="C242" s="4">
        <f t="shared" si="26"/>
        <v>13102365</v>
      </c>
      <c r="D242" s="2">
        <f t="shared" si="27"/>
        <v>2973573.8000000007</v>
      </c>
      <c r="E242" s="19">
        <f t="shared" si="25"/>
        <v>10128791.199999999</v>
      </c>
      <c r="F242" s="2">
        <f t="shared" si="28"/>
        <v>795055652.96999991</v>
      </c>
      <c r="G242" s="2">
        <f t="shared" si="29"/>
        <v>792082079.16999996</v>
      </c>
    </row>
    <row r="243" spans="1:7" x14ac:dyDescent="0.25">
      <c r="A243" s="36">
        <v>49130</v>
      </c>
      <c r="B243" s="1">
        <f t="shared" si="24"/>
        <v>30</v>
      </c>
      <c r="C243" s="4">
        <f t="shared" si="26"/>
        <v>13102365</v>
      </c>
      <c r="D243" s="2">
        <f t="shared" si="27"/>
        <v>3947264.7699999996</v>
      </c>
      <c r="E243" s="19">
        <f t="shared" si="25"/>
        <v>9155100.2300000004</v>
      </c>
      <c r="F243" s="2">
        <f t="shared" si="28"/>
        <v>742580351.89999986</v>
      </c>
      <c r="G243" s="2">
        <f t="shared" si="29"/>
        <v>738633087.12999988</v>
      </c>
    </row>
    <row r="244" spans="1:7" x14ac:dyDescent="0.25">
      <c r="A244" s="36">
        <v>49161</v>
      </c>
      <c r="B244" s="1">
        <f t="shared" si="24"/>
        <v>31</v>
      </c>
      <c r="C244" s="4">
        <f t="shared" si="26"/>
        <v>13102365</v>
      </c>
      <c r="D244" s="2">
        <f t="shared" si="27"/>
        <v>3011456.3200000003</v>
      </c>
      <c r="E244" s="19">
        <f t="shared" si="25"/>
        <v>10090908.68</v>
      </c>
      <c r="F244" s="2">
        <f t="shared" si="28"/>
        <v>792082079.16999996</v>
      </c>
      <c r="G244" s="2">
        <f t="shared" si="29"/>
        <v>789070622.8499999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49EBD3-5FE1-472D-BFCD-7C54B1D90E53}">
  <dimension ref="A1:J9"/>
  <sheetViews>
    <sheetView zoomScale="96" zoomScaleNormal="100" workbookViewId="0">
      <pane ySplit="3" topLeftCell="A4" activePane="bottomLeft" state="frozen"/>
      <selection activeCell="A41" sqref="A41"/>
      <selection pane="bottomLeft" sqref="A1:J9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20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ROUNDUP(3417.704133627,0)</f>
        <v>3418</v>
      </c>
      <c r="E1" s="25" t="s">
        <v>51</v>
      </c>
      <c r="F1" s="24">
        <f>ROUNDUP(2910.73130521802,0)</f>
        <v>2911</v>
      </c>
      <c r="G1" s="28" t="s">
        <v>52</v>
      </c>
      <c r="H1" s="26">
        <v>42160</v>
      </c>
      <c r="I1" s="28" t="s">
        <v>53</v>
      </c>
      <c r="J1" s="27">
        <v>500</v>
      </c>
    </row>
    <row r="2" spans="1:10" x14ac:dyDescent="0.25">
      <c r="A2" s="17" t="s">
        <v>34</v>
      </c>
      <c r="B2" s="18">
        <v>0.15</v>
      </c>
      <c r="C2" s="30" t="s">
        <v>60</v>
      </c>
      <c r="D2" s="32">
        <v>0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36">
        <v>41856</v>
      </c>
      <c r="B4" s="46">
        <f>A4-B1</f>
        <v>3</v>
      </c>
      <c r="C4" s="10" t="s">
        <v>15</v>
      </c>
      <c r="D4" s="48">
        <v>0</v>
      </c>
      <c r="E4" s="49">
        <f>ROUNDUP(F4*B2*B4/365,0)</f>
        <v>13</v>
      </c>
      <c r="F4" s="23">
        <v>10000</v>
      </c>
      <c r="G4" s="47">
        <f t="shared" ref="G4:G5" si="0">F4-D4</f>
        <v>10000</v>
      </c>
    </row>
    <row r="5" spans="1:10" x14ac:dyDescent="0.25">
      <c r="A5" s="36">
        <v>41887</v>
      </c>
      <c r="B5" s="46">
        <f>A5-A4</f>
        <v>31</v>
      </c>
      <c r="C5" s="33">
        <f>$D$1</f>
        <v>3418</v>
      </c>
      <c r="D5" s="48">
        <f t="shared" ref="D5:D7" si="1">C5-E5</f>
        <v>3290.6</v>
      </c>
      <c r="E5" s="49">
        <f>ROUND(F5*$B$2*B5/365,2)</f>
        <v>127.4</v>
      </c>
      <c r="F5" s="33">
        <f>G4</f>
        <v>10000</v>
      </c>
      <c r="G5" s="47">
        <f t="shared" si="0"/>
        <v>6709.4</v>
      </c>
    </row>
    <row r="6" spans="1:10" x14ac:dyDescent="0.25">
      <c r="A6" s="36">
        <v>41917</v>
      </c>
      <c r="B6" s="46">
        <f t="shared" ref="B6:B7" si="2">A6-A5</f>
        <v>30</v>
      </c>
      <c r="C6" s="33">
        <f t="shared" ref="C6:C8" si="3">$D$1</f>
        <v>3418</v>
      </c>
      <c r="D6" s="48">
        <f t="shared" si="1"/>
        <v>3335.28</v>
      </c>
      <c r="E6" s="49">
        <f t="shared" ref="E6" si="4">ROUND(F6*$B$2*B6/365,2)</f>
        <v>82.72</v>
      </c>
      <c r="F6" s="33">
        <f t="shared" ref="F6:F7" si="5">G5</f>
        <v>6709.4</v>
      </c>
      <c r="G6" s="47">
        <f t="shared" ref="G6:G7" si="6">F6-D6</f>
        <v>3374.1199999999994</v>
      </c>
    </row>
    <row r="7" spans="1:10" x14ac:dyDescent="0.25">
      <c r="A7" s="36">
        <v>41948</v>
      </c>
      <c r="B7" s="46">
        <f t="shared" si="2"/>
        <v>31</v>
      </c>
      <c r="C7" s="33">
        <f t="shared" si="3"/>
        <v>3418</v>
      </c>
      <c r="D7" s="48">
        <f t="shared" si="1"/>
        <v>3374.1199999999994</v>
      </c>
      <c r="E7" s="49">
        <v>43.880000000000784</v>
      </c>
      <c r="F7" s="33">
        <f t="shared" si="5"/>
        <v>3374.1199999999994</v>
      </c>
      <c r="G7" s="47">
        <f t="shared" si="6"/>
        <v>0</v>
      </c>
    </row>
    <row r="8" spans="1:10" x14ac:dyDescent="0.25">
      <c r="A8" s="36">
        <v>41917</v>
      </c>
      <c r="B8" s="46">
        <f>A6-A5</f>
        <v>30</v>
      </c>
      <c r="C8" s="33">
        <f t="shared" si="3"/>
        <v>3418</v>
      </c>
      <c r="D8" s="48">
        <f t="shared" ref="D8:D9" si="7">C8-E8</f>
        <v>3335.28</v>
      </c>
      <c r="E8" s="49">
        <f>ROUND(F6*$B$2*B6/365,2)</f>
        <v>82.72</v>
      </c>
      <c r="F8" s="33">
        <f>G5</f>
        <v>6709.4</v>
      </c>
      <c r="G8" s="47">
        <f>F6-D6</f>
        <v>3374.1199999999994</v>
      </c>
    </row>
    <row r="9" spans="1:10" x14ac:dyDescent="0.25">
      <c r="A9" s="36">
        <v>41948</v>
      </c>
      <c r="B9" s="46">
        <f t="shared" ref="B9" si="8">A9-A8</f>
        <v>31</v>
      </c>
      <c r="C9" s="33">
        <f>$F$1</f>
        <v>2911</v>
      </c>
      <c r="D9" s="48">
        <f t="shared" si="7"/>
        <v>2874.1199999999994</v>
      </c>
      <c r="E9" s="49">
        <v>36.880000000000784</v>
      </c>
      <c r="F9" s="33">
        <f>G8-J1</f>
        <v>2874.1199999999994</v>
      </c>
      <c r="G9" s="47">
        <f t="shared" ref="G9" si="9">F9-D9</f>
        <v>0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5ED109-8EF8-4FB7-B1E1-556219A3DC55}">
  <dimension ref="A1:R3"/>
  <sheetViews>
    <sheetView workbookViewId="0">
      <selection activeCell="J1" sqref="J1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95.285156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78</v>
      </c>
      <c r="P2" s="20" t="s">
        <v>21</v>
      </c>
      <c r="Q2" s="20" t="s">
        <v>79</v>
      </c>
      <c r="R2" s="50" t="s">
        <v>82</v>
      </c>
    </row>
    <row r="3" spans="1:18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78</v>
      </c>
      <c r="P3" s="20" t="s">
        <v>21</v>
      </c>
      <c r="Q3" s="20" t="s">
        <v>79</v>
      </c>
      <c r="R3" s="50" t="s">
        <v>83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919A6-F521-40D2-8EBB-467E7CBB8C41}">
  <dimension ref="A1:J59"/>
  <sheetViews>
    <sheetView topLeftCell="C1" zoomScale="90" zoomScaleNormal="90" workbookViewId="0">
      <pane ySplit="3" topLeftCell="A48" activePane="bottomLeft" state="frozen"/>
      <selection activeCell="J1" sqref="J1"/>
      <selection pane="bottomLeft" activeCell="J1" sqref="J1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37">
        <f>ROUNDUP(36062.4790174031,0)</f>
        <v>36063</v>
      </c>
      <c r="G1" s="28" t="s">
        <v>52</v>
      </c>
      <c r="H1" s="51">
        <v>42491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41887</v>
      </c>
      <c r="B4" s="1">
        <f>_xlfn.DAYS(A4,B1)</f>
        <v>31</v>
      </c>
      <c r="C4" s="4">
        <f>$D$1</f>
        <v>34674</v>
      </c>
      <c r="D4" s="3">
        <f>C4-E4</f>
        <v>21934.27</v>
      </c>
      <c r="E4" s="19">
        <f>ROUND(F4*$B$2*B4/365,2)</f>
        <v>12739.73</v>
      </c>
      <c r="F4" s="23">
        <v>1000000</v>
      </c>
      <c r="G4" s="2">
        <f>F4-D4</f>
        <v>978065.73</v>
      </c>
      <c r="H4" s="14">
        <f>F4*$B$2*B4/365</f>
        <v>12739.726027397261</v>
      </c>
      <c r="I4" s="16">
        <f>H4-E4</f>
        <v>-3.9726027389406227E-3</v>
      </c>
    </row>
    <row r="5" spans="1:10" x14ac:dyDescent="0.25">
      <c r="A5" s="29">
        <v>41917</v>
      </c>
      <c r="B5" s="1">
        <f>_xlfn.DAYS(A5,A4)</f>
        <v>30</v>
      </c>
      <c r="C5" s="4">
        <f>$D$1</f>
        <v>34674</v>
      </c>
      <c r="D5" s="2">
        <f t="shared" ref="D5:D59" si="0">C5-E5</f>
        <v>22615.66</v>
      </c>
      <c r="E5" s="19">
        <f>ROUND(F5*$B$2*B5/365,2)</f>
        <v>12058.34</v>
      </c>
      <c r="F5" s="2">
        <f>G4</f>
        <v>978065.73</v>
      </c>
      <c r="G5" s="2">
        <f>F5-D5</f>
        <v>955450.07</v>
      </c>
      <c r="H5" s="14">
        <f t="shared" ref="H5:H33" si="1">F5*$B$2*B5/365</f>
        <v>12058.344616438357</v>
      </c>
      <c r="I5" s="16">
        <f t="shared" ref="I5:I33" si="2">H5-E5</f>
        <v>4.6164383566065226E-3</v>
      </c>
    </row>
    <row r="6" spans="1:10" x14ac:dyDescent="0.25">
      <c r="A6" s="29">
        <v>41948</v>
      </c>
      <c r="B6" s="1">
        <f t="shared" ref="B6:B59" si="3">_xlfn.DAYS(A6,A5)</f>
        <v>31</v>
      </c>
      <c r="C6" s="4">
        <f t="shared" ref="C6:C40" si="4">$D$1</f>
        <v>34674</v>
      </c>
      <c r="D6" s="2">
        <f t="shared" si="0"/>
        <v>22501.83</v>
      </c>
      <c r="E6" s="19">
        <f t="shared" ref="E6:E38" si="5">ROUND(F6*$B$2*B6/365,2)</f>
        <v>12172.17</v>
      </c>
      <c r="F6" s="2">
        <f t="shared" ref="F6:F39" si="6">G5</f>
        <v>955450.07</v>
      </c>
      <c r="G6" s="2">
        <f t="shared" ref="G6:G39" si="7">F6-D6</f>
        <v>932948.24</v>
      </c>
      <c r="H6" s="14">
        <f t="shared" si="1"/>
        <v>12172.172124657533</v>
      </c>
      <c r="I6" s="16">
        <f t="shared" si="2"/>
        <v>2.1246575324767036E-3</v>
      </c>
    </row>
    <row r="7" spans="1:10" x14ac:dyDescent="0.25">
      <c r="A7" s="29">
        <v>41978</v>
      </c>
      <c r="B7" s="1">
        <f t="shared" si="3"/>
        <v>30</v>
      </c>
      <c r="C7" s="4">
        <f t="shared" si="4"/>
        <v>34674</v>
      </c>
      <c r="D7" s="2">
        <f t="shared" si="0"/>
        <v>23171.9</v>
      </c>
      <c r="E7" s="19">
        <f t="shared" si="5"/>
        <v>11502.1</v>
      </c>
      <c r="F7" s="2">
        <f t="shared" si="6"/>
        <v>932948.24</v>
      </c>
      <c r="G7" s="2">
        <f t="shared" si="7"/>
        <v>909776.34</v>
      </c>
      <c r="H7" s="14">
        <f t="shared" si="1"/>
        <v>11502.101589041096</v>
      </c>
      <c r="I7" s="16">
        <f t="shared" si="2"/>
        <v>1.5890410959400469E-3</v>
      </c>
    </row>
    <row r="8" spans="1:10" x14ac:dyDescent="0.25">
      <c r="A8" s="29">
        <v>42009</v>
      </c>
      <c r="B8" s="1">
        <f t="shared" si="3"/>
        <v>31</v>
      </c>
      <c r="C8" s="4">
        <f t="shared" si="4"/>
        <v>34674</v>
      </c>
      <c r="D8" s="2">
        <f t="shared" si="0"/>
        <v>23083.7</v>
      </c>
      <c r="E8" s="19">
        <f t="shared" si="5"/>
        <v>11590.3</v>
      </c>
      <c r="F8" s="2">
        <f t="shared" si="6"/>
        <v>909776.34</v>
      </c>
      <c r="G8" s="2">
        <f t="shared" si="7"/>
        <v>886692.64</v>
      </c>
      <c r="H8" s="14">
        <f t="shared" si="1"/>
        <v>11590.301317808218</v>
      </c>
      <c r="I8" s="16">
        <f t="shared" si="2"/>
        <v>1.3178082190279383E-3</v>
      </c>
    </row>
    <row r="9" spans="1:10" x14ac:dyDescent="0.25">
      <c r="A9" s="29">
        <v>42040</v>
      </c>
      <c r="B9" s="1">
        <f t="shared" si="3"/>
        <v>31</v>
      </c>
      <c r="C9" s="4">
        <f t="shared" si="4"/>
        <v>34674</v>
      </c>
      <c r="D9" s="2">
        <f t="shared" si="0"/>
        <v>23377.78</v>
      </c>
      <c r="E9" s="19">
        <f t="shared" si="5"/>
        <v>11296.22</v>
      </c>
      <c r="F9" s="2">
        <f t="shared" si="6"/>
        <v>886692.64</v>
      </c>
      <c r="G9" s="2">
        <f t="shared" si="7"/>
        <v>863314.86</v>
      </c>
      <c r="H9" s="14">
        <f t="shared" si="1"/>
        <v>11296.221304109589</v>
      </c>
      <c r="I9" s="16">
        <f t="shared" si="2"/>
        <v>1.3041095899097854E-3</v>
      </c>
    </row>
    <row r="10" spans="1:10" x14ac:dyDescent="0.25">
      <c r="A10" s="29">
        <v>42068</v>
      </c>
      <c r="B10" s="1">
        <f t="shared" si="3"/>
        <v>28</v>
      </c>
      <c r="C10" s="4">
        <f t="shared" si="4"/>
        <v>34674</v>
      </c>
      <c r="D10" s="2">
        <f t="shared" si="0"/>
        <v>24739.97</v>
      </c>
      <c r="E10" s="19">
        <f t="shared" si="5"/>
        <v>9934.0300000000007</v>
      </c>
      <c r="F10" s="2">
        <f t="shared" si="6"/>
        <v>863314.86</v>
      </c>
      <c r="G10" s="2">
        <f t="shared" si="7"/>
        <v>838574.89</v>
      </c>
      <c r="H10" s="14">
        <f t="shared" si="1"/>
        <v>9934.0340054794506</v>
      </c>
      <c r="I10" s="16">
        <f t="shared" si="2"/>
        <v>4.0054794499155832E-3</v>
      </c>
    </row>
    <row r="11" spans="1:10" x14ac:dyDescent="0.25">
      <c r="A11" s="29">
        <v>42099</v>
      </c>
      <c r="B11" s="1">
        <f t="shared" si="3"/>
        <v>31</v>
      </c>
      <c r="C11" s="4">
        <f t="shared" si="4"/>
        <v>34674</v>
      </c>
      <c r="D11" s="2">
        <f t="shared" si="0"/>
        <v>23990.79</v>
      </c>
      <c r="E11" s="19">
        <f t="shared" si="5"/>
        <v>10683.21</v>
      </c>
      <c r="F11" s="2">
        <f t="shared" si="6"/>
        <v>838574.89</v>
      </c>
      <c r="G11" s="2">
        <f t="shared" si="7"/>
        <v>814584.1</v>
      </c>
      <c r="H11" s="14">
        <f t="shared" si="1"/>
        <v>10683.214352054794</v>
      </c>
      <c r="I11" s="16">
        <f t="shared" si="2"/>
        <v>4.3520547951629851E-3</v>
      </c>
    </row>
    <row r="12" spans="1:10" x14ac:dyDescent="0.25">
      <c r="A12" s="29">
        <v>42129</v>
      </c>
      <c r="B12" s="1">
        <f t="shared" si="3"/>
        <v>30</v>
      </c>
      <c r="C12" s="4">
        <f t="shared" si="4"/>
        <v>34674</v>
      </c>
      <c r="D12" s="2">
        <f t="shared" si="0"/>
        <v>24631.18</v>
      </c>
      <c r="E12" s="19">
        <f t="shared" si="5"/>
        <v>10042.82</v>
      </c>
      <c r="F12" s="2">
        <f t="shared" si="6"/>
        <v>814584.1</v>
      </c>
      <c r="G12" s="2">
        <f t="shared" si="7"/>
        <v>789952.91999999993</v>
      </c>
      <c r="H12" s="14">
        <f t="shared" si="1"/>
        <v>10042.817671232877</v>
      </c>
      <c r="I12" s="16">
        <f t="shared" si="2"/>
        <v>-2.3287671228899853E-3</v>
      </c>
    </row>
    <row r="13" spans="1:10" x14ac:dyDescent="0.25">
      <c r="A13" s="29">
        <v>42160</v>
      </c>
      <c r="B13" s="1">
        <f t="shared" si="3"/>
        <v>31</v>
      </c>
      <c r="C13" s="4">
        <f t="shared" si="4"/>
        <v>34674</v>
      </c>
      <c r="D13" s="2">
        <f t="shared" si="0"/>
        <v>24610.22</v>
      </c>
      <c r="E13" s="19">
        <f t="shared" si="5"/>
        <v>10063.780000000001</v>
      </c>
      <c r="F13" s="2">
        <f t="shared" si="6"/>
        <v>789952.91999999993</v>
      </c>
      <c r="G13" s="2">
        <f t="shared" si="7"/>
        <v>765342.7</v>
      </c>
      <c r="H13" s="14">
        <f t="shared" si="1"/>
        <v>10063.783775342465</v>
      </c>
      <c r="I13" s="16">
        <f t="shared" si="2"/>
        <v>3.7753424639959121E-3</v>
      </c>
    </row>
    <row r="14" spans="1:10" x14ac:dyDescent="0.25">
      <c r="A14" s="29">
        <v>42190</v>
      </c>
      <c r="B14" s="1">
        <f t="shared" si="3"/>
        <v>30</v>
      </c>
      <c r="C14" s="4">
        <f t="shared" si="4"/>
        <v>34674</v>
      </c>
      <c r="D14" s="2">
        <f t="shared" si="0"/>
        <v>25238.27</v>
      </c>
      <c r="E14" s="19">
        <f t="shared" si="5"/>
        <v>9435.73</v>
      </c>
      <c r="F14" s="2">
        <f t="shared" si="6"/>
        <v>765342.7</v>
      </c>
      <c r="G14" s="2">
        <f t="shared" si="7"/>
        <v>740104.42999999993</v>
      </c>
      <c r="H14" s="14">
        <f t="shared" si="1"/>
        <v>9435.731917808218</v>
      </c>
      <c r="I14" s="16">
        <f t="shared" si="2"/>
        <v>1.9178082184225786E-3</v>
      </c>
    </row>
    <row r="15" spans="1:10" x14ac:dyDescent="0.25">
      <c r="A15" s="29">
        <v>42221</v>
      </c>
      <c r="B15" s="1">
        <f t="shared" si="3"/>
        <v>31</v>
      </c>
      <c r="C15" s="4">
        <f t="shared" si="4"/>
        <v>34674</v>
      </c>
      <c r="D15" s="2">
        <f t="shared" si="0"/>
        <v>25245.27</v>
      </c>
      <c r="E15" s="19">
        <f t="shared" si="5"/>
        <v>9428.73</v>
      </c>
      <c r="F15" s="2">
        <f t="shared" si="6"/>
        <v>740104.42999999993</v>
      </c>
      <c r="G15" s="2">
        <f t="shared" si="7"/>
        <v>714859.15999999992</v>
      </c>
      <c r="H15" s="14">
        <f t="shared" si="1"/>
        <v>9428.7276698630121</v>
      </c>
      <c r="I15" s="16">
        <f t="shared" si="2"/>
        <v>-2.3301369874388911E-3</v>
      </c>
    </row>
    <row r="16" spans="1:10" x14ac:dyDescent="0.25">
      <c r="A16" s="29">
        <v>42252</v>
      </c>
      <c r="B16" s="1">
        <f t="shared" si="3"/>
        <v>31</v>
      </c>
      <c r="C16" s="4">
        <f t="shared" si="4"/>
        <v>34674</v>
      </c>
      <c r="D16" s="2">
        <f t="shared" si="0"/>
        <v>25566.89</v>
      </c>
      <c r="E16" s="19">
        <f t="shared" si="5"/>
        <v>9107.11</v>
      </c>
      <c r="F16" s="2">
        <f t="shared" si="6"/>
        <v>714859.15999999992</v>
      </c>
      <c r="G16" s="2">
        <f t="shared" si="7"/>
        <v>689292.2699999999</v>
      </c>
      <c r="H16" s="14">
        <f t="shared" si="1"/>
        <v>9107.1098465753421</v>
      </c>
      <c r="I16" s="16">
        <f t="shared" si="2"/>
        <v>-1.5342465849244036E-4</v>
      </c>
    </row>
    <row r="17" spans="1:9" x14ac:dyDescent="0.25">
      <c r="A17" s="29">
        <v>42282</v>
      </c>
      <c r="B17" s="1">
        <f t="shared" si="3"/>
        <v>30</v>
      </c>
      <c r="C17" s="4">
        <f t="shared" si="4"/>
        <v>34674</v>
      </c>
      <c r="D17" s="2">
        <f t="shared" si="0"/>
        <v>26175.879999999997</v>
      </c>
      <c r="E17" s="19">
        <f t="shared" si="5"/>
        <v>8498.1200000000008</v>
      </c>
      <c r="F17" s="2">
        <f t="shared" si="6"/>
        <v>689292.2699999999</v>
      </c>
      <c r="G17" s="2">
        <f t="shared" si="7"/>
        <v>663116.3899999999</v>
      </c>
      <c r="H17" s="14">
        <f t="shared" si="1"/>
        <v>8498.1238767123268</v>
      </c>
      <c r="I17" s="16">
        <f t="shared" si="2"/>
        <v>3.8767123260186054E-3</v>
      </c>
    </row>
    <row r="18" spans="1:9" x14ac:dyDescent="0.25">
      <c r="A18" s="29">
        <v>42313</v>
      </c>
      <c r="B18" s="1">
        <f t="shared" si="3"/>
        <v>31</v>
      </c>
      <c r="C18" s="4">
        <f t="shared" si="4"/>
        <v>34674</v>
      </c>
      <c r="D18" s="2">
        <f t="shared" si="0"/>
        <v>26226.080000000002</v>
      </c>
      <c r="E18" s="19">
        <f t="shared" si="5"/>
        <v>8447.92</v>
      </c>
      <c r="F18" s="2">
        <f t="shared" si="6"/>
        <v>663116.3899999999</v>
      </c>
      <c r="G18" s="2">
        <f t="shared" si="7"/>
        <v>636890.30999999994</v>
      </c>
      <c r="H18" s="14">
        <f t="shared" si="1"/>
        <v>8447.9211328767105</v>
      </c>
      <c r="I18" s="16">
        <f t="shared" si="2"/>
        <v>1.1328767104714643E-3</v>
      </c>
    </row>
    <row r="19" spans="1:9" x14ac:dyDescent="0.25">
      <c r="A19" s="29">
        <v>42343</v>
      </c>
      <c r="B19" s="1">
        <f t="shared" si="3"/>
        <v>30</v>
      </c>
      <c r="C19" s="4">
        <f t="shared" si="4"/>
        <v>34674</v>
      </c>
      <c r="D19" s="2">
        <f t="shared" si="0"/>
        <v>26821.93</v>
      </c>
      <c r="E19" s="19">
        <f t="shared" si="5"/>
        <v>7852.07</v>
      </c>
      <c r="F19" s="2">
        <f t="shared" si="6"/>
        <v>636890.30999999994</v>
      </c>
      <c r="G19" s="2">
        <f t="shared" si="7"/>
        <v>610068.37999999989</v>
      </c>
      <c r="H19" s="14">
        <f t="shared" si="1"/>
        <v>7852.0723150684917</v>
      </c>
      <c r="I19" s="16">
        <f t="shared" si="2"/>
        <v>2.315068491952843E-3</v>
      </c>
    </row>
    <row r="20" spans="1:9" x14ac:dyDescent="0.25">
      <c r="A20" s="29">
        <v>42374</v>
      </c>
      <c r="B20" s="1">
        <f t="shared" si="3"/>
        <v>31</v>
      </c>
      <c r="C20" s="4">
        <f t="shared" si="4"/>
        <v>34674</v>
      </c>
      <c r="D20" s="2">
        <f t="shared" si="0"/>
        <v>26901.9</v>
      </c>
      <c r="E20" s="19">
        <f t="shared" si="5"/>
        <v>7772.1</v>
      </c>
      <c r="F20" s="2">
        <f t="shared" si="6"/>
        <v>610068.37999999989</v>
      </c>
      <c r="G20" s="2">
        <f t="shared" si="7"/>
        <v>583166.47999999986</v>
      </c>
      <c r="H20" s="14">
        <f t="shared" si="1"/>
        <v>7772.1040191780803</v>
      </c>
      <c r="I20" s="16">
        <f t="shared" si="2"/>
        <v>4.0191780799432308E-3</v>
      </c>
    </row>
    <row r="21" spans="1:9" x14ac:dyDescent="0.25">
      <c r="A21" s="29">
        <v>42405</v>
      </c>
      <c r="B21" s="1">
        <f t="shared" si="3"/>
        <v>31</v>
      </c>
      <c r="C21" s="4">
        <f t="shared" si="4"/>
        <v>34674</v>
      </c>
      <c r="D21" s="2">
        <f t="shared" si="0"/>
        <v>27244.62</v>
      </c>
      <c r="E21" s="19">
        <f t="shared" si="5"/>
        <v>7429.38</v>
      </c>
      <c r="F21" s="2">
        <f t="shared" si="6"/>
        <v>583166.47999999986</v>
      </c>
      <c r="G21" s="2">
        <f t="shared" si="7"/>
        <v>555921.85999999987</v>
      </c>
      <c r="H21" s="14">
        <f t="shared" si="1"/>
        <v>7429.3811835616416</v>
      </c>
      <c r="I21" s="16">
        <f t="shared" si="2"/>
        <v>1.183561641482811E-3</v>
      </c>
    </row>
    <row r="22" spans="1:9" x14ac:dyDescent="0.25">
      <c r="A22" s="29">
        <v>42434</v>
      </c>
      <c r="B22" s="1">
        <f t="shared" si="3"/>
        <v>29</v>
      </c>
      <c r="C22" s="4">
        <f t="shared" si="4"/>
        <v>34674</v>
      </c>
      <c r="D22" s="2">
        <f t="shared" si="0"/>
        <v>28048.63</v>
      </c>
      <c r="E22" s="19">
        <f t="shared" si="5"/>
        <v>6625.37</v>
      </c>
      <c r="F22" s="2">
        <f t="shared" si="6"/>
        <v>555921.85999999987</v>
      </c>
      <c r="G22" s="2">
        <f t="shared" si="7"/>
        <v>527873.22999999986</v>
      </c>
      <c r="H22" s="14">
        <f t="shared" si="1"/>
        <v>6625.3701123287656</v>
      </c>
      <c r="I22" s="16">
        <f t="shared" si="2"/>
        <v>1.1232876568101346E-4</v>
      </c>
    </row>
    <row r="23" spans="1:9" x14ac:dyDescent="0.25">
      <c r="A23" s="29">
        <v>42465</v>
      </c>
      <c r="B23" s="1">
        <f t="shared" si="3"/>
        <v>31</v>
      </c>
      <c r="C23" s="4">
        <f t="shared" si="4"/>
        <v>34674</v>
      </c>
      <c r="D23" s="2">
        <f t="shared" si="0"/>
        <v>27949.040000000001</v>
      </c>
      <c r="E23" s="19">
        <f t="shared" si="5"/>
        <v>6724.96</v>
      </c>
      <c r="F23" s="2">
        <f t="shared" si="6"/>
        <v>527873.22999999986</v>
      </c>
      <c r="G23" s="2">
        <f t="shared" si="7"/>
        <v>499924.18999999989</v>
      </c>
      <c r="H23" s="14">
        <f t="shared" si="1"/>
        <v>6724.9603273972589</v>
      </c>
      <c r="I23" s="16">
        <f t="shared" si="2"/>
        <v>3.2739725884312065E-4</v>
      </c>
    </row>
    <row r="24" spans="1:9" x14ac:dyDescent="0.25">
      <c r="A24" s="29">
        <v>42495</v>
      </c>
      <c r="B24" s="1">
        <f t="shared" si="3"/>
        <v>30</v>
      </c>
      <c r="C24" s="4">
        <f t="shared" si="4"/>
        <v>34674</v>
      </c>
      <c r="D24" s="2">
        <f t="shared" si="0"/>
        <v>28510.55</v>
      </c>
      <c r="E24" s="19">
        <f t="shared" si="5"/>
        <v>6163.45</v>
      </c>
      <c r="F24" s="2">
        <f t="shared" si="6"/>
        <v>499924.18999999989</v>
      </c>
      <c r="G24" s="2">
        <f t="shared" si="7"/>
        <v>471413.6399999999</v>
      </c>
      <c r="H24" s="14">
        <f t="shared" si="1"/>
        <v>6163.4489178082176</v>
      </c>
      <c r="I24" s="16">
        <f t="shared" si="2"/>
        <v>-1.0821917821886018E-3</v>
      </c>
    </row>
    <row r="25" spans="1:9" x14ac:dyDescent="0.25">
      <c r="A25" s="29">
        <v>42526</v>
      </c>
      <c r="B25" s="1">
        <f t="shared" si="3"/>
        <v>31</v>
      </c>
      <c r="C25" s="4">
        <f t="shared" si="4"/>
        <v>34674</v>
      </c>
      <c r="D25" s="2">
        <f t="shared" si="0"/>
        <v>28668.32</v>
      </c>
      <c r="E25" s="19">
        <f t="shared" si="5"/>
        <v>6005.68</v>
      </c>
      <c r="F25" s="2">
        <f t="shared" si="6"/>
        <v>471413.6399999999</v>
      </c>
      <c r="G25" s="2">
        <f t="shared" si="7"/>
        <v>442745.31999999989</v>
      </c>
      <c r="H25" s="14">
        <f t="shared" si="1"/>
        <v>6005.6806191780806</v>
      </c>
      <c r="I25" s="16">
        <f t="shared" si="2"/>
        <v>6.1917808034195332E-4</v>
      </c>
    </row>
    <row r="26" spans="1:9" x14ac:dyDescent="0.25">
      <c r="A26" s="29">
        <v>42556</v>
      </c>
      <c r="B26" s="1">
        <f t="shared" si="3"/>
        <v>30</v>
      </c>
      <c r="C26" s="4">
        <f t="shared" si="4"/>
        <v>34674</v>
      </c>
      <c r="D26" s="2">
        <f t="shared" si="0"/>
        <v>29215.5</v>
      </c>
      <c r="E26" s="19">
        <f t="shared" si="5"/>
        <v>5458.5</v>
      </c>
      <c r="F26" s="2">
        <f t="shared" si="6"/>
        <v>442745.31999999989</v>
      </c>
      <c r="G26" s="2">
        <f t="shared" si="7"/>
        <v>413529.81999999989</v>
      </c>
      <c r="H26" s="14">
        <f t="shared" si="1"/>
        <v>5458.503945205478</v>
      </c>
      <c r="I26" s="16">
        <f t="shared" si="2"/>
        <v>3.9452054779758328E-3</v>
      </c>
    </row>
    <row r="27" spans="1:9" x14ac:dyDescent="0.25">
      <c r="A27" s="29">
        <v>42587</v>
      </c>
      <c r="B27" s="1">
        <f t="shared" si="3"/>
        <v>31</v>
      </c>
      <c r="C27" s="4">
        <f t="shared" si="4"/>
        <v>34674</v>
      </c>
      <c r="D27" s="2">
        <f t="shared" si="0"/>
        <v>29405.739999999998</v>
      </c>
      <c r="E27" s="19">
        <f t="shared" si="5"/>
        <v>5268.26</v>
      </c>
      <c r="F27" s="2">
        <f t="shared" si="6"/>
        <v>413529.81999999989</v>
      </c>
      <c r="G27" s="2">
        <f t="shared" si="7"/>
        <v>384124.0799999999</v>
      </c>
      <c r="H27" s="14">
        <f t="shared" si="1"/>
        <v>5268.2566109589025</v>
      </c>
      <c r="I27" s="16">
        <f t="shared" si="2"/>
        <v>-3.3890410977619467E-3</v>
      </c>
    </row>
    <row r="28" spans="1:9" x14ac:dyDescent="0.25">
      <c r="A28" s="29">
        <v>42618</v>
      </c>
      <c r="B28" s="1">
        <f t="shared" si="3"/>
        <v>31</v>
      </c>
      <c r="C28" s="4">
        <f t="shared" si="4"/>
        <v>34674</v>
      </c>
      <c r="D28" s="2">
        <f t="shared" si="0"/>
        <v>29780.36</v>
      </c>
      <c r="E28" s="19">
        <f t="shared" si="5"/>
        <v>4893.6400000000003</v>
      </c>
      <c r="F28" s="2">
        <f t="shared" si="6"/>
        <v>384124.0799999999</v>
      </c>
      <c r="G28" s="2">
        <f t="shared" si="7"/>
        <v>354343.71999999991</v>
      </c>
      <c r="H28" s="14">
        <f t="shared" si="1"/>
        <v>4893.6355397260259</v>
      </c>
      <c r="I28" s="16">
        <f t="shared" si="2"/>
        <v>-4.4602739744732389E-3</v>
      </c>
    </row>
    <row r="29" spans="1:9" x14ac:dyDescent="0.25">
      <c r="A29" s="29">
        <v>42648</v>
      </c>
      <c r="B29" s="1">
        <f t="shared" si="3"/>
        <v>30</v>
      </c>
      <c r="C29" s="4">
        <f t="shared" si="4"/>
        <v>34674</v>
      </c>
      <c r="D29" s="2">
        <f t="shared" si="0"/>
        <v>30305.38</v>
      </c>
      <c r="E29" s="19">
        <f t="shared" si="5"/>
        <v>4368.62</v>
      </c>
      <c r="F29" s="2">
        <f t="shared" si="6"/>
        <v>354343.71999999991</v>
      </c>
      <c r="G29" s="2">
        <f t="shared" si="7"/>
        <v>324038.33999999991</v>
      </c>
      <c r="H29" s="14">
        <f t="shared" si="1"/>
        <v>4368.6212054794505</v>
      </c>
      <c r="I29" s="16">
        <f t="shared" si="2"/>
        <v>1.2054794506184408E-3</v>
      </c>
    </row>
    <row r="30" spans="1:9" x14ac:dyDescent="0.25">
      <c r="A30" s="29">
        <v>42679</v>
      </c>
      <c r="B30" s="1">
        <f t="shared" si="3"/>
        <v>31</v>
      </c>
      <c r="C30" s="4">
        <f t="shared" si="4"/>
        <v>34674</v>
      </c>
      <c r="D30" s="2">
        <f t="shared" si="0"/>
        <v>30545.84</v>
      </c>
      <c r="E30" s="19">
        <f t="shared" si="5"/>
        <v>4128.16</v>
      </c>
      <c r="F30" s="2">
        <f t="shared" si="6"/>
        <v>324038.33999999991</v>
      </c>
      <c r="G30" s="2">
        <f t="shared" si="7"/>
        <v>293492.49999999988</v>
      </c>
      <c r="H30" s="14">
        <f t="shared" si="1"/>
        <v>4128.159673972601</v>
      </c>
      <c r="I30" s="16">
        <f t="shared" si="2"/>
        <v>-3.2602739884168841E-4</v>
      </c>
    </row>
    <row r="31" spans="1:9" x14ac:dyDescent="0.25">
      <c r="A31" s="29">
        <v>42709</v>
      </c>
      <c r="B31" s="1">
        <f t="shared" si="3"/>
        <v>30</v>
      </c>
      <c r="C31" s="4">
        <f t="shared" si="4"/>
        <v>34674</v>
      </c>
      <c r="D31" s="2">
        <f t="shared" si="0"/>
        <v>31055.599999999999</v>
      </c>
      <c r="E31" s="19">
        <f t="shared" si="5"/>
        <v>3618.4</v>
      </c>
      <c r="F31" s="2">
        <f t="shared" si="6"/>
        <v>293492.49999999988</v>
      </c>
      <c r="G31" s="2">
        <f t="shared" si="7"/>
        <v>262436.89999999991</v>
      </c>
      <c r="H31" s="14">
        <f t="shared" si="1"/>
        <v>3618.4006849315051</v>
      </c>
      <c r="I31" s="16">
        <f t="shared" si="2"/>
        <v>6.849315050203586E-4</v>
      </c>
    </row>
    <row r="32" spans="1:9" x14ac:dyDescent="0.25">
      <c r="A32" s="29">
        <v>42740</v>
      </c>
      <c r="B32" s="1">
        <f t="shared" si="3"/>
        <v>31</v>
      </c>
      <c r="C32" s="4">
        <f t="shared" si="4"/>
        <v>34674</v>
      </c>
      <c r="D32" s="2">
        <f t="shared" si="0"/>
        <v>31330.63</v>
      </c>
      <c r="E32" s="19">
        <f t="shared" si="5"/>
        <v>3343.37</v>
      </c>
      <c r="F32" s="2">
        <f t="shared" si="6"/>
        <v>262436.89999999991</v>
      </c>
      <c r="G32" s="2">
        <f t="shared" si="7"/>
        <v>231106.2699999999</v>
      </c>
      <c r="H32" s="14">
        <f t="shared" si="1"/>
        <v>3343.3742054794507</v>
      </c>
      <c r="I32" s="16">
        <f t="shared" si="2"/>
        <v>4.2054794507748738E-3</v>
      </c>
    </row>
    <row r="33" spans="1:9" x14ac:dyDescent="0.25">
      <c r="A33" s="29">
        <v>42771</v>
      </c>
      <c r="B33" s="1">
        <f t="shared" si="3"/>
        <v>31</v>
      </c>
      <c r="C33" s="4">
        <f t="shared" si="4"/>
        <v>34674</v>
      </c>
      <c r="D33" s="2">
        <f t="shared" si="0"/>
        <v>31729.77</v>
      </c>
      <c r="E33" s="19">
        <f t="shared" si="5"/>
        <v>2944.23</v>
      </c>
      <c r="F33" s="2">
        <f t="shared" si="6"/>
        <v>231106.2699999999</v>
      </c>
      <c r="G33" s="2">
        <f t="shared" si="7"/>
        <v>199376.49999999991</v>
      </c>
      <c r="H33" s="14">
        <f t="shared" si="1"/>
        <v>2944.2305630136971</v>
      </c>
      <c r="I33" s="16">
        <f t="shared" si="2"/>
        <v>5.6301369704669924E-4</v>
      </c>
    </row>
    <row r="34" spans="1:9" x14ac:dyDescent="0.25">
      <c r="A34" s="29">
        <v>42799</v>
      </c>
      <c r="B34" s="1">
        <f t="shared" si="3"/>
        <v>28</v>
      </c>
      <c r="C34" s="4">
        <f t="shared" si="4"/>
        <v>34674</v>
      </c>
      <c r="D34" s="2">
        <f t="shared" si="0"/>
        <v>32379.8</v>
      </c>
      <c r="E34" s="19">
        <f t="shared" si="5"/>
        <v>2294.1999999999998</v>
      </c>
      <c r="F34" s="2">
        <f t="shared" si="6"/>
        <v>199376.49999999991</v>
      </c>
      <c r="G34" s="2">
        <f t="shared" si="7"/>
        <v>166996.69999999992</v>
      </c>
      <c r="H34" s="14"/>
      <c r="I34" s="16"/>
    </row>
    <row r="35" spans="1:9" x14ac:dyDescent="0.25">
      <c r="A35" s="29">
        <v>42830</v>
      </c>
      <c r="B35" s="1">
        <f t="shared" si="3"/>
        <v>31</v>
      </c>
      <c r="C35" s="4">
        <f t="shared" si="4"/>
        <v>34674</v>
      </c>
      <c r="D35" s="2">
        <f t="shared" si="0"/>
        <v>32546.510000000002</v>
      </c>
      <c r="E35" s="19">
        <f t="shared" si="5"/>
        <v>2127.4899999999998</v>
      </c>
      <c r="F35" s="2">
        <f t="shared" si="6"/>
        <v>166996.69999999992</v>
      </c>
      <c r="G35" s="2">
        <f t="shared" si="7"/>
        <v>134450.18999999992</v>
      </c>
      <c r="H35" s="14"/>
      <c r="I35" s="16"/>
    </row>
    <row r="36" spans="1:9" x14ac:dyDescent="0.25">
      <c r="A36" s="29">
        <v>42860</v>
      </c>
      <c r="B36" s="1">
        <f t="shared" si="3"/>
        <v>30</v>
      </c>
      <c r="C36" s="4">
        <f t="shared" si="4"/>
        <v>34674</v>
      </c>
      <c r="D36" s="2">
        <f t="shared" si="0"/>
        <v>33016.39</v>
      </c>
      <c r="E36" s="19">
        <f t="shared" si="5"/>
        <v>1657.61</v>
      </c>
      <c r="F36" s="2">
        <f t="shared" si="6"/>
        <v>134450.18999999992</v>
      </c>
      <c r="G36" s="2">
        <f t="shared" si="7"/>
        <v>101433.79999999992</v>
      </c>
      <c r="H36" s="14"/>
      <c r="I36" s="16"/>
    </row>
    <row r="37" spans="1:9" x14ac:dyDescent="0.25">
      <c r="A37" s="29">
        <v>42891</v>
      </c>
      <c r="B37" s="1">
        <f t="shared" si="3"/>
        <v>31</v>
      </c>
      <c r="C37" s="4">
        <f t="shared" si="4"/>
        <v>34674</v>
      </c>
      <c r="D37" s="2">
        <f t="shared" si="0"/>
        <v>33381.760000000002</v>
      </c>
      <c r="E37" s="19">
        <f t="shared" si="5"/>
        <v>1292.24</v>
      </c>
      <c r="F37" s="2">
        <f t="shared" si="6"/>
        <v>101433.79999999992</v>
      </c>
      <c r="G37" s="2">
        <f t="shared" si="7"/>
        <v>68052.039999999921</v>
      </c>
      <c r="H37" s="14"/>
      <c r="I37" s="16"/>
    </row>
    <row r="38" spans="1:9" x14ac:dyDescent="0.25">
      <c r="A38" s="29">
        <v>42921</v>
      </c>
      <c r="B38" s="1">
        <f t="shared" si="3"/>
        <v>30</v>
      </c>
      <c r="C38" s="4">
        <f t="shared" si="4"/>
        <v>34674</v>
      </c>
      <c r="D38" s="2">
        <f t="shared" si="0"/>
        <v>33835</v>
      </c>
      <c r="E38" s="19">
        <f t="shared" si="5"/>
        <v>839</v>
      </c>
      <c r="F38" s="2">
        <f t="shared" si="6"/>
        <v>68052.039999999921</v>
      </c>
      <c r="G38" s="2">
        <f t="shared" si="7"/>
        <v>34217.039999999921</v>
      </c>
      <c r="H38" s="14"/>
      <c r="I38" s="16"/>
    </row>
    <row r="39" spans="1:9" x14ac:dyDescent="0.25">
      <c r="A39" s="29">
        <v>42952</v>
      </c>
      <c r="B39" s="1">
        <f t="shared" si="3"/>
        <v>31</v>
      </c>
      <c r="C39" s="4">
        <f t="shared" si="4"/>
        <v>34674</v>
      </c>
      <c r="D39" s="2">
        <f t="shared" si="0"/>
        <v>34217.039999999921</v>
      </c>
      <c r="E39" s="19">
        <v>456.96000000008064</v>
      </c>
      <c r="F39" s="2">
        <f t="shared" si="6"/>
        <v>34217.039999999921</v>
      </c>
      <c r="G39" s="2">
        <f t="shared" si="7"/>
        <v>0</v>
      </c>
      <c r="H39" s="14"/>
      <c r="I39" s="16"/>
    </row>
    <row r="40" spans="1:9" x14ac:dyDescent="0.25">
      <c r="A40" s="55">
        <v>42374</v>
      </c>
      <c r="B40" s="1" t="s">
        <v>50</v>
      </c>
      <c r="C40" s="4">
        <f t="shared" si="4"/>
        <v>34674</v>
      </c>
      <c r="D40" s="2">
        <f t="shared" si="0"/>
        <v>26901.9</v>
      </c>
      <c r="E40" s="19">
        <f>ROUND(F20*$B$2*B20/365,2)</f>
        <v>7772.1</v>
      </c>
      <c r="F40" s="2">
        <f>G19</f>
        <v>610068.37999999989</v>
      </c>
      <c r="G40" s="2">
        <f>F20-D20</f>
        <v>583166.47999999986</v>
      </c>
      <c r="H40" s="14"/>
      <c r="I40" s="16"/>
    </row>
    <row r="41" spans="1:9" x14ac:dyDescent="0.25">
      <c r="A41" s="55">
        <v>42405</v>
      </c>
      <c r="B41" s="1">
        <f t="shared" si="3"/>
        <v>31</v>
      </c>
      <c r="C41" s="4">
        <f>$F$1</f>
        <v>36063</v>
      </c>
      <c r="D41" s="2">
        <f t="shared" si="0"/>
        <v>26157.16</v>
      </c>
      <c r="E41" s="19">
        <f>ROUND(F41*$J$1*B41/365,2)</f>
        <v>9905.84</v>
      </c>
      <c r="F41" s="2">
        <f>G20</f>
        <v>583166.47999999986</v>
      </c>
      <c r="G41" s="2">
        <f>F41-D41</f>
        <v>557009.31999999983</v>
      </c>
      <c r="H41" s="14"/>
      <c r="I41" s="16"/>
    </row>
    <row r="42" spans="1:9" x14ac:dyDescent="0.25">
      <c r="A42" s="55">
        <v>42434</v>
      </c>
      <c r="B42" s="1">
        <f t="shared" si="3"/>
        <v>29</v>
      </c>
      <c r="C42" s="4">
        <f t="shared" ref="C42:C59" si="8">$F$1</f>
        <v>36063</v>
      </c>
      <c r="D42" s="2">
        <f t="shared" si="0"/>
        <v>27211.89</v>
      </c>
      <c r="E42" s="19">
        <f t="shared" ref="E42:E58" si="9">ROUND(F42*$J$1*B42/365,2)</f>
        <v>8851.11</v>
      </c>
      <c r="F42" s="2">
        <f>G41</f>
        <v>557009.31999999983</v>
      </c>
      <c r="G42" s="2">
        <f t="shared" ref="G42:G59" si="10">F42-D42</f>
        <v>529797.42999999982</v>
      </c>
      <c r="H42" s="14"/>
      <c r="I42" s="16"/>
    </row>
    <row r="43" spans="1:9" x14ac:dyDescent="0.25">
      <c r="A43" s="55">
        <v>42465</v>
      </c>
      <c r="B43" s="1">
        <f t="shared" si="3"/>
        <v>31</v>
      </c>
      <c r="C43" s="4">
        <f t="shared" si="8"/>
        <v>36063</v>
      </c>
      <c r="D43" s="2">
        <f t="shared" si="0"/>
        <v>27063.7</v>
      </c>
      <c r="E43" s="19">
        <f t="shared" si="9"/>
        <v>8999.2999999999993</v>
      </c>
      <c r="F43" s="2">
        <f t="shared" ref="F43:F59" si="11">G42</f>
        <v>529797.42999999982</v>
      </c>
      <c r="G43" s="2">
        <f t="shared" si="10"/>
        <v>502733.72999999981</v>
      </c>
      <c r="H43" s="14"/>
      <c r="I43" s="16"/>
    </row>
    <row r="44" spans="1:9" x14ac:dyDescent="0.25">
      <c r="A44" s="55">
        <v>42495</v>
      </c>
      <c r="B44" s="1">
        <f t="shared" si="3"/>
        <v>30</v>
      </c>
      <c r="C44" s="4">
        <f t="shared" si="8"/>
        <v>36063</v>
      </c>
      <c r="D44" s="2">
        <f t="shared" si="0"/>
        <v>27798.879999999997</v>
      </c>
      <c r="E44" s="19">
        <f t="shared" si="9"/>
        <v>8264.1200000000008</v>
      </c>
      <c r="F44" s="2">
        <f t="shared" si="11"/>
        <v>502733.72999999981</v>
      </c>
      <c r="G44" s="2">
        <f t="shared" si="10"/>
        <v>474934.8499999998</v>
      </c>
      <c r="H44" s="14"/>
      <c r="I44" s="16"/>
    </row>
    <row r="45" spans="1:9" x14ac:dyDescent="0.25">
      <c r="A45" s="55">
        <v>42526</v>
      </c>
      <c r="B45" s="1">
        <f t="shared" si="3"/>
        <v>31</v>
      </c>
      <c r="C45" s="4">
        <f t="shared" si="8"/>
        <v>36063</v>
      </c>
      <c r="D45" s="2">
        <f t="shared" si="0"/>
        <v>27995.61</v>
      </c>
      <c r="E45" s="19">
        <f t="shared" si="9"/>
        <v>8067.39</v>
      </c>
      <c r="F45" s="2">
        <f t="shared" si="11"/>
        <v>474934.8499999998</v>
      </c>
      <c r="G45" s="2">
        <f t="shared" si="10"/>
        <v>446939.23999999982</v>
      </c>
      <c r="H45" s="14"/>
      <c r="I45" s="16"/>
    </row>
    <row r="46" spans="1:9" x14ac:dyDescent="0.25">
      <c r="A46" s="55">
        <v>42556</v>
      </c>
      <c r="B46" s="1">
        <f t="shared" si="3"/>
        <v>30</v>
      </c>
      <c r="C46" s="4">
        <f t="shared" si="8"/>
        <v>36063</v>
      </c>
      <c r="D46" s="2">
        <f t="shared" si="0"/>
        <v>28716.05</v>
      </c>
      <c r="E46" s="19">
        <f t="shared" si="9"/>
        <v>7346.95</v>
      </c>
      <c r="F46" s="2">
        <f t="shared" si="11"/>
        <v>446939.23999999982</v>
      </c>
      <c r="G46" s="2">
        <f t="shared" si="10"/>
        <v>418223.18999999983</v>
      </c>
      <c r="H46" s="14"/>
      <c r="I46" s="16"/>
    </row>
    <row r="47" spans="1:9" x14ac:dyDescent="0.25">
      <c r="A47" s="55">
        <v>42587</v>
      </c>
      <c r="B47" s="1">
        <f t="shared" si="3"/>
        <v>31</v>
      </c>
      <c r="C47" s="4">
        <f t="shared" si="8"/>
        <v>36063</v>
      </c>
      <c r="D47" s="2">
        <f t="shared" si="0"/>
        <v>28958.93</v>
      </c>
      <c r="E47" s="19">
        <f t="shared" si="9"/>
        <v>7104.07</v>
      </c>
      <c r="F47" s="2">
        <f t="shared" si="11"/>
        <v>418223.18999999983</v>
      </c>
      <c r="G47" s="2">
        <f t="shared" si="10"/>
        <v>389264.25999999983</v>
      </c>
      <c r="H47" s="14"/>
      <c r="I47" s="16"/>
    </row>
    <row r="48" spans="1:9" x14ac:dyDescent="0.25">
      <c r="A48" s="55">
        <v>42618</v>
      </c>
      <c r="B48" s="1">
        <f t="shared" si="3"/>
        <v>31</v>
      </c>
      <c r="C48" s="4">
        <f t="shared" si="8"/>
        <v>36063</v>
      </c>
      <c r="D48" s="2">
        <f t="shared" si="0"/>
        <v>29450.84</v>
      </c>
      <c r="E48" s="19">
        <f t="shared" si="9"/>
        <v>6612.16</v>
      </c>
      <c r="F48" s="2">
        <f t="shared" si="11"/>
        <v>389264.25999999983</v>
      </c>
      <c r="G48" s="2">
        <f t="shared" si="10"/>
        <v>359813.41999999981</v>
      </c>
      <c r="H48" s="14"/>
      <c r="I48" s="16"/>
    </row>
    <row r="49" spans="1:9" x14ac:dyDescent="0.25">
      <c r="A49" s="55">
        <v>42648</v>
      </c>
      <c r="B49" s="1">
        <f t="shared" si="3"/>
        <v>30</v>
      </c>
      <c r="C49" s="4">
        <f t="shared" si="8"/>
        <v>36063</v>
      </c>
      <c r="D49" s="2">
        <f t="shared" si="0"/>
        <v>30148.260000000002</v>
      </c>
      <c r="E49" s="19">
        <f t="shared" si="9"/>
        <v>5914.74</v>
      </c>
      <c r="F49" s="2">
        <f t="shared" si="11"/>
        <v>359813.41999999981</v>
      </c>
      <c r="G49" s="2">
        <f t="shared" si="10"/>
        <v>329665.1599999998</v>
      </c>
      <c r="H49" s="14"/>
      <c r="I49" s="16"/>
    </row>
    <row r="50" spans="1:9" x14ac:dyDescent="0.25">
      <c r="A50" s="55">
        <v>42679</v>
      </c>
      <c r="B50" s="1">
        <f t="shared" si="3"/>
        <v>31</v>
      </c>
      <c r="C50" s="4">
        <f t="shared" si="8"/>
        <v>36063</v>
      </c>
      <c r="D50" s="2">
        <f t="shared" si="0"/>
        <v>30463.21</v>
      </c>
      <c r="E50" s="19">
        <f t="shared" si="9"/>
        <v>5599.79</v>
      </c>
      <c r="F50" s="2">
        <f t="shared" si="11"/>
        <v>329665.1599999998</v>
      </c>
      <c r="G50" s="2">
        <f t="shared" si="10"/>
        <v>299201.94999999978</v>
      </c>
      <c r="H50" s="14"/>
      <c r="I50" s="16"/>
    </row>
    <row r="51" spans="1:9" x14ac:dyDescent="0.25">
      <c r="A51" s="55">
        <v>42709</v>
      </c>
      <c r="B51" s="1">
        <f t="shared" si="3"/>
        <v>30</v>
      </c>
      <c r="C51" s="4">
        <f t="shared" si="8"/>
        <v>36063</v>
      </c>
      <c r="D51" s="2">
        <f t="shared" si="0"/>
        <v>31144.61</v>
      </c>
      <c r="E51" s="19">
        <f t="shared" si="9"/>
        <v>4918.3900000000003</v>
      </c>
      <c r="F51" s="2">
        <f t="shared" si="11"/>
        <v>299201.94999999978</v>
      </c>
      <c r="G51" s="2">
        <f t="shared" si="10"/>
        <v>268057.33999999979</v>
      </c>
      <c r="H51" s="14"/>
      <c r="I51" s="16"/>
    </row>
    <row r="52" spans="1:9" x14ac:dyDescent="0.25">
      <c r="A52" s="55">
        <v>42740</v>
      </c>
      <c r="B52" s="1">
        <f t="shared" si="3"/>
        <v>31</v>
      </c>
      <c r="C52" s="4">
        <f t="shared" si="8"/>
        <v>36063</v>
      </c>
      <c r="D52" s="2">
        <f t="shared" si="0"/>
        <v>31509.7</v>
      </c>
      <c r="E52" s="19">
        <f t="shared" si="9"/>
        <v>4553.3</v>
      </c>
      <c r="F52" s="2">
        <f t="shared" si="11"/>
        <v>268057.33999999979</v>
      </c>
      <c r="G52" s="2">
        <f t="shared" si="10"/>
        <v>236547.63999999978</v>
      </c>
      <c r="H52" s="14"/>
      <c r="I52" s="16"/>
    </row>
    <row r="53" spans="1:9" x14ac:dyDescent="0.25">
      <c r="A53" s="55">
        <v>42771</v>
      </c>
      <c r="B53" s="1">
        <f t="shared" si="3"/>
        <v>31</v>
      </c>
      <c r="C53" s="4">
        <f t="shared" si="8"/>
        <v>36063</v>
      </c>
      <c r="D53" s="2">
        <f t="shared" si="0"/>
        <v>32044.93</v>
      </c>
      <c r="E53" s="19">
        <f t="shared" si="9"/>
        <v>4018.07</v>
      </c>
      <c r="F53" s="2">
        <f t="shared" si="11"/>
        <v>236547.63999999978</v>
      </c>
      <c r="G53" s="2">
        <f t="shared" si="10"/>
        <v>204502.70999999979</v>
      </c>
      <c r="H53" s="14"/>
      <c r="I53" s="16"/>
    </row>
    <row r="54" spans="1:9" x14ac:dyDescent="0.25">
      <c r="A54" s="55">
        <v>42799</v>
      </c>
      <c r="B54" s="1">
        <f t="shared" si="3"/>
        <v>28</v>
      </c>
      <c r="C54" s="4">
        <f t="shared" si="8"/>
        <v>36063</v>
      </c>
      <c r="D54" s="2">
        <f t="shared" si="0"/>
        <v>32925.42</v>
      </c>
      <c r="E54" s="19">
        <f t="shared" si="9"/>
        <v>3137.58</v>
      </c>
      <c r="F54" s="2">
        <f t="shared" si="11"/>
        <v>204502.70999999979</v>
      </c>
      <c r="G54" s="2">
        <f t="shared" si="10"/>
        <v>171577.2899999998</v>
      </c>
      <c r="H54" s="14"/>
      <c r="I54" s="16"/>
    </row>
    <row r="55" spans="1:9" x14ac:dyDescent="0.25">
      <c r="A55" s="55">
        <v>42830</v>
      </c>
      <c r="B55" s="1">
        <f t="shared" si="3"/>
        <v>31</v>
      </c>
      <c r="C55" s="4">
        <f t="shared" si="8"/>
        <v>36063</v>
      </c>
      <c r="D55" s="2">
        <f t="shared" si="0"/>
        <v>33148.54</v>
      </c>
      <c r="E55" s="19">
        <f t="shared" si="9"/>
        <v>2914.46</v>
      </c>
      <c r="F55" s="2">
        <f t="shared" si="11"/>
        <v>171577.2899999998</v>
      </c>
      <c r="G55" s="2">
        <f t="shared" si="10"/>
        <v>138428.7499999998</v>
      </c>
      <c r="H55" s="14"/>
      <c r="I55" s="16"/>
    </row>
    <row r="56" spans="1:9" x14ac:dyDescent="0.25">
      <c r="A56" s="55">
        <v>42860</v>
      </c>
      <c r="B56" s="1">
        <f t="shared" si="3"/>
        <v>30</v>
      </c>
      <c r="C56" s="4">
        <f t="shared" si="8"/>
        <v>36063</v>
      </c>
      <c r="D56" s="2">
        <f t="shared" si="0"/>
        <v>33787.46</v>
      </c>
      <c r="E56" s="19">
        <f t="shared" si="9"/>
        <v>2275.54</v>
      </c>
      <c r="F56" s="2">
        <f t="shared" si="11"/>
        <v>138428.7499999998</v>
      </c>
      <c r="G56" s="2">
        <f t="shared" si="10"/>
        <v>104641.2899999998</v>
      </c>
      <c r="H56" s="14"/>
      <c r="I56" s="16"/>
    </row>
    <row r="57" spans="1:9" x14ac:dyDescent="0.25">
      <c r="A57" s="55">
        <v>42891</v>
      </c>
      <c r="B57" s="1">
        <f t="shared" si="3"/>
        <v>31</v>
      </c>
      <c r="C57" s="4">
        <f t="shared" si="8"/>
        <v>36063</v>
      </c>
      <c r="D57" s="2">
        <f t="shared" si="0"/>
        <v>34285.53</v>
      </c>
      <c r="E57" s="19">
        <f t="shared" si="9"/>
        <v>1777.47</v>
      </c>
      <c r="F57" s="2">
        <f t="shared" si="11"/>
        <v>104641.2899999998</v>
      </c>
      <c r="G57" s="2">
        <f t="shared" si="10"/>
        <v>70355.759999999806</v>
      </c>
      <c r="H57" s="14"/>
      <c r="I57" s="16"/>
    </row>
    <row r="58" spans="1:9" x14ac:dyDescent="0.25">
      <c r="A58" s="55">
        <v>42921</v>
      </c>
      <c r="B58" s="1">
        <f t="shared" si="3"/>
        <v>30</v>
      </c>
      <c r="C58" s="4">
        <f t="shared" si="8"/>
        <v>36063</v>
      </c>
      <c r="D58" s="2">
        <f t="shared" si="0"/>
        <v>34906.47</v>
      </c>
      <c r="E58" s="19">
        <f t="shared" si="9"/>
        <v>1156.53</v>
      </c>
      <c r="F58" s="2">
        <f t="shared" si="11"/>
        <v>70355.759999999806</v>
      </c>
      <c r="G58" s="2">
        <f t="shared" si="10"/>
        <v>35449.289999999804</v>
      </c>
      <c r="H58" s="14"/>
      <c r="I58" s="16"/>
    </row>
    <row r="59" spans="1:9" x14ac:dyDescent="0.25">
      <c r="A59" s="55">
        <v>42952</v>
      </c>
      <c r="B59" s="1">
        <f t="shared" si="3"/>
        <v>31</v>
      </c>
      <c r="C59" s="4">
        <f t="shared" si="8"/>
        <v>36063</v>
      </c>
      <c r="D59" s="2">
        <f t="shared" si="0"/>
        <v>35449.289999999797</v>
      </c>
      <c r="E59" s="19">
        <v>613.71000000019933</v>
      </c>
      <c r="F59" s="2">
        <f t="shared" si="11"/>
        <v>35449.289999999804</v>
      </c>
      <c r="G59" s="2">
        <f t="shared" si="10"/>
        <v>0</v>
      </c>
      <c r="H59" s="14"/>
      <c r="I59" s="16"/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E61713-15A4-4C21-819B-CAE7ECC9DE8B}">
  <dimension ref="A1:J59"/>
  <sheetViews>
    <sheetView zoomScale="90" zoomScaleNormal="90" workbookViewId="0">
      <pane ySplit="3" topLeftCell="A39" activePane="bottomLeft" state="frozen"/>
      <selection activeCell="J1" sqref="J1"/>
      <selection pane="bottomLeft" activeCell="J1" sqref="J1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ROUNDUP(34665.3285041941,0)</f>
        <v>34666</v>
      </c>
      <c r="E1" s="25" t="s">
        <v>51</v>
      </c>
      <c r="F1" s="37">
        <f>ROUNDUP(36053.5371590614,0)</f>
        <v>36054</v>
      </c>
      <c r="G1" s="28" t="s">
        <v>52</v>
      </c>
      <c r="H1" s="51">
        <v>42491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41887</v>
      </c>
      <c r="B4" s="1">
        <f>DAYS360(B1,A4,TRUE)</f>
        <v>30</v>
      </c>
      <c r="C4" s="4">
        <f>$D$1</f>
        <v>34666</v>
      </c>
      <c r="D4" s="3">
        <f>C4-E4</f>
        <v>22166</v>
      </c>
      <c r="E4" s="19">
        <f>ROUND(F4*$B$2*B4/360,2)</f>
        <v>12500</v>
      </c>
      <c r="F4" s="23">
        <v>1000000</v>
      </c>
      <c r="G4" s="2">
        <f>F4-D4</f>
        <v>977834</v>
      </c>
      <c r="H4" s="14">
        <f>F4*$B$2*B4/365</f>
        <v>12328.767123287671</v>
      </c>
      <c r="I4" s="16">
        <f>H4-E4</f>
        <v>-171.23287671232902</v>
      </c>
    </row>
    <row r="5" spans="1:10" x14ac:dyDescent="0.25">
      <c r="A5" s="29">
        <v>41917</v>
      </c>
      <c r="B5" s="1">
        <f>DAYS360(A4,A5,TRUE)</f>
        <v>30</v>
      </c>
      <c r="C5" s="4">
        <f>$D$1</f>
        <v>34666</v>
      </c>
      <c r="D5" s="2">
        <f t="shared" ref="D5:D59" si="0">C5-E5</f>
        <v>22443.07</v>
      </c>
      <c r="E5" s="19">
        <f t="shared" ref="E5:E38" si="1">ROUND(F5*$B$2*B5/360,2)</f>
        <v>12222.93</v>
      </c>
      <c r="F5" s="2">
        <f>G4</f>
        <v>977834</v>
      </c>
      <c r="G5" s="2">
        <f>F5-D5</f>
        <v>955390.93</v>
      </c>
      <c r="H5" s="14">
        <f t="shared" ref="H5:H33" si="2">F5*$B$2*B5/365</f>
        <v>12055.487671232877</v>
      </c>
      <c r="I5" s="16">
        <f t="shared" ref="I5:I33" si="3">H5-E5</f>
        <v>-167.4423287671234</v>
      </c>
    </row>
    <row r="6" spans="1:10" x14ac:dyDescent="0.25">
      <c r="A6" s="29">
        <v>41948</v>
      </c>
      <c r="B6" s="1">
        <f t="shared" ref="B6:B59" si="4">DAYS360(A5,A6,TRUE)</f>
        <v>30</v>
      </c>
      <c r="C6" s="4">
        <f t="shared" ref="C6:C40" si="5">$D$1</f>
        <v>34666</v>
      </c>
      <c r="D6" s="2">
        <f t="shared" si="0"/>
        <v>22723.61</v>
      </c>
      <c r="E6" s="19">
        <f t="shared" si="1"/>
        <v>11942.39</v>
      </c>
      <c r="F6" s="2">
        <f t="shared" ref="F6:F39" si="6">G5</f>
        <v>955390.93</v>
      </c>
      <c r="G6" s="2">
        <f t="shared" ref="G6:G39" si="7">F6-D6</f>
        <v>932667.32000000007</v>
      </c>
      <c r="H6" s="14">
        <f t="shared" si="2"/>
        <v>11778.792287671231</v>
      </c>
      <c r="I6" s="16">
        <f t="shared" si="3"/>
        <v>-163.59771232876847</v>
      </c>
    </row>
    <row r="7" spans="1:10" x14ac:dyDescent="0.25">
      <c r="A7" s="29">
        <v>41978</v>
      </c>
      <c r="B7" s="1">
        <f t="shared" si="4"/>
        <v>30</v>
      </c>
      <c r="C7" s="4">
        <f t="shared" si="5"/>
        <v>34666</v>
      </c>
      <c r="D7" s="2">
        <f t="shared" si="0"/>
        <v>23007.66</v>
      </c>
      <c r="E7" s="19">
        <f t="shared" si="1"/>
        <v>11658.34</v>
      </c>
      <c r="F7" s="2">
        <f t="shared" si="6"/>
        <v>932667.32000000007</v>
      </c>
      <c r="G7" s="2">
        <f t="shared" si="7"/>
        <v>909659.66</v>
      </c>
      <c r="H7" s="14">
        <f t="shared" si="2"/>
        <v>11498.638191780821</v>
      </c>
      <c r="I7" s="16">
        <f t="shared" si="3"/>
        <v>-159.70180821917893</v>
      </c>
    </row>
    <row r="8" spans="1:10" x14ac:dyDescent="0.25">
      <c r="A8" s="29">
        <v>42009</v>
      </c>
      <c r="B8" s="1">
        <f t="shared" si="4"/>
        <v>30</v>
      </c>
      <c r="C8" s="4">
        <f t="shared" si="5"/>
        <v>34666</v>
      </c>
      <c r="D8" s="2">
        <f t="shared" si="0"/>
        <v>23295.25</v>
      </c>
      <c r="E8" s="19">
        <f t="shared" si="1"/>
        <v>11370.75</v>
      </c>
      <c r="F8" s="2">
        <f t="shared" si="6"/>
        <v>909659.66</v>
      </c>
      <c r="G8" s="2">
        <f t="shared" si="7"/>
        <v>886364.41</v>
      </c>
      <c r="H8" s="14">
        <f t="shared" si="2"/>
        <v>11214.98210958904</v>
      </c>
      <c r="I8" s="16">
        <f t="shared" si="3"/>
        <v>-155.76789041095981</v>
      </c>
    </row>
    <row r="9" spans="1:10" x14ac:dyDescent="0.25">
      <c r="A9" s="29">
        <v>42040</v>
      </c>
      <c r="B9" s="1">
        <f t="shared" si="4"/>
        <v>30</v>
      </c>
      <c r="C9" s="4">
        <f t="shared" si="5"/>
        <v>34666</v>
      </c>
      <c r="D9" s="2">
        <f t="shared" si="0"/>
        <v>23586.440000000002</v>
      </c>
      <c r="E9" s="19">
        <f t="shared" si="1"/>
        <v>11079.56</v>
      </c>
      <c r="F9" s="2">
        <f t="shared" si="6"/>
        <v>886364.41</v>
      </c>
      <c r="G9" s="2">
        <f t="shared" si="7"/>
        <v>862777.97</v>
      </c>
      <c r="H9" s="14">
        <f t="shared" si="2"/>
        <v>10927.780397260272</v>
      </c>
      <c r="I9" s="16">
        <f t="shared" si="3"/>
        <v>-151.77960273972712</v>
      </c>
    </row>
    <row r="10" spans="1:10" x14ac:dyDescent="0.25">
      <c r="A10" s="29">
        <v>42068</v>
      </c>
      <c r="B10" s="1">
        <f t="shared" si="4"/>
        <v>30</v>
      </c>
      <c r="C10" s="4">
        <f t="shared" si="5"/>
        <v>34666</v>
      </c>
      <c r="D10" s="2">
        <f t="shared" si="0"/>
        <v>23881.279999999999</v>
      </c>
      <c r="E10" s="19">
        <f t="shared" si="1"/>
        <v>10784.72</v>
      </c>
      <c r="F10" s="2">
        <f t="shared" si="6"/>
        <v>862777.97</v>
      </c>
      <c r="G10" s="2">
        <f t="shared" si="7"/>
        <v>838896.69</v>
      </c>
      <c r="H10" s="14">
        <f t="shared" si="2"/>
        <v>10636.988671232875</v>
      </c>
      <c r="I10" s="16">
        <f t="shared" si="3"/>
        <v>-147.73132876712407</v>
      </c>
    </row>
    <row r="11" spans="1:10" x14ac:dyDescent="0.25">
      <c r="A11" s="29">
        <v>42099</v>
      </c>
      <c r="B11" s="1">
        <f t="shared" si="4"/>
        <v>30</v>
      </c>
      <c r="C11" s="4">
        <f t="shared" si="5"/>
        <v>34666</v>
      </c>
      <c r="D11" s="2">
        <f t="shared" si="0"/>
        <v>24179.79</v>
      </c>
      <c r="E11" s="19">
        <f t="shared" si="1"/>
        <v>10486.21</v>
      </c>
      <c r="F11" s="2">
        <f t="shared" si="6"/>
        <v>838896.69</v>
      </c>
      <c r="G11" s="2">
        <f t="shared" si="7"/>
        <v>814716.89999999991</v>
      </c>
      <c r="H11" s="14">
        <f t="shared" si="2"/>
        <v>10342.561931506849</v>
      </c>
      <c r="I11" s="16">
        <f t="shared" si="3"/>
        <v>-143.64806849315028</v>
      </c>
    </row>
    <row r="12" spans="1:10" x14ac:dyDescent="0.25">
      <c r="A12" s="29">
        <v>42129</v>
      </c>
      <c r="B12" s="1">
        <f t="shared" si="4"/>
        <v>30</v>
      </c>
      <c r="C12" s="4">
        <f t="shared" si="5"/>
        <v>34666</v>
      </c>
      <c r="D12" s="2">
        <f t="shared" si="0"/>
        <v>24482.04</v>
      </c>
      <c r="E12" s="19">
        <f t="shared" si="1"/>
        <v>10183.959999999999</v>
      </c>
      <c r="F12" s="2">
        <f t="shared" si="6"/>
        <v>814716.89999999991</v>
      </c>
      <c r="G12" s="2">
        <f t="shared" si="7"/>
        <v>790234.85999999987</v>
      </c>
      <c r="H12" s="14">
        <f t="shared" si="2"/>
        <v>10044.454931506847</v>
      </c>
      <c r="I12" s="16">
        <f t="shared" si="3"/>
        <v>-139.50506849315207</v>
      </c>
    </row>
    <row r="13" spans="1:10" x14ac:dyDescent="0.25">
      <c r="A13" s="29">
        <v>42160</v>
      </c>
      <c r="B13" s="1">
        <f t="shared" si="4"/>
        <v>30</v>
      </c>
      <c r="C13" s="4">
        <f t="shared" si="5"/>
        <v>34666</v>
      </c>
      <c r="D13" s="2">
        <f t="shared" si="0"/>
        <v>24788.059999999998</v>
      </c>
      <c r="E13" s="19">
        <f t="shared" si="1"/>
        <v>9877.94</v>
      </c>
      <c r="F13" s="2">
        <f t="shared" si="6"/>
        <v>790234.85999999987</v>
      </c>
      <c r="G13" s="2">
        <f t="shared" si="7"/>
        <v>765446.79999999981</v>
      </c>
      <c r="H13" s="14">
        <f t="shared" si="2"/>
        <v>9742.621561643833</v>
      </c>
      <c r="I13" s="16">
        <f t="shared" si="3"/>
        <v>-135.31843835616746</v>
      </c>
    </row>
    <row r="14" spans="1:10" x14ac:dyDescent="0.25">
      <c r="A14" s="29">
        <v>42190</v>
      </c>
      <c r="B14" s="1">
        <f t="shared" si="4"/>
        <v>30</v>
      </c>
      <c r="C14" s="4">
        <f t="shared" si="5"/>
        <v>34666</v>
      </c>
      <c r="D14" s="2">
        <f t="shared" si="0"/>
        <v>25097.91</v>
      </c>
      <c r="E14" s="19">
        <f t="shared" si="1"/>
        <v>9568.09</v>
      </c>
      <c r="F14" s="2">
        <f t="shared" si="6"/>
        <v>765446.79999999981</v>
      </c>
      <c r="G14" s="2">
        <f t="shared" si="7"/>
        <v>740348.88999999978</v>
      </c>
      <c r="H14" s="14">
        <f t="shared" si="2"/>
        <v>9437.015342465751</v>
      </c>
      <c r="I14" s="16">
        <f t="shared" si="3"/>
        <v>-131.07465753424913</v>
      </c>
    </row>
    <row r="15" spans="1:10" x14ac:dyDescent="0.25">
      <c r="A15" s="29">
        <v>42221</v>
      </c>
      <c r="B15" s="1">
        <f t="shared" si="4"/>
        <v>30</v>
      </c>
      <c r="C15" s="4">
        <f t="shared" si="5"/>
        <v>34666</v>
      </c>
      <c r="D15" s="2">
        <f t="shared" si="0"/>
        <v>25411.64</v>
      </c>
      <c r="E15" s="19">
        <f t="shared" si="1"/>
        <v>9254.36</v>
      </c>
      <c r="F15" s="2">
        <f t="shared" si="6"/>
        <v>740348.88999999978</v>
      </c>
      <c r="G15" s="2">
        <f t="shared" si="7"/>
        <v>714937.24999999977</v>
      </c>
      <c r="H15" s="14">
        <f t="shared" si="2"/>
        <v>9127.5890547945182</v>
      </c>
      <c r="I15" s="16">
        <f t="shared" si="3"/>
        <v>-126.77094520548235</v>
      </c>
    </row>
    <row r="16" spans="1:10" x14ac:dyDescent="0.25">
      <c r="A16" s="29">
        <v>42252</v>
      </c>
      <c r="B16" s="1">
        <f t="shared" si="4"/>
        <v>30</v>
      </c>
      <c r="C16" s="4">
        <f t="shared" si="5"/>
        <v>34666</v>
      </c>
      <c r="D16" s="2">
        <f t="shared" si="0"/>
        <v>25729.279999999999</v>
      </c>
      <c r="E16" s="19">
        <f t="shared" si="1"/>
        <v>8936.7199999999993</v>
      </c>
      <c r="F16" s="2">
        <f t="shared" si="6"/>
        <v>714937.24999999977</v>
      </c>
      <c r="G16" s="2">
        <f t="shared" si="7"/>
        <v>689207.96999999974</v>
      </c>
      <c r="H16" s="14">
        <f t="shared" si="2"/>
        <v>8814.2948630136962</v>
      </c>
      <c r="I16" s="16">
        <f t="shared" si="3"/>
        <v>-122.42513698630319</v>
      </c>
    </row>
    <row r="17" spans="1:9" x14ac:dyDescent="0.25">
      <c r="A17" s="29">
        <v>42282</v>
      </c>
      <c r="B17" s="1">
        <f t="shared" si="4"/>
        <v>30</v>
      </c>
      <c r="C17" s="4">
        <f t="shared" si="5"/>
        <v>34666</v>
      </c>
      <c r="D17" s="2">
        <f t="shared" si="0"/>
        <v>26050.9</v>
      </c>
      <c r="E17" s="19">
        <f t="shared" si="1"/>
        <v>8615.1</v>
      </c>
      <c r="F17" s="2">
        <f t="shared" si="6"/>
        <v>689207.96999999974</v>
      </c>
      <c r="G17" s="2">
        <f t="shared" si="7"/>
        <v>663157.06999999972</v>
      </c>
      <c r="H17" s="14">
        <f t="shared" si="2"/>
        <v>8497.0845616438328</v>
      </c>
      <c r="I17" s="16">
        <f t="shared" si="3"/>
        <v>-118.01543835616758</v>
      </c>
    </row>
    <row r="18" spans="1:9" x14ac:dyDescent="0.25">
      <c r="A18" s="29">
        <v>42313</v>
      </c>
      <c r="B18" s="1">
        <f t="shared" si="4"/>
        <v>30</v>
      </c>
      <c r="C18" s="4">
        <f t="shared" si="5"/>
        <v>34666</v>
      </c>
      <c r="D18" s="2">
        <f t="shared" si="0"/>
        <v>26376.54</v>
      </c>
      <c r="E18" s="19">
        <f t="shared" si="1"/>
        <v>8289.4599999999991</v>
      </c>
      <c r="F18" s="2">
        <f t="shared" si="6"/>
        <v>663157.06999999972</v>
      </c>
      <c r="G18" s="2">
        <f t="shared" si="7"/>
        <v>636780.52999999968</v>
      </c>
      <c r="H18" s="14">
        <f t="shared" si="2"/>
        <v>8175.9090821917771</v>
      </c>
      <c r="I18" s="16">
        <f t="shared" si="3"/>
        <v>-113.55091780822204</v>
      </c>
    </row>
    <row r="19" spans="1:9" x14ac:dyDescent="0.25">
      <c r="A19" s="29">
        <v>42343</v>
      </c>
      <c r="B19" s="1">
        <f t="shared" si="4"/>
        <v>30</v>
      </c>
      <c r="C19" s="4">
        <f t="shared" si="5"/>
        <v>34666</v>
      </c>
      <c r="D19" s="2">
        <f t="shared" si="0"/>
        <v>26706.239999999998</v>
      </c>
      <c r="E19" s="19">
        <f t="shared" si="1"/>
        <v>7959.76</v>
      </c>
      <c r="F19" s="2">
        <f t="shared" si="6"/>
        <v>636780.52999999968</v>
      </c>
      <c r="G19" s="2">
        <f t="shared" si="7"/>
        <v>610074.28999999969</v>
      </c>
      <c r="H19" s="14">
        <f t="shared" si="2"/>
        <v>7850.7188630136943</v>
      </c>
      <c r="I19" s="16">
        <f t="shared" si="3"/>
        <v>-109.0411369863059</v>
      </c>
    </row>
    <row r="20" spans="1:9" x14ac:dyDescent="0.25">
      <c r="A20" s="29">
        <v>42374</v>
      </c>
      <c r="B20" s="1">
        <f t="shared" si="4"/>
        <v>30</v>
      </c>
      <c r="C20" s="4">
        <f t="shared" si="5"/>
        <v>34666</v>
      </c>
      <c r="D20" s="2">
        <f t="shared" si="0"/>
        <v>27040.07</v>
      </c>
      <c r="E20" s="19">
        <f t="shared" si="1"/>
        <v>7625.93</v>
      </c>
      <c r="F20" s="2">
        <f t="shared" si="6"/>
        <v>610074.28999999969</v>
      </c>
      <c r="G20" s="2">
        <f t="shared" si="7"/>
        <v>583034.21999999974</v>
      </c>
      <c r="H20" s="14">
        <f t="shared" si="2"/>
        <v>7521.4638493150642</v>
      </c>
      <c r="I20" s="16">
        <f t="shared" si="3"/>
        <v>-104.46615068493611</v>
      </c>
    </row>
    <row r="21" spans="1:9" x14ac:dyDescent="0.25">
      <c r="A21" s="29">
        <v>42405</v>
      </c>
      <c r="B21" s="1">
        <f t="shared" si="4"/>
        <v>30</v>
      </c>
      <c r="C21" s="4">
        <f t="shared" si="5"/>
        <v>34666</v>
      </c>
      <c r="D21" s="2">
        <f t="shared" si="0"/>
        <v>27378.07</v>
      </c>
      <c r="E21" s="19">
        <f t="shared" si="1"/>
        <v>7287.93</v>
      </c>
      <c r="F21" s="2">
        <f t="shared" si="6"/>
        <v>583034.21999999974</v>
      </c>
      <c r="G21" s="2">
        <f t="shared" si="7"/>
        <v>555656.14999999979</v>
      </c>
      <c r="H21" s="14">
        <f t="shared" si="2"/>
        <v>7188.0931232876683</v>
      </c>
      <c r="I21" s="16">
        <f t="shared" si="3"/>
        <v>-99.836876712332014</v>
      </c>
    </row>
    <row r="22" spans="1:9" x14ac:dyDescent="0.25">
      <c r="A22" s="29">
        <v>42434</v>
      </c>
      <c r="B22" s="1">
        <f t="shared" si="4"/>
        <v>30</v>
      </c>
      <c r="C22" s="4">
        <f t="shared" si="5"/>
        <v>34666</v>
      </c>
      <c r="D22" s="2">
        <f t="shared" si="0"/>
        <v>27720.3</v>
      </c>
      <c r="E22" s="19">
        <f t="shared" si="1"/>
        <v>6945.7</v>
      </c>
      <c r="F22" s="2">
        <f t="shared" si="6"/>
        <v>555656.14999999979</v>
      </c>
      <c r="G22" s="2">
        <f t="shared" si="7"/>
        <v>527935.84999999974</v>
      </c>
      <c r="H22" s="14">
        <f t="shared" si="2"/>
        <v>6850.5552739726008</v>
      </c>
      <c r="I22" s="16">
        <f t="shared" si="3"/>
        <v>-95.144726027398974</v>
      </c>
    </row>
    <row r="23" spans="1:9" x14ac:dyDescent="0.25">
      <c r="A23" s="29">
        <v>42465</v>
      </c>
      <c r="B23" s="1">
        <f t="shared" si="4"/>
        <v>30</v>
      </c>
      <c r="C23" s="4">
        <f t="shared" si="5"/>
        <v>34666</v>
      </c>
      <c r="D23" s="2">
        <f t="shared" si="0"/>
        <v>28066.799999999999</v>
      </c>
      <c r="E23" s="19">
        <f t="shared" si="1"/>
        <v>6599.2</v>
      </c>
      <c r="F23" s="2">
        <f t="shared" si="6"/>
        <v>527935.84999999974</v>
      </c>
      <c r="G23" s="2">
        <f t="shared" si="7"/>
        <v>499869.04999999976</v>
      </c>
      <c r="H23" s="14">
        <f t="shared" si="2"/>
        <v>6508.7981506849283</v>
      </c>
      <c r="I23" s="16">
        <f t="shared" si="3"/>
        <v>-90.401849315071559</v>
      </c>
    </row>
    <row r="24" spans="1:9" x14ac:dyDescent="0.25">
      <c r="A24" s="29">
        <v>42495</v>
      </c>
      <c r="B24" s="1">
        <f t="shared" si="4"/>
        <v>30</v>
      </c>
      <c r="C24" s="4">
        <f t="shared" si="5"/>
        <v>34666</v>
      </c>
      <c r="D24" s="2">
        <f t="shared" si="0"/>
        <v>28417.64</v>
      </c>
      <c r="E24" s="19">
        <f t="shared" si="1"/>
        <v>6248.36</v>
      </c>
      <c r="F24" s="2">
        <f t="shared" si="6"/>
        <v>499869.04999999976</v>
      </c>
      <c r="G24" s="2">
        <f t="shared" si="7"/>
        <v>471451.40999999974</v>
      </c>
      <c r="H24" s="14">
        <f t="shared" si="2"/>
        <v>6162.7691095890377</v>
      </c>
      <c r="I24" s="16">
        <f t="shared" si="3"/>
        <v>-85.590890410961947</v>
      </c>
    </row>
    <row r="25" spans="1:9" x14ac:dyDescent="0.25">
      <c r="A25" s="29">
        <v>42526</v>
      </c>
      <c r="B25" s="1">
        <f t="shared" si="4"/>
        <v>30</v>
      </c>
      <c r="C25" s="4">
        <f t="shared" si="5"/>
        <v>34666</v>
      </c>
      <c r="D25" s="2">
        <f t="shared" si="0"/>
        <v>28772.86</v>
      </c>
      <c r="E25" s="19">
        <f t="shared" si="1"/>
        <v>5893.14</v>
      </c>
      <c r="F25" s="2">
        <f t="shared" si="6"/>
        <v>471451.40999999974</v>
      </c>
      <c r="G25" s="2">
        <f t="shared" si="7"/>
        <v>442678.54999999976</v>
      </c>
      <c r="H25" s="14">
        <f t="shared" si="2"/>
        <v>5812.4146438356129</v>
      </c>
      <c r="I25" s="16">
        <f t="shared" si="3"/>
        <v>-80.725356164387449</v>
      </c>
    </row>
    <row r="26" spans="1:9" x14ac:dyDescent="0.25">
      <c r="A26" s="29">
        <v>42556</v>
      </c>
      <c r="B26" s="1">
        <f t="shared" si="4"/>
        <v>30</v>
      </c>
      <c r="C26" s="4">
        <f t="shared" si="5"/>
        <v>34666</v>
      </c>
      <c r="D26" s="2">
        <f t="shared" si="0"/>
        <v>29132.52</v>
      </c>
      <c r="E26" s="19">
        <f t="shared" si="1"/>
        <v>5533.48</v>
      </c>
      <c r="F26" s="2">
        <f t="shared" si="6"/>
        <v>442678.54999999976</v>
      </c>
      <c r="G26" s="2">
        <f t="shared" si="7"/>
        <v>413546.02999999974</v>
      </c>
      <c r="H26" s="14">
        <f t="shared" si="2"/>
        <v>5457.6807534246536</v>
      </c>
      <c r="I26" s="16">
        <f t="shared" si="3"/>
        <v>-75.799246575345933</v>
      </c>
    </row>
    <row r="27" spans="1:9" x14ac:dyDescent="0.25">
      <c r="A27" s="29">
        <v>42587</v>
      </c>
      <c r="B27" s="1">
        <f t="shared" si="4"/>
        <v>30</v>
      </c>
      <c r="C27" s="4">
        <f t="shared" si="5"/>
        <v>34666</v>
      </c>
      <c r="D27" s="2">
        <f t="shared" si="0"/>
        <v>29496.67</v>
      </c>
      <c r="E27" s="19">
        <f t="shared" si="1"/>
        <v>5169.33</v>
      </c>
      <c r="F27" s="2">
        <f t="shared" si="6"/>
        <v>413546.02999999974</v>
      </c>
      <c r="G27" s="2">
        <f t="shared" si="7"/>
        <v>384049.35999999975</v>
      </c>
      <c r="H27" s="14">
        <f t="shared" si="2"/>
        <v>5098.5126986301339</v>
      </c>
      <c r="I27" s="16">
        <f t="shared" si="3"/>
        <v>-70.817301369866072</v>
      </c>
    </row>
    <row r="28" spans="1:9" x14ac:dyDescent="0.25">
      <c r="A28" s="29">
        <v>42618</v>
      </c>
      <c r="B28" s="1">
        <f t="shared" si="4"/>
        <v>30</v>
      </c>
      <c r="C28" s="4">
        <f t="shared" si="5"/>
        <v>34666</v>
      </c>
      <c r="D28" s="2">
        <f t="shared" si="0"/>
        <v>29865.38</v>
      </c>
      <c r="E28" s="19">
        <f t="shared" si="1"/>
        <v>4800.62</v>
      </c>
      <c r="F28" s="2">
        <f t="shared" si="6"/>
        <v>384049.35999999975</v>
      </c>
      <c r="G28" s="2">
        <f t="shared" si="7"/>
        <v>354183.97999999975</v>
      </c>
      <c r="H28" s="14">
        <f t="shared" si="2"/>
        <v>4734.855123287668</v>
      </c>
      <c r="I28" s="16">
        <f t="shared" si="3"/>
        <v>-65.764876712331898</v>
      </c>
    </row>
    <row r="29" spans="1:9" x14ac:dyDescent="0.25">
      <c r="A29" s="29">
        <v>42648</v>
      </c>
      <c r="B29" s="1">
        <f t="shared" si="4"/>
        <v>30</v>
      </c>
      <c r="C29" s="4">
        <f t="shared" si="5"/>
        <v>34666</v>
      </c>
      <c r="D29" s="2">
        <f t="shared" si="0"/>
        <v>30238.7</v>
      </c>
      <c r="E29" s="19">
        <f t="shared" si="1"/>
        <v>4427.3</v>
      </c>
      <c r="F29" s="2">
        <f t="shared" si="6"/>
        <v>354183.97999999975</v>
      </c>
      <c r="G29" s="2">
        <f t="shared" si="7"/>
        <v>323945.27999999974</v>
      </c>
      <c r="H29" s="14">
        <f t="shared" si="2"/>
        <v>4366.6518082191751</v>
      </c>
      <c r="I29" s="16">
        <f t="shared" si="3"/>
        <v>-60.648191780825073</v>
      </c>
    </row>
    <row r="30" spans="1:9" x14ac:dyDescent="0.25">
      <c r="A30" s="29">
        <v>42679</v>
      </c>
      <c r="B30" s="1">
        <f t="shared" si="4"/>
        <v>30</v>
      </c>
      <c r="C30" s="4">
        <f t="shared" si="5"/>
        <v>34666</v>
      </c>
      <c r="D30" s="2">
        <f t="shared" si="0"/>
        <v>30616.68</v>
      </c>
      <c r="E30" s="19">
        <f t="shared" si="1"/>
        <v>4049.32</v>
      </c>
      <c r="F30" s="2">
        <f t="shared" si="6"/>
        <v>323945.27999999974</v>
      </c>
      <c r="G30" s="2">
        <f t="shared" si="7"/>
        <v>293328.59999999974</v>
      </c>
      <c r="H30" s="14">
        <f t="shared" si="2"/>
        <v>3993.8459178082162</v>
      </c>
      <c r="I30" s="16">
        <f t="shared" si="3"/>
        <v>-55.474082191783964</v>
      </c>
    </row>
    <row r="31" spans="1:9" x14ac:dyDescent="0.25">
      <c r="A31" s="29">
        <v>42709</v>
      </c>
      <c r="B31" s="1">
        <f t="shared" si="4"/>
        <v>30</v>
      </c>
      <c r="C31" s="4">
        <f t="shared" si="5"/>
        <v>34666</v>
      </c>
      <c r="D31" s="2">
        <f t="shared" si="0"/>
        <v>30999.39</v>
      </c>
      <c r="E31" s="19">
        <f t="shared" si="1"/>
        <v>3666.61</v>
      </c>
      <c r="F31" s="2">
        <f t="shared" si="6"/>
        <v>293328.59999999974</v>
      </c>
      <c r="G31" s="2">
        <f t="shared" si="7"/>
        <v>262329.20999999973</v>
      </c>
      <c r="H31" s="14">
        <f t="shared" si="2"/>
        <v>3616.3799999999965</v>
      </c>
      <c r="I31" s="16">
        <f t="shared" si="3"/>
        <v>-50.230000000003656</v>
      </c>
    </row>
    <row r="32" spans="1:9" x14ac:dyDescent="0.25">
      <c r="A32" s="29">
        <v>42740</v>
      </c>
      <c r="B32" s="1">
        <f t="shared" si="4"/>
        <v>30</v>
      </c>
      <c r="C32" s="4">
        <f t="shared" si="5"/>
        <v>34666</v>
      </c>
      <c r="D32" s="2">
        <f t="shared" si="0"/>
        <v>31386.880000000001</v>
      </c>
      <c r="E32" s="19">
        <f t="shared" si="1"/>
        <v>3279.12</v>
      </c>
      <c r="F32" s="2">
        <f t="shared" si="6"/>
        <v>262329.20999999973</v>
      </c>
      <c r="G32" s="2">
        <f t="shared" si="7"/>
        <v>230942.32999999973</v>
      </c>
      <c r="H32" s="14">
        <f t="shared" si="2"/>
        <v>3234.1957397260244</v>
      </c>
      <c r="I32" s="16">
        <f t="shared" si="3"/>
        <v>-44.924260273975506</v>
      </c>
    </row>
    <row r="33" spans="1:9" x14ac:dyDescent="0.25">
      <c r="A33" s="29">
        <v>42771</v>
      </c>
      <c r="B33" s="1">
        <f t="shared" si="4"/>
        <v>30</v>
      </c>
      <c r="C33" s="4">
        <f t="shared" si="5"/>
        <v>34666</v>
      </c>
      <c r="D33" s="2">
        <f t="shared" si="0"/>
        <v>31779.22</v>
      </c>
      <c r="E33" s="19">
        <f t="shared" si="1"/>
        <v>2886.78</v>
      </c>
      <c r="F33" s="2">
        <f t="shared" si="6"/>
        <v>230942.32999999973</v>
      </c>
      <c r="G33" s="2">
        <f t="shared" si="7"/>
        <v>199163.10999999972</v>
      </c>
      <c r="H33" s="14">
        <f t="shared" si="2"/>
        <v>2847.234205479449</v>
      </c>
      <c r="I33" s="16">
        <f t="shared" si="3"/>
        <v>-39.545794520551226</v>
      </c>
    </row>
    <row r="34" spans="1:9" x14ac:dyDescent="0.25">
      <c r="A34" s="29">
        <v>42799</v>
      </c>
      <c r="B34" s="1">
        <f t="shared" si="4"/>
        <v>30</v>
      </c>
      <c r="C34" s="4">
        <f t="shared" si="5"/>
        <v>34666</v>
      </c>
      <c r="D34" s="2">
        <f t="shared" si="0"/>
        <v>32176.46</v>
      </c>
      <c r="E34" s="19">
        <f t="shared" si="1"/>
        <v>2489.54</v>
      </c>
      <c r="F34" s="2">
        <f t="shared" si="6"/>
        <v>199163.10999999972</v>
      </c>
      <c r="G34" s="2">
        <f t="shared" si="7"/>
        <v>166986.64999999973</v>
      </c>
      <c r="H34" s="14"/>
      <c r="I34" s="16"/>
    </row>
    <row r="35" spans="1:9" x14ac:dyDescent="0.25">
      <c r="A35" s="29">
        <v>42830</v>
      </c>
      <c r="B35" s="1">
        <f t="shared" si="4"/>
        <v>30</v>
      </c>
      <c r="C35" s="4">
        <f t="shared" si="5"/>
        <v>34666</v>
      </c>
      <c r="D35" s="2">
        <f t="shared" si="0"/>
        <v>32578.67</v>
      </c>
      <c r="E35" s="19">
        <f t="shared" si="1"/>
        <v>2087.33</v>
      </c>
      <c r="F35" s="2">
        <f t="shared" si="6"/>
        <v>166986.64999999973</v>
      </c>
      <c r="G35" s="2">
        <f t="shared" si="7"/>
        <v>134407.97999999975</v>
      </c>
      <c r="H35" s="14"/>
      <c r="I35" s="16"/>
    </row>
    <row r="36" spans="1:9" x14ac:dyDescent="0.25">
      <c r="A36" s="29">
        <v>42860</v>
      </c>
      <c r="B36" s="1">
        <f t="shared" si="4"/>
        <v>30</v>
      </c>
      <c r="C36" s="4">
        <f t="shared" si="5"/>
        <v>34666</v>
      </c>
      <c r="D36" s="2">
        <f t="shared" si="0"/>
        <v>32985.9</v>
      </c>
      <c r="E36" s="19">
        <f t="shared" si="1"/>
        <v>1680.1</v>
      </c>
      <c r="F36" s="2">
        <f t="shared" si="6"/>
        <v>134407.97999999975</v>
      </c>
      <c r="G36" s="2">
        <f t="shared" si="7"/>
        <v>101422.07999999975</v>
      </c>
      <c r="H36" s="14"/>
      <c r="I36" s="16"/>
    </row>
    <row r="37" spans="1:9" x14ac:dyDescent="0.25">
      <c r="A37" s="29">
        <v>42891</v>
      </c>
      <c r="B37" s="1">
        <f t="shared" si="4"/>
        <v>30</v>
      </c>
      <c r="C37" s="4">
        <f t="shared" si="5"/>
        <v>34666</v>
      </c>
      <c r="D37" s="2">
        <f t="shared" si="0"/>
        <v>33398.22</v>
      </c>
      <c r="E37" s="19">
        <f t="shared" si="1"/>
        <v>1267.78</v>
      </c>
      <c r="F37" s="2">
        <f t="shared" si="6"/>
        <v>101422.07999999975</v>
      </c>
      <c r="G37" s="2">
        <f t="shared" si="7"/>
        <v>68023.859999999753</v>
      </c>
      <c r="H37" s="14"/>
      <c r="I37" s="16"/>
    </row>
    <row r="38" spans="1:9" x14ac:dyDescent="0.25">
      <c r="A38" s="29">
        <v>42921</v>
      </c>
      <c r="B38" s="1">
        <f t="shared" si="4"/>
        <v>30</v>
      </c>
      <c r="C38" s="4">
        <f t="shared" si="5"/>
        <v>34666</v>
      </c>
      <c r="D38" s="2">
        <f t="shared" si="0"/>
        <v>33815.699999999997</v>
      </c>
      <c r="E38" s="19">
        <f t="shared" si="1"/>
        <v>850.3</v>
      </c>
      <c r="F38" s="2">
        <f t="shared" si="6"/>
        <v>68023.859999999753</v>
      </c>
      <c r="G38" s="2">
        <f t="shared" si="7"/>
        <v>34208.159999999756</v>
      </c>
      <c r="H38" s="14"/>
      <c r="I38" s="16"/>
    </row>
    <row r="39" spans="1:9" x14ac:dyDescent="0.25">
      <c r="A39" s="29">
        <v>42952</v>
      </c>
      <c r="B39" s="1">
        <f t="shared" si="4"/>
        <v>30</v>
      </c>
      <c r="C39" s="4">
        <f t="shared" si="5"/>
        <v>34666</v>
      </c>
      <c r="D39" s="2">
        <f t="shared" si="0"/>
        <v>34208.159999999756</v>
      </c>
      <c r="E39" s="19">
        <v>457.84000000024537</v>
      </c>
      <c r="F39" s="2">
        <f t="shared" si="6"/>
        <v>34208.159999999756</v>
      </c>
      <c r="G39" s="2">
        <f t="shared" si="7"/>
        <v>0</v>
      </c>
      <c r="H39" s="14"/>
      <c r="I39" s="16"/>
    </row>
    <row r="40" spans="1:9" x14ac:dyDescent="0.25">
      <c r="A40" s="29">
        <v>42374</v>
      </c>
      <c r="B40" s="1">
        <f>DAYS360(A19,A20,TRUE)</f>
        <v>30</v>
      </c>
      <c r="C40" s="4">
        <f t="shared" si="5"/>
        <v>34666</v>
      </c>
      <c r="D40" s="2">
        <f t="shared" si="0"/>
        <v>27040.07</v>
      </c>
      <c r="E40" s="19">
        <f>ROUND(F20*$B$2*B20/360,2)</f>
        <v>7625.93</v>
      </c>
      <c r="F40" s="2">
        <f>G19</f>
        <v>610074.28999999969</v>
      </c>
      <c r="G40" s="2">
        <f>F20-D20</f>
        <v>583034.21999999974</v>
      </c>
      <c r="H40" s="14"/>
      <c r="I40" s="16"/>
    </row>
    <row r="41" spans="1:9" x14ac:dyDescent="0.25">
      <c r="A41" s="29">
        <v>42405</v>
      </c>
      <c r="B41" s="1">
        <f t="shared" si="4"/>
        <v>30</v>
      </c>
      <c r="C41" s="4">
        <f>$F$1</f>
        <v>36054</v>
      </c>
      <c r="D41" s="2">
        <f t="shared" si="0"/>
        <v>26336.760000000002</v>
      </c>
      <c r="E41" s="19">
        <f>ROUND(F41*$J$1*B41/360,2)</f>
        <v>9717.24</v>
      </c>
      <c r="F41" s="2">
        <f>G20</f>
        <v>583034.21999999974</v>
      </c>
      <c r="G41" s="2">
        <f>F41-D41</f>
        <v>556697.45999999973</v>
      </c>
      <c r="H41" s="14"/>
      <c r="I41" s="16"/>
    </row>
    <row r="42" spans="1:9" x14ac:dyDescent="0.25">
      <c r="A42" s="29">
        <v>42434</v>
      </c>
      <c r="B42" s="1">
        <f t="shared" si="4"/>
        <v>30</v>
      </c>
      <c r="C42" s="4">
        <f t="shared" ref="C42:C59" si="8">$F$1</f>
        <v>36054</v>
      </c>
      <c r="D42" s="2">
        <f t="shared" si="0"/>
        <v>26775.71</v>
      </c>
      <c r="E42" s="19">
        <f t="shared" ref="E42:E58" si="9">ROUND(F42*$J$1*B42/360,2)</f>
        <v>9278.2900000000009</v>
      </c>
      <c r="F42" s="2">
        <f>G41</f>
        <v>556697.45999999973</v>
      </c>
      <c r="G42" s="2">
        <f t="shared" ref="G42:G59" si="10">F42-D42</f>
        <v>529921.74999999977</v>
      </c>
      <c r="H42" s="14"/>
      <c r="I42" s="16"/>
    </row>
    <row r="43" spans="1:9" x14ac:dyDescent="0.25">
      <c r="A43" s="29">
        <v>42465</v>
      </c>
      <c r="B43" s="1">
        <f t="shared" si="4"/>
        <v>30</v>
      </c>
      <c r="C43" s="4">
        <f t="shared" si="8"/>
        <v>36054</v>
      </c>
      <c r="D43" s="2">
        <f t="shared" si="0"/>
        <v>27221.97</v>
      </c>
      <c r="E43" s="19">
        <f t="shared" si="9"/>
        <v>8832.0300000000007</v>
      </c>
      <c r="F43" s="2">
        <f t="shared" ref="F43:F59" si="11">G42</f>
        <v>529921.74999999977</v>
      </c>
      <c r="G43" s="2">
        <f t="shared" si="10"/>
        <v>502699.7799999998</v>
      </c>
      <c r="H43" s="14"/>
      <c r="I43" s="16"/>
    </row>
    <row r="44" spans="1:9" x14ac:dyDescent="0.25">
      <c r="A44" s="29">
        <v>42495</v>
      </c>
      <c r="B44" s="1">
        <f t="shared" si="4"/>
        <v>30</v>
      </c>
      <c r="C44" s="4">
        <f t="shared" si="8"/>
        <v>36054</v>
      </c>
      <c r="D44" s="2">
        <f t="shared" si="0"/>
        <v>27675.67</v>
      </c>
      <c r="E44" s="19">
        <f t="shared" si="9"/>
        <v>8378.33</v>
      </c>
      <c r="F44" s="2">
        <f t="shared" si="11"/>
        <v>502699.7799999998</v>
      </c>
      <c r="G44" s="2">
        <f t="shared" si="10"/>
        <v>475024.10999999981</v>
      </c>
      <c r="H44" s="14"/>
      <c r="I44" s="16"/>
    </row>
    <row r="45" spans="1:9" x14ac:dyDescent="0.25">
      <c r="A45" s="29">
        <v>42526</v>
      </c>
      <c r="B45" s="1">
        <f t="shared" si="4"/>
        <v>30</v>
      </c>
      <c r="C45" s="4">
        <f t="shared" si="8"/>
        <v>36054</v>
      </c>
      <c r="D45" s="2">
        <f t="shared" si="0"/>
        <v>28136.93</v>
      </c>
      <c r="E45" s="19">
        <f t="shared" si="9"/>
        <v>7917.07</v>
      </c>
      <c r="F45" s="2">
        <f t="shared" si="11"/>
        <v>475024.10999999981</v>
      </c>
      <c r="G45" s="2">
        <f t="shared" si="10"/>
        <v>446887.17999999982</v>
      </c>
      <c r="H45" s="14"/>
      <c r="I45" s="16"/>
    </row>
    <row r="46" spans="1:9" x14ac:dyDescent="0.25">
      <c r="A46" s="29">
        <v>42556</v>
      </c>
      <c r="B46" s="1">
        <f t="shared" si="4"/>
        <v>30</v>
      </c>
      <c r="C46" s="4">
        <f t="shared" si="8"/>
        <v>36054</v>
      </c>
      <c r="D46" s="2">
        <f t="shared" si="0"/>
        <v>28605.88</v>
      </c>
      <c r="E46" s="19">
        <f t="shared" si="9"/>
        <v>7448.12</v>
      </c>
      <c r="F46" s="2">
        <f t="shared" si="11"/>
        <v>446887.17999999982</v>
      </c>
      <c r="G46" s="2">
        <f t="shared" si="10"/>
        <v>418281.29999999981</v>
      </c>
      <c r="H46" s="14"/>
      <c r="I46" s="16"/>
    </row>
    <row r="47" spans="1:9" x14ac:dyDescent="0.25">
      <c r="A47" s="29">
        <v>42587</v>
      </c>
      <c r="B47" s="1">
        <f t="shared" si="4"/>
        <v>30</v>
      </c>
      <c r="C47" s="4">
        <f t="shared" si="8"/>
        <v>36054</v>
      </c>
      <c r="D47" s="2">
        <f t="shared" si="0"/>
        <v>29082.639999999999</v>
      </c>
      <c r="E47" s="19">
        <f t="shared" si="9"/>
        <v>6971.36</v>
      </c>
      <c r="F47" s="2">
        <f t="shared" si="11"/>
        <v>418281.29999999981</v>
      </c>
      <c r="G47" s="2">
        <f t="shared" si="10"/>
        <v>389198.6599999998</v>
      </c>
      <c r="H47" s="14"/>
      <c r="I47" s="16"/>
    </row>
    <row r="48" spans="1:9" x14ac:dyDescent="0.25">
      <c r="A48" s="29">
        <v>42618</v>
      </c>
      <c r="B48" s="1">
        <f t="shared" si="4"/>
        <v>30</v>
      </c>
      <c r="C48" s="4">
        <f t="shared" si="8"/>
        <v>36054</v>
      </c>
      <c r="D48" s="2">
        <f t="shared" si="0"/>
        <v>29567.360000000001</v>
      </c>
      <c r="E48" s="19">
        <f t="shared" si="9"/>
        <v>6486.64</v>
      </c>
      <c r="F48" s="2">
        <f t="shared" si="11"/>
        <v>389198.6599999998</v>
      </c>
      <c r="G48" s="2">
        <f t="shared" si="10"/>
        <v>359631.29999999981</v>
      </c>
      <c r="H48" s="14"/>
      <c r="I48" s="16"/>
    </row>
    <row r="49" spans="1:9" x14ac:dyDescent="0.25">
      <c r="A49" s="29">
        <v>42648</v>
      </c>
      <c r="B49" s="1">
        <f t="shared" si="4"/>
        <v>30</v>
      </c>
      <c r="C49" s="4">
        <f t="shared" si="8"/>
        <v>36054</v>
      </c>
      <c r="D49" s="2">
        <f t="shared" si="0"/>
        <v>30060.14</v>
      </c>
      <c r="E49" s="19">
        <f t="shared" si="9"/>
        <v>5993.86</v>
      </c>
      <c r="F49" s="2">
        <f t="shared" si="11"/>
        <v>359631.29999999981</v>
      </c>
      <c r="G49" s="2">
        <f t="shared" si="10"/>
        <v>329571.1599999998</v>
      </c>
      <c r="H49" s="14"/>
      <c r="I49" s="16"/>
    </row>
    <row r="50" spans="1:9" x14ac:dyDescent="0.25">
      <c r="A50" s="29">
        <v>42679</v>
      </c>
      <c r="B50" s="1">
        <f t="shared" si="4"/>
        <v>30</v>
      </c>
      <c r="C50" s="4">
        <f t="shared" si="8"/>
        <v>36054</v>
      </c>
      <c r="D50" s="2">
        <f t="shared" si="0"/>
        <v>30561.15</v>
      </c>
      <c r="E50" s="19">
        <f t="shared" si="9"/>
        <v>5492.85</v>
      </c>
      <c r="F50" s="2">
        <f t="shared" si="11"/>
        <v>329571.1599999998</v>
      </c>
      <c r="G50" s="2">
        <f t="shared" si="10"/>
        <v>299010.00999999978</v>
      </c>
      <c r="H50" s="14"/>
      <c r="I50" s="16"/>
    </row>
    <row r="51" spans="1:9" x14ac:dyDescent="0.25">
      <c r="A51" s="29">
        <v>42709</v>
      </c>
      <c r="B51" s="1">
        <f t="shared" si="4"/>
        <v>30</v>
      </c>
      <c r="C51" s="4">
        <f t="shared" si="8"/>
        <v>36054</v>
      </c>
      <c r="D51" s="2">
        <f t="shared" si="0"/>
        <v>31070.5</v>
      </c>
      <c r="E51" s="19">
        <f t="shared" si="9"/>
        <v>4983.5</v>
      </c>
      <c r="F51" s="2">
        <f t="shared" si="11"/>
        <v>299010.00999999978</v>
      </c>
      <c r="G51" s="2">
        <f t="shared" si="10"/>
        <v>267939.50999999978</v>
      </c>
      <c r="H51" s="14"/>
      <c r="I51" s="16"/>
    </row>
    <row r="52" spans="1:9" x14ac:dyDescent="0.25">
      <c r="A52" s="55">
        <v>42740</v>
      </c>
      <c r="B52" s="1">
        <f t="shared" si="4"/>
        <v>30</v>
      </c>
      <c r="C52" s="4">
        <f t="shared" si="8"/>
        <v>36054</v>
      </c>
      <c r="D52" s="2">
        <f t="shared" si="0"/>
        <v>31588.34</v>
      </c>
      <c r="E52" s="19">
        <f t="shared" si="9"/>
        <v>4465.66</v>
      </c>
      <c r="F52" s="2">
        <f t="shared" si="11"/>
        <v>267939.50999999978</v>
      </c>
      <c r="G52" s="2">
        <f t="shared" si="10"/>
        <v>236351.16999999978</v>
      </c>
      <c r="H52" s="14"/>
      <c r="I52" s="16"/>
    </row>
    <row r="53" spans="1:9" x14ac:dyDescent="0.25">
      <c r="A53" s="55">
        <v>42771</v>
      </c>
      <c r="B53" s="1">
        <f t="shared" si="4"/>
        <v>30</v>
      </c>
      <c r="C53" s="4">
        <f t="shared" si="8"/>
        <v>36054</v>
      </c>
      <c r="D53" s="2">
        <f t="shared" si="0"/>
        <v>32114.81</v>
      </c>
      <c r="E53" s="19">
        <f t="shared" si="9"/>
        <v>3939.19</v>
      </c>
      <c r="F53" s="2">
        <f t="shared" si="11"/>
        <v>236351.16999999978</v>
      </c>
      <c r="G53" s="2">
        <f t="shared" si="10"/>
        <v>204236.35999999978</v>
      </c>
      <c r="H53" s="14"/>
      <c r="I53" s="16"/>
    </row>
    <row r="54" spans="1:9" x14ac:dyDescent="0.25">
      <c r="A54" s="55">
        <v>42799</v>
      </c>
      <c r="B54" s="1">
        <f t="shared" si="4"/>
        <v>30</v>
      </c>
      <c r="C54" s="4">
        <f t="shared" si="8"/>
        <v>36054</v>
      </c>
      <c r="D54" s="2">
        <f t="shared" si="0"/>
        <v>32650.06</v>
      </c>
      <c r="E54" s="19">
        <f t="shared" si="9"/>
        <v>3403.94</v>
      </c>
      <c r="F54" s="2">
        <f t="shared" si="11"/>
        <v>204236.35999999978</v>
      </c>
      <c r="G54" s="2">
        <f t="shared" si="10"/>
        <v>171586.29999999978</v>
      </c>
      <c r="H54" s="14"/>
      <c r="I54" s="16"/>
    </row>
    <row r="55" spans="1:9" x14ac:dyDescent="0.25">
      <c r="A55" s="55">
        <v>42830</v>
      </c>
      <c r="B55" s="1">
        <f t="shared" si="4"/>
        <v>30</v>
      </c>
      <c r="C55" s="4">
        <f t="shared" si="8"/>
        <v>36054</v>
      </c>
      <c r="D55" s="2">
        <f t="shared" si="0"/>
        <v>33194.230000000003</v>
      </c>
      <c r="E55" s="19">
        <f t="shared" si="9"/>
        <v>2859.77</v>
      </c>
      <c r="F55" s="2">
        <f t="shared" si="11"/>
        <v>171586.29999999978</v>
      </c>
      <c r="G55" s="2">
        <f t="shared" si="10"/>
        <v>138392.06999999977</v>
      </c>
      <c r="H55" s="14"/>
      <c r="I55" s="16"/>
    </row>
    <row r="56" spans="1:9" x14ac:dyDescent="0.25">
      <c r="A56" s="55">
        <v>42860</v>
      </c>
      <c r="B56" s="1">
        <f t="shared" si="4"/>
        <v>30</v>
      </c>
      <c r="C56" s="4">
        <f t="shared" si="8"/>
        <v>36054</v>
      </c>
      <c r="D56" s="2">
        <f t="shared" si="0"/>
        <v>33747.47</v>
      </c>
      <c r="E56" s="19">
        <f t="shared" si="9"/>
        <v>2306.5300000000002</v>
      </c>
      <c r="F56" s="2">
        <f t="shared" si="11"/>
        <v>138392.06999999977</v>
      </c>
      <c r="G56" s="2">
        <f t="shared" si="10"/>
        <v>104644.59999999977</v>
      </c>
      <c r="H56" s="14"/>
      <c r="I56" s="16"/>
    </row>
    <row r="57" spans="1:9" x14ac:dyDescent="0.25">
      <c r="A57" s="55">
        <v>42891</v>
      </c>
      <c r="B57" s="1">
        <f t="shared" si="4"/>
        <v>30</v>
      </c>
      <c r="C57" s="4">
        <f t="shared" si="8"/>
        <v>36054</v>
      </c>
      <c r="D57" s="2">
        <f t="shared" si="0"/>
        <v>34309.919999999998</v>
      </c>
      <c r="E57" s="19">
        <f t="shared" si="9"/>
        <v>1744.08</v>
      </c>
      <c r="F57" s="2">
        <f t="shared" si="11"/>
        <v>104644.59999999977</v>
      </c>
      <c r="G57" s="2">
        <f t="shared" si="10"/>
        <v>70334.679999999775</v>
      </c>
      <c r="H57" s="14"/>
      <c r="I57" s="16"/>
    </row>
    <row r="58" spans="1:9" x14ac:dyDescent="0.25">
      <c r="A58" s="55">
        <v>42921</v>
      </c>
      <c r="B58" s="1">
        <f t="shared" si="4"/>
        <v>30</v>
      </c>
      <c r="C58" s="4">
        <f t="shared" si="8"/>
        <v>36054</v>
      </c>
      <c r="D58" s="2">
        <f t="shared" si="0"/>
        <v>34881.760000000002</v>
      </c>
      <c r="E58" s="19">
        <f t="shared" si="9"/>
        <v>1172.24</v>
      </c>
      <c r="F58" s="2">
        <f t="shared" si="11"/>
        <v>70334.679999999775</v>
      </c>
      <c r="G58" s="2">
        <f t="shared" si="10"/>
        <v>35452.919999999773</v>
      </c>
      <c r="H58" s="14"/>
      <c r="I58" s="16"/>
    </row>
    <row r="59" spans="1:9" x14ac:dyDescent="0.25">
      <c r="A59" s="55">
        <v>42952</v>
      </c>
      <c r="B59" s="1">
        <f t="shared" si="4"/>
        <v>30</v>
      </c>
      <c r="C59" s="4">
        <f t="shared" si="8"/>
        <v>36054</v>
      </c>
      <c r="D59" s="2">
        <f t="shared" si="0"/>
        <v>35452.919999999773</v>
      </c>
      <c r="E59" s="19">
        <v>601.08000000022992</v>
      </c>
      <c r="F59" s="2">
        <f t="shared" si="11"/>
        <v>35452.919999999773</v>
      </c>
      <c r="G59" s="2">
        <f t="shared" si="10"/>
        <v>0</v>
      </c>
      <c r="H59" s="14"/>
      <c r="I59" s="16"/>
    </row>
  </sheetData>
  <pageMargins left="0.7" right="0.7" top="0.75" bottom="0.75" header="0.3" footer="0.3"/>
  <pageSetup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025C23-6D0A-4F4E-853D-FAB3F1172F22}">
  <dimension ref="A1:R3"/>
  <sheetViews>
    <sheetView workbookViewId="0">
      <selection activeCell="R3" sqref="R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4.57031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80</v>
      </c>
      <c r="P2" s="20" t="s">
        <v>21</v>
      </c>
      <c r="Q2" s="20" t="s">
        <v>79</v>
      </c>
      <c r="R2" s="50" t="s">
        <v>81</v>
      </c>
    </row>
    <row r="3" spans="1:18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80</v>
      </c>
      <c r="P3" s="20" t="s">
        <v>21</v>
      </c>
      <c r="Q3" s="20" t="s">
        <v>79</v>
      </c>
      <c r="R3" s="50" t="s">
        <v>179</v>
      </c>
    </row>
  </sheetData>
  <pageMargins left="0.7" right="0.7" top="0.75" bottom="0.75" header="0.3" footer="0.3"/>
  <pageSetup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82D6A-69BC-49A9-988F-DA6E485F2D85}">
  <dimension ref="A1:J59"/>
  <sheetViews>
    <sheetView zoomScale="82" zoomScaleNormal="100" workbookViewId="0">
      <pane ySplit="3" topLeftCell="A40" activePane="bottomLeft" state="frozen"/>
      <selection activeCell="A2" sqref="A2"/>
      <selection pane="bottomLeft" sqref="A1:I59"/>
    </sheetView>
  </sheetViews>
  <sheetFormatPr defaultRowHeight="15" x14ac:dyDescent="0.25"/>
  <cols>
    <col min="1" max="1" width="15.7109375" bestFit="1" customWidth="1"/>
    <col min="2" max="2" width="13" bestFit="1" customWidth="1"/>
    <col min="3" max="3" width="25" bestFit="1" customWidth="1"/>
    <col min="4" max="4" width="13" bestFit="1" customWidth="1"/>
    <col min="5" max="5" width="24.85546875" bestFit="1" customWidth="1"/>
    <col min="6" max="6" width="15.85546875" bestFit="1" customWidth="1"/>
    <col min="7" max="7" width="18.85546875" bestFit="1" customWidth="1"/>
    <col min="8" max="8" width="15.7109375" bestFit="1" customWidth="1"/>
    <col min="9" max="9" width="21.85546875" bestFit="1" customWidth="1"/>
    <col min="10" max="10" width="11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57">
        <f>ROUNDUP(36001.0851158314,0)</f>
        <v>36002</v>
      </c>
      <c r="G1" s="28" t="s">
        <v>52</v>
      </c>
      <c r="H1" s="26">
        <v>42370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H1-A19</f>
        <v>27</v>
      </c>
      <c r="E2" t="s">
        <v>59</v>
      </c>
      <c r="F2">
        <f>A40-H1</f>
        <v>4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_xlfn.DAYS(A4,B1)</f>
        <v>31</v>
      </c>
      <c r="C4" s="4">
        <f>$D$1</f>
        <v>34674</v>
      </c>
      <c r="D4" s="2">
        <f t="shared" ref="D4:D47" si="0">C4-E4</f>
        <v>21934.27</v>
      </c>
      <c r="E4" s="19">
        <f>ROUND(F4*$B$2*B4/365,2)</f>
        <v>12739.73</v>
      </c>
      <c r="F4" s="53">
        <v>1000000</v>
      </c>
      <c r="G4" s="2">
        <f>F4-D4</f>
        <v>978065.73</v>
      </c>
      <c r="H4" s="14">
        <f>F4*$B$2*B4/365</f>
        <v>12739.726027397261</v>
      </c>
      <c r="I4" s="16">
        <f>H4-E4</f>
        <v>-3.9726027389406227E-3</v>
      </c>
    </row>
    <row r="5" spans="1:10" x14ac:dyDescent="0.25">
      <c r="A5" s="54">
        <v>41917</v>
      </c>
      <c r="B5" s="1">
        <f>_xlfn.DAYS(A5,A4)</f>
        <v>30</v>
      </c>
      <c r="C5" s="4">
        <f>$D$1</f>
        <v>34674</v>
      </c>
      <c r="D5" s="2">
        <f t="shared" si="0"/>
        <v>22615.66</v>
      </c>
      <c r="E5" s="19">
        <f>ROUND(F5*$B$2*B5/365,2)</f>
        <v>12058.34</v>
      </c>
      <c r="F5" s="2">
        <f>G4</f>
        <v>978065.73</v>
      </c>
      <c r="G5" s="2">
        <f>F5-D5</f>
        <v>955450.07</v>
      </c>
      <c r="H5" s="14">
        <f t="shared" ref="H5:H33" si="1">F5*$B$2*B5/365</f>
        <v>12058.344616438357</v>
      </c>
      <c r="I5" s="16">
        <f t="shared" ref="I5:I33" si="2">H5-E5</f>
        <v>4.6164383566065226E-3</v>
      </c>
    </row>
    <row r="6" spans="1:10" x14ac:dyDescent="0.25">
      <c r="A6" s="54">
        <v>41948</v>
      </c>
      <c r="B6" s="1">
        <f t="shared" ref="B6:B59" si="3">_xlfn.DAYS(A6,A5)</f>
        <v>31</v>
      </c>
      <c r="C6" s="4">
        <f t="shared" ref="C6:C39" si="4">$D$1</f>
        <v>34674</v>
      </c>
      <c r="D6" s="2">
        <f t="shared" si="0"/>
        <v>22501.83</v>
      </c>
      <c r="E6" s="19">
        <f t="shared" ref="E6:E38" si="5">ROUND(F6*$B$2*B6/365,2)</f>
        <v>12172.17</v>
      </c>
      <c r="F6" s="2">
        <f t="shared" ref="F6:F39" si="6">G5</f>
        <v>955450.07</v>
      </c>
      <c r="G6" s="2">
        <f t="shared" ref="G6:G47" si="7">F6-D6</f>
        <v>932948.24</v>
      </c>
      <c r="H6" s="14">
        <f t="shared" si="1"/>
        <v>12172.172124657533</v>
      </c>
      <c r="I6" s="16">
        <f t="shared" si="2"/>
        <v>2.1246575324767036E-3</v>
      </c>
    </row>
    <row r="7" spans="1:10" x14ac:dyDescent="0.25">
      <c r="A7" s="54">
        <v>41978</v>
      </c>
      <c r="B7" s="1">
        <f t="shared" si="3"/>
        <v>30</v>
      </c>
      <c r="C7" s="4">
        <f t="shared" si="4"/>
        <v>34674</v>
      </c>
      <c r="D7" s="2">
        <f t="shared" si="0"/>
        <v>23171.9</v>
      </c>
      <c r="E7" s="19">
        <f t="shared" si="5"/>
        <v>11502.1</v>
      </c>
      <c r="F7" s="2">
        <f t="shared" si="6"/>
        <v>932948.24</v>
      </c>
      <c r="G7" s="2">
        <f t="shared" si="7"/>
        <v>909776.34</v>
      </c>
      <c r="H7" s="14">
        <f t="shared" si="1"/>
        <v>11502.101589041096</v>
      </c>
      <c r="I7" s="16">
        <f t="shared" si="2"/>
        <v>1.5890410959400469E-3</v>
      </c>
    </row>
    <row r="8" spans="1:10" x14ac:dyDescent="0.25">
      <c r="A8" s="54">
        <v>42009</v>
      </c>
      <c r="B8" s="1">
        <f t="shared" si="3"/>
        <v>31</v>
      </c>
      <c r="C8" s="4">
        <f t="shared" si="4"/>
        <v>34674</v>
      </c>
      <c r="D8" s="2">
        <f t="shared" si="0"/>
        <v>23083.7</v>
      </c>
      <c r="E8" s="19">
        <f t="shared" si="5"/>
        <v>11590.3</v>
      </c>
      <c r="F8" s="2">
        <f t="shared" si="6"/>
        <v>909776.34</v>
      </c>
      <c r="G8" s="2">
        <f t="shared" si="7"/>
        <v>886692.64</v>
      </c>
      <c r="H8" s="14">
        <f t="shared" si="1"/>
        <v>11590.301317808218</v>
      </c>
      <c r="I8" s="16">
        <f t="shared" si="2"/>
        <v>1.3178082190279383E-3</v>
      </c>
    </row>
    <row r="9" spans="1:10" x14ac:dyDescent="0.25">
      <c r="A9" s="54">
        <v>42040</v>
      </c>
      <c r="B9" s="1">
        <f t="shared" si="3"/>
        <v>31</v>
      </c>
      <c r="C9" s="4">
        <f t="shared" si="4"/>
        <v>34674</v>
      </c>
      <c r="D9" s="2">
        <f t="shared" si="0"/>
        <v>23377.78</v>
      </c>
      <c r="E9" s="19">
        <f t="shared" si="5"/>
        <v>11296.22</v>
      </c>
      <c r="F9" s="2">
        <f t="shared" si="6"/>
        <v>886692.64</v>
      </c>
      <c r="G9" s="2">
        <f t="shared" si="7"/>
        <v>863314.86</v>
      </c>
      <c r="H9" s="14">
        <f t="shared" si="1"/>
        <v>11296.221304109589</v>
      </c>
      <c r="I9" s="16">
        <f t="shared" si="2"/>
        <v>1.3041095899097854E-3</v>
      </c>
    </row>
    <row r="10" spans="1:10" x14ac:dyDescent="0.25">
      <c r="A10" s="54">
        <v>42068</v>
      </c>
      <c r="B10" s="1">
        <f t="shared" si="3"/>
        <v>28</v>
      </c>
      <c r="C10" s="4">
        <f t="shared" si="4"/>
        <v>34674</v>
      </c>
      <c r="D10" s="2">
        <f t="shared" si="0"/>
        <v>24739.97</v>
      </c>
      <c r="E10" s="19">
        <f t="shared" si="5"/>
        <v>9934.0300000000007</v>
      </c>
      <c r="F10" s="2">
        <f t="shared" si="6"/>
        <v>863314.86</v>
      </c>
      <c r="G10" s="2">
        <f t="shared" si="7"/>
        <v>838574.89</v>
      </c>
      <c r="H10" s="14">
        <f t="shared" si="1"/>
        <v>9934.0340054794506</v>
      </c>
      <c r="I10" s="16">
        <f t="shared" si="2"/>
        <v>4.0054794499155832E-3</v>
      </c>
    </row>
    <row r="11" spans="1:10" x14ac:dyDescent="0.25">
      <c r="A11" s="54">
        <v>42099</v>
      </c>
      <c r="B11" s="1">
        <f t="shared" si="3"/>
        <v>31</v>
      </c>
      <c r="C11" s="4">
        <f t="shared" si="4"/>
        <v>34674</v>
      </c>
      <c r="D11" s="2">
        <f t="shared" si="0"/>
        <v>23990.79</v>
      </c>
      <c r="E11" s="19">
        <f t="shared" si="5"/>
        <v>10683.21</v>
      </c>
      <c r="F11" s="2">
        <f t="shared" si="6"/>
        <v>838574.89</v>
      </c>
      <c r="G11" s="2">
        <f t="shared" si="7"/>
        <v>814584.1</v>
      </c>
      <c r="H11" s="14">
        <f t="shared" si="1"/>
        <v>10683.214352054794</v>
      </c>
      <c r="I11" s="16">
        <f t="shared" si="2"/>
        <v>4.3520547951629851E-3</v>
      </c>
    </row>
    <row r="12" spans="1:10" x14ac:dyDescent="0.25">
      <c r="A12" s="54">
        <v>42129</v>
      </c>
      <c r="B12" s="1">
        <f t="shared" si="3"/>
        <v>30</v>
      </c>
      <c r="C12" s="4">
        <f t="shared" si="4"/>
        <v>34674</v>
      </c>
      <c r="D12" s="2">
        <f t="shared" si="0"/>
        <v>24631.18</v>
      </c>
      <c r="E12" s="19">
        <f t="shared" si="5"/>
        <v>10042.82</v>
      </c>
      <c r="F12" s="2">
        <f t="shared" si="6"/>
        <v>814584.1</v>
      </c>
      <c r="G12" s="2">
        <f t="shared" si="7"/>
        <v>789952.91999999993</v>
      </c>
      <c r="H12" s="14">
        <f t="shared" si="1"/>
        <v>10042.817671232877</v>
      </c>
      <c r="I12" s="16">
        <f t="shared" si="2"/>
        <v>-2.3287671228899853E-3</v>
      </c>
    </row>
    <row r="13" spans="1:10" x14ac:dyDescent="0.25">
      <c r="A13" s="54">
        <v>42160</v>
      </c>
      <c r="B13" s="1">
        <f t="shared" si="3"/>
        <v>31</v>
      </c>
      <c r="C13" s="4">
        <f t="shared" si="4"/>
        <v>34674</v>
      </c>
      <c r="D13" s="2">
        <f t="shared" si="0"/>
        <v>24610.22</v>
      </c>
      <c r="E13" s="19">
        <f t="shared" si="5"/>
        <v>10063.780000000001</v>
      </c>
      <c r="F13" s="2">
        <f t="shared" si="6"/>
        <v>789952.91999999993</v>
      </c>
      <c r="G13" s="2">
        <f t="shared" si="7"/>
        <v>765342.7</v>
      </c>
      <c r="H13" s="14">
        <f t="shared" si="1"/>
        <v>10063.783775342465</v>
      </c>
      <c r="I13" s="16">
        <f t="shared" si="2"/>
        <v>3.7753424639959121E-3</v>
      </c>
    </row>
    <row r="14" spans="1:10" x14ac:dyDescent="0.25">
      <c r="A14" s="54">
        <v>42190</v>
      </c>
      <c r="B14" s="1">
        <f t="shared" si="3"/>
        <v>30</v>
      </c>
      <c r="C14" s="4">
        <f t="shared" si="4"/>
        <v>34674</v>
      </c>
      <c r="D14" s="2">
        <f t="shared" si="0"/>
        <v>25238.27</v>
      </c>
      <c r="E14" s="19">
        <f t="shared" si="5"/>
        <v>9435.73</v>
      </c>
      <c r="F14" s="2">
        <f t="shared" si="6"/>
        <v>765342.7</v>
      </c>
      <c r="G14" s="2">
        <f t="shared" si="7"/>
        <v>740104.42999999993</v>
      </c>
      <c r="H14" s="14">
        <f t="shared" si="1"/>
        <v>9435.731917808218</v>
      </c>
      <c r="I14" s="16">
        <f t="shared" si="2"/>
        <v>1.9178082184225786E-3</v>
      </c>
    </row>
    <row r="15" spans="1:10" x14ac:dyDescent="0.25">
      <c r="A15" s="54">
        <v>42221</v>
      </c>
      <c r="B15" s="1">
        <f t="shared" si="3"/>
        <v>31</v>
      </c>
      <c r="C15" s="4">
        <f t="shared" si="4"/>
        <v>34674</v>
      </c>
      <c r="D15" s="2">
        <f t="shared" si="0"/>
        <v>25245.27</v>
      </c>
      <c r="E15" s="19">
        <f t="shared" si="5"/>
        <v>9428.73</v>
      </c>
      <c r="F15" s="2">
        <f t="shared" si="6"/>
        <v>740104.42999999993</v>
      </c>
      <c r="G15" s="2">
        <f t="shared" si="7"/>
        <v>714859.15999999992</v>
      </c>
      <c r="H15" s="14">
        <f t="shared" si="1"/>
        <v>9428.7276698630121</v>
      </c>
      <c r="I15" s="16">
        <f t="shared" si="2"/>
        <v>-2.3301369874388911E-3</v>
      </c>
    </row>
    <row r="16" spans="1:10" x14ac:dyDescent="0.25">
      <c r="A16" s="54">
        <v>42252</v>
      </c>
      <c r="B16" s="1">
        <f t="shared" si="3"/>
        <v>31</v>
      </c>
      <c r="C16" s="4">
        <f t="shared" si="4"/>
        <v>34674</v>
      </c>
      <c r="D16" s="2">
        <f t="shared" si="0"/>
        <v>25566.89</v>
      </c>
      <c r="E16" s="19">
        <f t="shared" si="5"/>
        <v>9107.11</v>
      </c>
      <c r="F16" s="2">
        <f t="shared" si="6"/>
        <v>714859.15999999992</v>
      </c>
      <c r="G16" s="2">
        <f t="shared" si="7"/>
        <v>689292.2699999999</v>
      </c>
      <c r="H16" s="14">
        <f t="shared" si="1"/>
        <v>9107.1098465753421</v>
      </c>
      <c r="I16" s="16">
        <f t="shared" si="2"/>
        <v>-1.5342465849244036E-4</v>
      </c>
    </row>
    <row r="17" spans="1:9" x14ac:dyDescent="0.25">
      <c r="A17" s="54">
        <v>42282</v>
      </c>
      <c r="B17" s="1">
        <f t="shared" si="3"/>
        <v>30</v>
      </c>
      <c r="C17" s="4">
        <f t="shared" si="4"/>
        <v>34674</v>
      </c>
      <c r="D17" s="2">
        <f t="shared" si="0"/>
        <v>26175.879999999997</v>
      </c>
      <c r="E17" s="19">
        <f t="shared" si="5"/>
        <v>8498.1200000000008</v>
      </c>
      <c r="F17" s="2">
        <f t="shared" si="6"/>
        <v>689292.2699999999</v>
      </c>
      <c r="G17" s="2">
        <f t="shared" si="7"/>
        <v>663116.3899999999</v>
      </c>
      <c r="H17" s="14">
        <f t="shared" si="1"/>
        <v>8498.1238767123268</v>
      </c>
      <c r="I17" s="16">
        <f t="shared" si="2"/>
        <v>3.8767123260186054E-3</v>
      </c>
    </row>
    <row r="18" spans="1:9" x14ac:dyDescent="0.25">
      <c r="A18" s="54">
        <v>42313</v>
      </c>
      <c r="B18" s="1">
        <f t="shared" si="3"/>
        <v>31</v>
      </c>
      <c r="C18" s="4">
        <f t="shared" si="4"/>
        <v>34674</v>
      </c>
      <c r="D18" s="2">
        <f t="shared" si="0"/>
        <v>26226.080000000002</v>
      </c>
      <c r="E18" s="19">
        <f t="shared" si="5"/>
        <v>8447.92</v>
      </c>
      <c r="F18" s="2">
        <f t="shared" si="6"/>
        <v>663116.3899999999</v>
      </c>
      <c r="G18" s="2">
        <f t="shared" si="7"/>
        <v>636890.30999999994</v>
      </c>
      <c r="H18" s="14">
        <f t="shared" si="1"/>
        <v>8447.9211328767105</v>
      </c>
      <c r="I18" s="16">
        <f t="shared" si="2"/>
        <v>1.1328767104714643E-3</v>
      </c>
    </row>
    <row r="19" spans="1:9" x14ac:dyDescent="0.25">
      <c r="A19" s="54">
        <v>42343</v>
      </c>
      <c r="B19" s="1">
        <f t="shared" si="3"/>
        <v>30</v>
      </c>
      <c r="C19" s="4">
        <f t="shared" si="4"/>
        <v>34674</v>
      </c>
      <c r="D19" s="2">
        <f t="shared" si="0"/>
        <v>26821.93</v>
      </c>
      <c r="E19" s="19">
        <f t="shared" si="5"/>
        <v>7852.07</v>
      </c>
      <c r="F19" s="2">
        <f t="shared" si="6"/>
        <v>636890.30999999994</v>
      </c>
      <c r="G19" s="2">
        <f t="shared" si="7"/>
        <v>610068.37999999989</v>
      </c>
      <c r="H19" s="14">
        <f t="shared" si="1"/>
        <v>7852.0723150684917</v>
      </c>
      <c r="I19" s="16">
        <f t="shared" si="2"/>
        <v>2.315068491952843E-3</v>
      </c>
    </row>
    <row r="20" spans="1:9" x14ac:dyDescent="0.25">
      <c r="A20" s="54">
        <v>42374</v>
      </c>
      <c r="B20" s="1">
        <f t="shared" si="3"/>
        <v>31</v>
      </c>
      <c r="C20" s="4">
        <f t="shared" si="4"/>
        <v>34674</v>
      </c>
      <c r="D20" s="2">
        <f t="shared" si="0"/>
        <v>26901.9</v>
      </c>
      <c r="E20" s="19">
        <f t="shared" si="5"/>
        <v>7772.1</v>
      </c>
      <c r="F20" s="2">
        <f t="shared" si="6"/>
        <v>610068.37999999989</v>
      </c>
      <c r="G20" s="2">
        <f t="shared" si="7"/>
        <v>583166.47999999986</v>
      </c>
      <c r="H20" s="14">
        <f t="shared" si="1"/>
        <v>7772.1040191780803</v>
      </c>
      <c r="I20" s="16">
        <f t="shared" si="2"/>
        <v>4.0191780799432308E-3</v>
      </c>
    </row>
    <row r="21" spans="1:9" x14ac:dyDescent="0.25">
      <c r="A21" s="54">
        <v>42405</v>
      </c>
      <c r="B21" s="1">
        <f t="shared" si="3"/>
        <v>31</v>
      </c>
      <c r="C21" s="4">
        <f t="shared" si="4"/>
        <v>34674</v>
      </c>
      <c r="D21" s="2">
        <f t="shared" si="0"/>
        <v>27244.62</v>
      </c>
      <c r="E21" s="19">
        <f t="shared" si="5"/>
        <v>7429.38</v>
      </c>
      <c r="F21" s="2">
        <f t="shared" si="6"/>
        <v>583166.47999999986</v>
      </c>
      <c r="G21" s="2">
        <f t="shared" si="7"/>
        <v>555921.85999999987</v>
      </c>
      <c r="H21" s="14">
        <f t="shared" si="1"/>
        <v>7429.3811835616416</v>
      </c>
      <c r="I21" s="16">
        <f t="shared" si="2"/>
        <v>1.183561641482811E-3</v>
      </c>
    </row>
    <row r="22" spans="1:9" x14ac:dyDescent="0.25">
      <c r="A22" s="54">
        <v>42434</v>
      </c>
      <c r="B22" s="1">
        <f t="shared" si="3"/>
        <v>29</v>
      </c>
      <c r="C22" s="4">
        <f t="shared" si="4"/>
        <v>34674</v>
      </c>
      <c r="D22" s="2">
        <f t="shared" si="0"/>
        <v>28048.63</v>
      </c>
      <c r="E22" s="19">
        <f t="shared" si="5"/>
        <v>6625.37</v>
      </c>
      <c r="F22" s="2">
        <f t="shared" si="6"/>
        <v>555921.85999999987</v>
      </c>
      <c r="G22" s="2">
        <f t="shared" si="7"/>
        <v>527873.22999999986</v>
      </c>
      <c r="H22" s="14">
        <f t="shared" si="1"/>
        <v>6625.3701123287656</v>
      </c>
      <c r="I22" s="16">
        <f t="shared" si="2"/>
        <v>1.1232876568101346E-4</v>
      </c>
    </row>
    <row r="23" spans="1:9" x14ac:dyDescent="0.25">
      <c r="A23" s="54">
        <v>42465</v>
      </c>
      <c r="B23" s="1">
        <f t="shared" si="3"/>
        <v>31</v>
      </c>
      <c r="C23" s="4">
        <f t="shared" si="4"/>
        <v>34674</v>
      </c>
      <c r="D23" s="2">
        <f t="shared" si="0"/>
        <v>27949.040000000001</v>
      </c>
      <c r="E23" s="19">
        <f t="shared" si="5"/>
        <v>6724.96</v>
      </c>
      <c r="F23" s="2">
        <f t="shared" si="6"/>
        <v>527873.22999999986</v>
      </c>
      <c r="G23" s="2">
        <f t="shared" si="7"/>
        <v>499924.18999999989</v>
      </c>
      <c r="H23" s="14">
        <f t="shared" si="1"/>
        <v>6724.9603273972589</v>
      </c>
      <c r="I23" s="16">
        <f t="shared" si="2"/>
        <v>3.2739725884312065E-4</v>
      </c>
    </row>
    <row r="24" spans="1:9" x14ac:dyDescent="0.25">
      <c r="A24" s="54">
        <v>42495</v>
      </c>
      <c r="B24" s="1">
        <f t="shared" si="3"/>
        <v>30</v>
      </c>
      <c r="C24" s="4">
        <f t="shared" si="4"/>
        <v>34674</v>
      </c>
      <c r="D24" s="2">
        <f t="shared" si="0"/>
        <v>28510.55</v>
      </c>
      <c r="E24" s="19">
        <f t="shared" si="5"/>
        <v>6163.45</v>
      </c>
      <c r="F24" s="2">
        <f t="shared" si="6"/>
        <v>499924.18999999989</v>
      </c>
      <c r="G24" s="2">
        <f t="shared" si="7"/>
        <v>471413.6399999999</v>
      </c>
      <c r="H24" s="14">
        <f t="shared" si="1"/>
        <v>6163.4489178082176</v>
      </c>
      <c r="I24" s="16">
        <f t="shared" si="2"/>
        <v>-1.0821917821886018E-3</v>
      </c>
    </row>
    <row r="25" spans="1:9" x14ac:dyDescent="0.25">
      <c r="A25" s="54">
        <v>42526</v>
      </c>
      <c r="B25" s="1">
        <f t="shared" si="3"/>
        <v>31</v>
      </c>
      <c r="C25" s="4">
        <f t="shared" si="4"/>
        <v>34674</v>
      </c>
      <c r="D25" s="2">
        <f t="shared" si="0"/>
        <v>28668.32</v>
      </c>
      <c r="E25" s="19">
        <f t="shared" si="5"/>
        <v>6005.68</v>
      </c>
      <c r="F25" s="2">
        <f t="shared" si="6"/>
        <v>471413.6399999999</v>
      </c>
      <c r="G25" s="2">
        <f t="shared" si="7"/>
        <v>442745.31999999989</v>
      </c>
      <c r="H25" s="14">
        <f t="shared" si="1"/>
        <v>6005.6806191780806</v>
      </c>
      <c r="I25" s="16">
        <f t="shared" si="2"/>
        <v>6.1917808034195332E-4</v>
      </c>
    </row>
    <row r="26" spans="1:9" x14ac:dyDescent="0.25">
      <c r="A26" s="54">
        <v>42556</v>
      </c>
      <c r="B26" s="1">
        <f t="shared" si="3"/>
        <v>30</v>
      </c>
      <c r="C26" s="4">
        <f t="shared" si="4"/>
        <v>34674</v>
      </c>
      <c r="D26" s="2">
        <f t="shared" si="0"/>
        <v>29215.5</v>
      </c>
      <c r="E26" s="19">
        <f t="shared" si="5"/>
        <v>5458.5</v>
      </c>
      <c r="F26" s="2">
        <f t="shared" si="6"/>
        <v>442745.31999999989</v>
      </c>
      <c r="G26" s="2">
        <f t="shared" si="7"/>
        <v>413529.81999999989</v>
      </c>
      <c r="H26" s="14">
        <f t="shared" si="1"/>
        <v>5458.503945205478</v>
      </c>
      <c r="I26" s="16">
        <f t="shared" si="2"/>
        <v>3.9452054779758328E-3</v>
      </c>
    </row>
    <row r="27" spans="1:9" x14ac:dyDescent="0.25">
      <c r="A27" s="54">
        <v>42587</v>
      </c>
      <c r="B27" s="1">
        <f t="shared" si="3"/>
        <v>31</v>
      </c>
      <c r="C27" s="4">
        <f t="shared" si="4"/>
        <v>34674</v>
      </c>
      <c r="D27" s="2">
        <f t="shared" si="0"/>
        <v>29405.739999999998</v>
      </c>
      <c r="E27" s="19">
        <f t="shared" si="5"/>
        <v>5268.26</v>
      </c>
      <c r="F27" s="2">
        <f t="shared" si="6"/>
        <v>413529.81999999989</v>
      </c>
      <c r="G27" s="2">
        <f t="shared" si="7"/>
        <v>384124.0799999999</v>
      </c>
      <c r="H27" s="14">
        <f t="shared" si="1"/>
        <v>5268.2566109589025</v>
      </c>
      <c r="I27" s="16">
        <f t="shared" si="2"/>
        <v>-3.3890410977619467E-3</v>
      </c>
    </row>
    <row r="28" spans="1:9" x14ac:dyDescent="0.25">
      <c r="A28" s="54">
        <v>42618</v>
      </c>
      <c r="B28" s="1">
        <f t="shared" si="3"/>
        <v>31</v>
      </c>
      <c r="C28" s="4">
        <f t="shared" si="4"/>
        <v>34674</v>
      </c>
      <c r="D28" s="2">
        <f t="shared" si="0"/>
        <v>29780.36</v>
      </c>
      <c r="E28" s="19">
        <f t="shared" si="5"/>
        <v>4893.6400000000003</v>
      </c>
      <c r="F28" s="2">
        <f t="shared" si="6"/>
        <v>384124.0799999999</v>
      </c>
      <c r="G28" s="2">
        <f t="shared" si="7"/>
        <v>354343.71999999991</v>
      </c>
      <c r="H28" s="14">
        <f t="shared" si="1"/>
        <v>4893.6355397260259</v>
      </c>
      <c r="I28" s="16">
        <f t="shared" si="2"/>
        <v>-4.4602739744732389E-3</v>
      </c>
    </row>
    <row r="29" spans="1:9" x14ac:dyDescent="0.25">
      <c r="A29" s="54">
        <v>42648</v>
      </c>
      <c r="B29" s="1">
        <f t="shared" si="3"/>
        <v>30</v>
      </c>
      <c r="C29" s="4">
        <f t="shared" si="4"/>
        <v>34674</v>
      </c>
      <c r="D29" s="2">
        <f t="shared" si="0"/>
        <v>30305.38</v>
      </c>
      <c r="E29" s="19">
        <f t="shared" si="5"/>
        <v>4368.62</v>
      </c>
      <c r="F29" s="2">
        <f t="shared" si="6"/>
        <v>354343.71999999991</v>
      </c>
      <c r="G29" s="2">
        <f t="shared" si="7"/>
        <v>324038.33999999991</v>
      </c>
      <c r="H29" s="14">
        <f t="shared" si="1"/>
        <v>4368.6212054794505</v>
      </c>
      <c r="I29" s="16">
        <f t="shared" si="2"/>
        <v>1.2054794506184408E-3</v>
      </c>
    </row>
    <row r="30" spans="1:9" x14ac:dyDescent="0.25">
      <c r="A30" s="54">
        <v>42679</v>
      </c>
      <c r="B30" s="1">
        <f t="shared" si="3"/>
        <v>31</v>
      </c>
      <c r="C30" s="4">
        <f t="shared" si="4"/>
        <v>34674</v>
      </c>
      <c r="D30" s="2">
        <f t="shared" si="0"/>
        <v>30545.84</v>
      </c>
      <c r="E30" s="19">
        <f t="shared" si="5"/>
        <v>4128.16</v>
      </c>
      <c r="F30" s="2">
        <f t="shared" si="6"/>
        <v>324038.33999999991</v>
      </c>
      <c r="G30" s="2">
        <f t="shared" si="7"/>
        <v>293492.49999999988</v>
      </c>
      <c r="H30" s="14">
        <f t="shared" si="1"/>
        <v>4128.159673972601</v>
      </c>
      <c r="I30" s="16">
        <f t="shared" si="2"/>
        <v>-3.2602739884168841E-4</v>
      </c>
    </row>
    <row r="31" spans="1:9" x14ac:dyDescent="0.25">
      <c r="A31" s="54">
        <v>42709</v>
      </c>
      <c r="B31" s="1">
        <f t="shared" si="3"/>
        <v>30</v>
      </c>
      <c r="C31" s="4">
        <f t="shared" si="4"/>
        <v>34674</v>
      </c>
      <c r="D31" s="2">
        <f t="shared" si="0"/>
        <v>31055.599999999999</v>
      </c>
      <c r="E31" s="19">
        <f t="shared" si="5"/>
        <v>3618.4</v>
      </c>
      <c r="F31" s="2">
        <f t="shared" si="6"/>
        <v>293492.49999999988</v>
      </c>
      <c r="G31" s="2">
        <f t="shared" si="7"/>
        <v>262436.89999999991</v>
      </c>
      <c r="H31" s="14">
        <f t="shared" si="1"/>
        <v>3618.4006849315051</v>
      </c>
      <c r="I31" s="16">
        <f t="shared" si="2"/>
        <v>6.849315050203586E-4</v>
      </c>
    </row>
    <row r="32" spans="1:9" x14ac:dyDescent="0.25">
      <c r="A32" s="54">
        <v>42740</v>
      </c>
      <c r="B32" s="1">
        <f t="shared" si="3"/>
        <v>31</v>
      </c>
      <c r="C32" s="4">
        <f t="shared" si="4"/>
        <v>34674</v>
      </c>
      <c r="D32" s="2">
        <f t="shared" si="0"/>
        <v>31330.63</v>
      </c>
      <c r="E32" s="19">
        <f t="shared" si="5"/>
        <v>3343.37</v>
      </c>
      <c r="F32" s="2">
        <f t="shared" si="6"/>
        <v>262436.89999999991</v>
      </c>
      <c r="G32" s="2">
        <f t="shared" si="7"/>
        <v>231106.2699999999</v>
      </c>
      <c r="H32" s="14">
        <f t="shared" si="1"/>
        <v>3343.3742054794507</v>
      </c>
      <c r="I32" s="16">
        <f t="shared" si="2"/>
        <v>4.2054794507748738E-3</v>
      </c>
    </row>
    <row r="33" spans="1:9" x14ac:dyDescent="0.25">
      <c r="A33" s="54">
        <v>42771</v>
      </c>
      <c r="B33" s="1">
        <f t="shared" si="3"/>
        <v>31</v>
      </c>
      <c r="C33" s="4">
        <f t="shared" si="4"/>
        <v>34674</v>
      </c>
      <c r="D33" s="2">
        <f t="shared" si="0"/>
        <v>31729.77</v>
      </c>
      <c r="E33" s="19">
        <f t="shared" si="5"/>
        <v>2944.23</v>
      </c>
      <c r="F33" s="2">
        <f t="shared" si="6"/>
        <v>231106.2699999999</v>
      </c>
      <c r="G33" s="2">
        <f t="shared" si="7"/>
        <v>199376.49999999991</v>
      </c>
      <c r="H33" s="14">
        <f t="shared" si="1"/>
        <v>2944.2305630136971</v>
      </c>
      <c r="I33" s="16">
        <f t="shared" si="2"/>
        <v>5.6301369704669924E-4</v>
      </c>
    </row>
    <row r="34" spans="1:9" x14ac:dyDescent="0.25">
      <c r="A34" s="54">
        <v>42799</v>
      </c>
      <c r="B34" s="1">
        <f t="shared" si="3"/>
        <v>28</v>
      </c>
      <c r="C34" s="4">
        <f t="shared" si="4"/>
        <v>34674</v>
      </c>
      <c r="D34" s="2">
        <f t="shared" si="0"/>
        <v>32379.8</v>
      </c>
      <c r="E34" s="19">
        <f t="shared" si="5"/>
        <v>2294.1999999999998</v>
      </c>
      <c r="F34" s="2">
        <f t="shared" si="6"/>
        <v>199376.49999999991</v>
      </c>
      <c r="G34" s="2">
        <f t="shared" si="7"/>
        <v>166996.69999999992</v>
      </c>
      <c r="H34" s="14"/>
      <c r="I34" s="16"/>
    </row>
    <row r="35" spans="1:9" x14ac:dyDescent="0.25">
      <c r="A35" s="54">
        <v>42830</v>
      </c>
      <c r="B35" s="1">
        <f t="shared" si="3"/>
        <v>31</v>
      </c>
      <c r="C35" s="4">
        <f t="shared" si="4"/>
        <v>34674</v>
      </c>
      <c r="D35" s="2">
        <f t="shared" si="0"/>
        <v>32546.510000000002</v>
      </c>
      <c r="E35" s="19">
        <f t="shared" si="5"/>
        <v>2127.4899999999998</v>
      </c>
      <c r="F35" s="2">
        <f t="shared" si="6"/>
        <v>166996.69999999992</v>
      </c>
      <c r="G35" s="2">
        <f t="shared" si="7"/>
        <v>134450.18999999992</v>
      </c>
      <c r="H35" s="14"/>
      <c r="I35" s="16"/>
    </row>
    <row r="36" spans="1:9" x14ac:dyDescent="0.25">
      <c r="A36" s="54">
        <v>42860</v>
      </c>
      <c r="B36" s="1">
        <f t="shared" si="3"/>
        <v>30</v>
      </c>
      <c r="C36" s="4">
        <f t="shared" si="4"/>
        <v>34674</v>
      </c>
      <c r="D36" s="2">
        <f t="shared" si="0"/>
        <v>33016.39</v>
      </c>
      <c r="E36" s="19">
        <f t="shared" si="5"/>
        <v>1657.61</v>
      </c>
      <c r="F36" s="2">
        <f t="shared" si="6"/>
        <v>134450.18999999992</v>
      </c>
      <c r="G36" s="2">
        <f t="shared" si="7"/>
        <v>101433.79999999992</v>
      </c>
      <c r="H36" s="14"/>
      <c r="I36" s="16"/>
    </row>
    <row r="37" spans="1:9" x14ac:dyDescent="0.25">
      <c r="A37" s="54">
        <v>42891</v>
      </c>
      <c r="B37" s="1">
        <f t="shared" si="3"/>
        <v>31</v>
      </c>
      <c r="C37" s="4">
        <f t="shared" si="4"/>
        <v>34674</v>
      </c>
      <c r="D37" s="2">
        <f t="shared" si="0"/>
        <v>33381.760000000002</v>
      </c>
      <c r="E37" s="19">
        <f t="shared" si="5"/>
        <v>1292.24</v>
      </c>
      <c r="F37" s="2">
        <f t="shared" si="6"/>
        <v>101433.79999999992</v>
      </c>
      <c r="G37" s="2">
        <f t="shared" si="7"/>
        <v>68052.039999999921</v>
      </c>
      <c r="H37" s="14"/>
      <c r="I37" s="16"/>
    </row>
    <row r="38" spans="1:9" x14ac:dyDescent="0.25">
      <c r="A38" s="54">
        <v>42921</v>
      </c>
      <c r="B38" s="1">
        <f t="shared" si="3"/>
        <v>30</v>
      </c>
      <c r="C38" s="4">
        <f t="shared" si="4"/>
        <v>34674</v>
      </c>
      <c r="D38" s="2">
        <f t="shared" si="0"/>
        <v>33835</v>
      </c>
      <c r="E38" s="19">
        <f t="shared" si="5"/>
        <v>839</v>
      </c>
      <c r="F38" s="2">
        <f t="shared" si="6"/>
        <v>68052.039999999921</v>
      </c>
      <c r="G38" s="2">
        <f t="shared" si="7"/>
        <v>34217.039999999921</v>
      </c>
      <c r="H38" s="14"/>
      <c r="I38" s="16"/>
    </row>
    <row r="39" spans="1:9" x14ac:dyDescent="0.25">
      <c r="A39" s="54">
        <v>42952</v>
      </c>
      <c r="B39" s="1">
        <f t="shared" si="3"/>
        <v>31</v>
      </c>
      <c r="C39" s="4">
        <f t="shared" si="4"/>
        <v>34674</v>
      </c>
      <c r="D39" s="2">
        <f t="shared" si="0"/>
        <v>34217.039999999921</v>
      </c>
      <c r="E39" s="19">
        <v>456.96000000008092</v>
      </c>
      <c r="F39" s="2">
        <f t="shared" si="6"/>
        <v>34217.039999999921</v>
      </c>
      <c r="G39" s="2">
        <f t="shared" si="7"/>
        <v>0</v>
      </c>
      <c r="H39" s="14"/>
      <c r="I39" s="16"/>
    </row>
    <row r="40" spans="1:9" x14ac:dyDescent="0.25">
      <c r="A40" s="56">
        <v>42374</v>
      </c>
      <c r="B40" s="1">
        <f>_xlfn.DAYS(A20,A19)</f>
        <v>31</v>
      </c>
      <c r="C40" s="4">
        <f t="shared" ref="C40:C59" si="8">$F$1</f>
        <v>36002</v>
      </c>
      <c r="D40" s="2">
        <f t="shared" ref="D40" si="9">C40-E40</f>
        <v>27895.61</v>
      </c>
      <c r="E40" s="19">
        <f>ROUND(((F40*$B$2*D2/365)+(F40*$J$1*F2/365)),2)</f>
        <v>8106.39</v>
      </c>
      <c r="F40" s="2">
        <f>G19</f>
        <v>610068.37999999989</v>
      </c>
      <c r="G40" s="2">
        <f t="shared" ref="G40" si="10">F40-D40</f>
        <v>582172.7699999999</v>
      </c>
      <c r="H40" s="14"/>
      <c r="I40" s="16"/>
    </row>
    <row r="41" spans="1:9" x14ac:dyDescent="0.25">
      <c r="A41" s="56">
        <v>42405</v>
      </c>
      <c r="B41" s="1">
        <f t="shared" si="3"/>
        <v>31</v>
      </c>
      <c r="C41" s="4">
        <f t="shared" si="8"/>
        <v>36002</v>
      </c>
      <c r="D41" s="2">
        <f t="shared" si="0"/>
        <v>26113.040000000001</v>
      </c>
      <c r="E41" s="19">
        <f>ROUND(F41*$J$1*B41/365,2)</f>
        <v>9888.9599999999991</v>
      </c>
      <c r="F41" s="2">
        <f>G40</f>
        <v>582172.7699999999</v>
      </c>
      <c r="G41" s="2">
        <f t="shared" si="7"/>
        <v>556059.72999999986</v>
      </c>
      <c r="H41" s="14"/>
      <c r="I41" s="16"/>
    </row>
    <row r="42" spans="1:9" x14ac:dyDescent="0.25">
      <c r="A42" s="56">
        <v>42434</v>
      </c>
      <c r="B42" s="1">
        <f t="shared" si="3"/>
        <v>29</v>
      </c>
      <c r="C42" s="4">
        <f t="shared" si="8"/>
        <v>36002</v>
      </c>
      <c r="D42" s="2">
        <f t="shared" si="0"/>
        <v>27165.98</v>
      </c>
      <c r="E42" s="19">
        <f t="shared" ref="E42:E58" si="11">ROUND(F42*$J$1*B42/365,2)</f>
        <v>8836.02</v>
      </c>
      <c r="F42" s="2">
        <f>G41</f>
        <v>556059.72999999986</v>
      </c>
      <c r="G42" s="2">
        <f t="shared" si="7"/>
        <v>528893.74999999988</v>
      </c>
      <c r="H42" s="14"/>
      <c r="I42" s="16"/>
    </row>
    <row r="43" spans="1:9" x14ac:dyDescent="0.25">
      <c r="A43" s="56">
        <v>42465</v>
      </c>
      <c r="B43" s="1">
        <f t="shared" si="3"/>
        <v>31</v>
      </c>
      <c r="C43" s="4">
        <f t="shared" si="8"/>
        <v>36002</v>
      </c>
      <c r="D43" s="2">
        <f t="shared" si="0"/>
        <v>27018.05</v>
      </c>
      <c r="E43" s="19">
        <f t="shared" si="11"/>
        <v>8983.9500000000007</v>
      </c>
      <c r="F43" s="2">
        <f t="shared" ref="F43:F47" si="12">G42</f>
        <v>528893.74999999988</v>
      </c>
      <c r="G43" s="2">
        <f t="shared" si="7"/>
        <v>501875.6999999999</v>
      </c>
      <c r="H43" s="14"/>
      <c r="I43" s="16"/>
    </row>
    <row r="44" spans="1:9" x14ac:dyDescent="0.25">
      <c r="A44" s="56">
        <v>42495</v>
      </c>
      <c r="B44" s="1">
        <f t="shared" si="3"/>
        <v>30</v>
      </c>
      <c r="C44" s="4">
        <f t="shared" si="8"/>
        <v>36002</v>
      </c>
      <c r="D44" s="2">
        <f t="shared" si="0"/>
        <v>27751.989999999998</v>
      </c>
      <c r="E44" s="19">
        <f t="shared" si="11"/>
        <v>8250.01</v>
      </c>
      <c r="F44" s="2">
        <f t="shared" si="12"/>
        <v>501875.6999999999</v>
      </c>
      <c r="G44" s="2">
        <f t="shared" si="7"/>
        <v>474123.7099999999</v>
      </c>
      <c r="H44" s="14"/>
      <c r="I44" s="16"/>
    </row>
    <row r="45" spans="1:9" x14ac:dyDescent="0.25">
      <c r="A45" s="56">
        <v>42526</v>
      </c>
      <c r="B45" s="1">
        <f t="shared" si="3"/>
        <v>31</v>
      </c>
      <c r="C45" s="4">
        <f t="shared" si="8"/>
        <v>36002</v>
      </c>
      <c r="D45" s="2">
        <f t="shared" si="0"/>
        <v>27948.39</v>
      </c>
      <c r="E45" s="19">
        <f t="shared" si="11"/>
        <v>8053.61</v>
      </c>
      <c r="F45" s="2">
        <f t="shared" si="12"/>
        <v>474123.7099999999</v>
      </c>
      <c r="G45" s="2">
        <f t="shared" si="7"/>
        <v>446175.31999999989</v>
      </c>
      <c r="H45" s="14"/>
      <c r="I45" s="16"/>
    </row>
    <row r="46" spans="1:9" x14ac:dyDescent="0.25">
      <c r="A46" s="56">
        <v>42556</v>
      </c>
      <c r="B46" s="1">
        <f t="shared" si="3"/>
        <v>30</v>
      </c>
      <c r="C46" s="4">
        <f t="shared" si="8"/>
        <v>36002</v>
      </c>
      <c r="D46" s="2">
        <f t="shared" si="0"/>
        <v>28667.61</v>
      </c>
      <c r="E46" s="19">
        <f t="shared" si="11"/>
        <v>7334.39</v>
      </c>
      <c r="F46" s="2">
        <f t="shared" si="12"/>
        <v>446175.31999999989</v>
      </c>
      <c r="G46" s="2">
        <f t="shared" si="7"/>
        <v>417507.7099999999</v>
      </c>
      <c r="H46" s="14"/>
      <c r="I46" s="16"/>
    </row>
    <row r="47" spans="1:9" x14ac:dyDescent="0.25">
      <c r="A47" s="56">
        <v>42587</v>
      </c>
      <c r="B47" s="1">
        <f t="shared" si="3"/>
        <v>31</v>
      </c>
      <c r="C47" s="4">
        <f t="shared" si="8"/>
        <v>36002</v>
      </c>
      <c r="D47" s="2">
        <f t="shared" si="0"/>
        <v>28910.09</v>
      </c>
      <c r="E47" s="19">
        <f t="shared" si="11"/>
        <v>7091.91</v>
      </c>
      <c r="F47" s="2">
        <f t="shared" si="12"/>
        <v>417507.7099999999</v>
      </c>
      <c r="G47" s="2">
        <f t="shared" si="7"/>
        <v>388597.61999999988</v>
      </c>
      <c r="H47" s="14"/>
      <c r="I47" s="16"/>
    </row>
    <row r="48" spans="1:9" x14ac:dyDescent="0.25">
      <c r="A48" s="56">
        <v>42618</v>
      </c>
      <c r="B48" s="1">
        <f t="shared" si="3"/>
        <v>31</v>
      </c>
      <c r="C48" s="4">
        <f t="shared" si="8"/>
        <v>36002</v>
      </c>
      <c r="D48" s="2">
        <f t="shared" ref="D48:D59" si="13">C48-E48</f>
        <v>29401.16</v>
      </c>
      <c r="E48" s="19">
        <f t="shared" si="11"/>
        <v>6600.84</v>
      </c>
      <c r="F48" s="2">
        <f t="shared" ref="F48:F59" si="14">G47</f>
        <v>388597.61999999988</v>
      </c>
      <c r="G48" s="2">
        <f t="shared" ref="G48:G59" si="15">F48-D48</f>
        <v>359196.4599999999</v>
      </c>
    </row>
    <row r="49" spans="1:7" x14ac:dyDescent="0.25">
      <c r="A49" s="56">
        <v>42648</v>
      </c>
      <c r="B49" s="1">
        <f t="shared" si="3"/>
        <v>30</v>
      </c>
      <c r="C49" s="4">
        <f t="shared" si="8"/>
        <v>36002</v>
      </c>
      <c r="D49" s="2">
        <f t="shared" si="13"/>
        <v>30097.4</v>
      </c>
      <c r="E49" s="19">
        <f t="shared" si="11"/>
        <v>5904.6</v>
      </c>
      <c r="F49" s="2">
        <f t="shared" si="14"/>
        <v>359196.4599999999</v>
      </c>
      <c r="G49" s="2">
        <f t="shared" si="15"/>
        <v>329099.05999999988</v>
      </c>
    </row>
    <row r="50" spans="1:7" x14ac:dyDescent="0.25">
      <c r="A50" s="56">
        <v>42679</v>
      </c>
      <c r="B50" s="1">
        <f t="shared" si="3"/>
        <v>31</v>
      </c>
      <c r="C50" s="4">
        <f t="shared" si="8"/>
        <v>36002</v>
      </c>
      <c r="D50" s="2">
        <f t="shared" si="13"/>
        <v>30411.82</v>
      </c>
      <c r="E50" s="19">
        <f t="shared" si="11"/>
        <v>5590.18</v>
      </c>
      <c r="F50" s="2">
        <f t="shared" si="14"/>
        <v>329099.05999999988</v>
      </c>
      <c r="G50" s="2">
        <f t="shared" si="15"/>
        <v>298687.23999999987</v>
      </c>
    </row>
    <row r="51" spans="1:7" x14ac:dyDescent="0.25">
      <c r="A51" s="56">
        <v>42709</v>
      </c>
      <c r="B51" s="1">
        <f t="shared" si="3"/>
        <v>30</v>
      </c>
      <c r="C51" s="4">
        <f t="shared" si="8"/>
        <v>36002</v>
      </c>
      <c r="D51" s="2">
        <f t="shared" si="13"/>
        <v>31092.07</v>
      </c>
      <c r="E51" s="19">
        <f t="shared" si="11"/>
        <v>4909.93</v>
      </c>
      <c r="F51" s="2">
        <f t="shared" si="14"/>
        <v>298687.23999999987</v>
      </c>
      <c r="G51" s="2">
        <f t="shared" si="15"/>
        <v>267595.16999999987</v>
      </c>
    </row>
    <row r="52" spans="1:7" x14ac:dyDescent="0.25">
      <c r="A52" s="56">
        <v>42740</v>
      </c>
      <c r="B52" s="1">
        <f t="shared" si="3"/>
        <v>31</v>
      </c>
      <c r="C52" s="4">
        <f t="shared" si="8"/>
        <v>36002</v>
      </c>
      <c r="D52" s="2">
        <f t="shared" si="13"/>
        <v>31456.55</v>
      </c>
      <c r="E52" s="19">
        <f t="shared" si="11"/>
        <v>4545.45</v>
      </c>
      <c r="F52" s="2">
        <f t="shared" si="14"/>
        <v>267595.16999999987</v>
      </c>
      <c r="G52" s="2">
        <f t="shared" si="15"/>
        <v>236138.61999999988</v>
      </c>
    </row>
    <row r="53" spans="1:7" x14ac:dyDescent="0.25">
      <c r="A53" s="56">
        <v>42771</v>
      </c>
      <c r="B53" s="1">
        <f t="shared" si="3"/>
        <v>31</v>
      </c>
      <c r="C53" s="4">
        <f t="shared" si="8"/>
        <v>36002</v>
      </c>
      <c r="D53" s="2">
        <f t="shared" si="13"/>
        <v>31990.880000000001</v>
      </c>
      <c r="E53" s="19">
        <f t="shared" si="11"/>
        <v>4011.12</v>
      </c>
      <c r="F53" s="2">
        <f t="shared" si="14"/>
        <v>236138.61999999988</v>
      </c>
      <c r="G53" s="2">
        <f t="shared" si="15"/>
        <v>204147.73999999987</v>
      </c>
    </row>
    <row r="54" spans="1:7" x14ac:dyDescent="0.25">
      <c r="A54" s="56">
        <v>42799</v>
      </c>
      <c r="B54" s="1">
        <f t="shared" si="3"/>
        <v>28</v>
      </c>
      <c r="C54" s="4">
        <f t="shared" si="8"/>
        <v>36002</v>
      </c>
      <c r="D54" s="2">
        <f t="shared" si="13"/>
        <v>32869.870000000003</v>
      </c>
      <c r="E54" s="19">
        <f t="shared" si="11"/>
        <v>3132.13</v>
      </c>
      <c r="F54" s="2">
        <f t="shared" si="14"/>
        <v>204147.73999999987</v>
      </c>
      <c r="G54" s="2">
        <f t="shared" si="15"/>
        <v>171277.86999999988</v>
      </c>
    </row>
    <row r="55" spans="1:7" x14ac:dyDescent="0.25">
      <c r="A55" s="56">
        <v>42830</v>
      </c>
      <c r="B55" s="1">
        <f t="shared" si="3"/>
        <v>31</v>
      </c>
      <c r="C55" s="4">
        <f t="shared" si="8"/>
        <v>36002</v>
      </c>
      <c r="D55" s="2">
        <f t="shared" si="13"/>
        <v>33092.620000000003</v>
      </c>
      <c r="E55" s="19">
        <f t="shared" si="11"/>
        <v>2909.38</v>
      </c>
      <c r="F55" s="2">
        <f t="shared" si="14"/>
        <v>171277.86999999988</v>
      </c>
      <c r="G55" s="2">
        <f t="shared" si="15"/>
        <v>138185.24999999988</v>
      </c>
    </row>
    <row r="56" spans="1:7" x14ac:dyDescent="0.25">
      <c r="A56" s="56">
        <v>42860</v>
      </c>
      <c r="B56" s="1">
        <f t="shared" si="3"/>
        <v>30</v>
      </c>
      <c r="C56" s="4">
        <f t="shared" si="8"/>
        <v>36002</v>
      </c>
      <c r="D56" s="2">
        <f t="shared" si="13"/>
        <v>33730.46</v>
      </c>
      <c r="E56" s="19">
        <f t="shared" si="11"/>
        <v>2271.54</v>
      </c>
      <c r="F56" s="2">
        <f t="shared" si="14"/>
        <v>138185.24999999988</v>
      </c>
      <c r="G56" s="2">
        <f t="shared" si="15"/>
        <v>104454.78999999989</v>
      </c>
    </row>
    <row r="57" spans="1:7" x14ac:dyDescent="0.25">
      <c r="A57" s="56">
        <v>42891</v>
      </c>
      <c r="B57" s="1">
        <f t="shared" si="3"/>
        <v>31</v>
      </c>
      <c r="C57" s="4">
        <f t="shared" si="8"/>
        <v>36002</v>
      </c>
      <c r="D57" s="2">
        <f t="shared" si="13"/>
        <v>34227.699999999997</v>
      </c>
      <c r="E57" s="19">
        <f t="shared" si="11"/>
        <v>1774.3</v>
      </c>
      <c r="F57" s="2">
        <f t="shared" si="14"/>
        <v>104454.78999999989</v>
      </c>
      <c r="G57" s="2">
        <f t="shared" si="15"/>
        <v>70227.089999999895</v>
      </c>
    </row>
    <row r="58" spans="1:7" x14ac:dyDescent="0.25">
      <c r="A58" s="56">
        <v>42921</v>
      </c>
      <c r="B58" s="1">
        <f t="shared" si="3"/>
        <v>30</v>
      </c>
      <c r="C58" s="4">
        <f t="shared" si="8"/>
        <v>36002</v>
      </c>
      <c r="D58" s="2">
        <f t="shared" si="13"/>
        <v>34847.58</v>
      </c>
      <c r="E58" s="19">
        <f t="shared" si="11"/>
        <v>1154.42</v>
      </c>
      <c r="F58" s="2">
        <f t="shared" si="14"/>
        <v>70227.089999999895</v>
      </c>
      <c r="G58" s="2">
        <f t="shared" si="15"/>
        <v>35379.509999999893</v>
      </c>
    </row>
    <row r="59" spans="1:7" x14ac:dyDescent="0.25">
      <c r="A59" s="56">
        <v>42952</v>
      </c>
      <c r="B59" s="1">
        <f t="shared" si="3"/>
        <v>31</v>
      </c>
      <c r="C59" s="4">
        <f t="shared" si="8"/>
        <v>36002</v>
      </c>
      <c r="D59" s="2">
        <f t="shared" si="13"/>
        <v>35379.509999999893</v>
      </c>
      <c r="E59" s="19">
        <v>622.49000000010756</v>
      </c>
      <c r="F59" s="2">
        <f t="shared" si="14"/>
        <v>35379.509999999893</v>
      </c>
      <c r="G59" s="2">
        <f t="shared" si="15"/>
        <v>0</v>
      </c>
    </row>
  </sheetData>
  <pageMargins left="0.7" right="0.7" top="0.75" bottom="0.75" header="0.3" footer="0.3"/>
  <pageSetup orientation="portrait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1936C0-83CD-4838-A577-82BE689CEA28}">
  <dimension ref="A1:J59"/>
  <sheetViews>
    <sheetView zoomScale="96" zoomScaleNormal="100" workbookViewId="0">
      <pane ySplit="3" topLeftCell="A45" activePane="bottomLeft" state="frozen"/>
      <selection activeCell="A2" sqref="A2"/>
      <selection pane="bottomLeft" sqref="A1:I59"/>
    </sheetView>
  </sheetViews>
  <sheetFormatPr defaultRowHeight="15" x14ac:dyDescent="0.25"/>
  <cols>
    <col min="1" max="1" width="15.7109375" bestFit="1" customWidth="1"/>
    <col min="2" max="2" width="13" bestFit="1" customWidth="1"/>
    <col min="3" max="3" width="25" bestFit="1" customWidth="1"/>
    <col min="4" max="4" width="13" bestFit="1" customWidth="1"/>
    <col min="5" max="5" width="24.85546875" bestFit="1" customWidth="1"/>
    <col min="6" max="6" width="15.85546875" bestFit="1" customWidth="1"/>
    <col min="7" max="7" width="18.85546875" bestFit="1" customWidth="1"/>
    <col min="8" max="8" width="15.7109375" bestFit="1" customWidth="1"/>
    <col min="9" max="9" width="21.85546875" bestFit="1" customWidth="1"/>
    <col min="10" max="10" width="11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ROUNDUP(34665.3285041941,0)</f>
        <v>34666</v>
      </c>
      <c r="E1" s="25" t="s">
        <v>51</v>
      </c>
      <c r="F1" s="57">
        <f>ROUNDUP(35992.4698980226,0)</f>
        <v>35993</v>
      </c>
      <c r="G1" s="28" t="s">
        <v>52</v>
      </c>
      <c r="H1" s="26">
        <v>42370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DAYS360(A19,H1,TRUE)</f>
        <v>26</v>
      </c>
      <c r="E2" t="s">
        <v>59</v>
      </c>
      <c r="F2">
        <f>A40-H1</f>
        <v>4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DAYS360(B1,A4,TRUE)</f>
        <v>30</v>
      </c>
      <c r="C4" s="4">
        <f>$D$1</f>
        <v>34666</v>
      </c>
      <c r="D4" s="2">
        <f t="shared" ref="D4:D59" si="0">C4-E4</f>
        <v>22166</v>
      </c>
      <c r="E4" s="19">
        <f>ROUND(F4*$B$2*B4/360,2)</f>
        <v>12500</v>
      </c>
      <c r="F4" s="53">
        <v>1000000</v>
      </c>
      <c r="G4" s="2">
        <f>F4-D4</f>
        <v>977834</v>
      </c>
      <c r="H4" s="14">
        <f>F4*$B$2*B4/365</f>
        <v>12328.767123287671</v>
      </c>
      <c r="I4" s="16">
        <f>H4-E4</f>
        <v>-171.23287671232902</v>
      </c>
    </row>
    <row r="5" spans="1:10" x14ac:dyDescent="0.25">
      <c r="A5" s="54">
        <v>41917</v>
      </c>
      <c r="B5" s="1">
        <f>DAYS360(A4,A5,TRUE)</f>
        <v>30</v>
      </c>
      <c r="C5" s="4">
        <f>$D$1</f>
        <v>34666</v>
      </c>
      <c r="D5" s="2">
        <f t="shared" si="0"/>
        <v>22443.07</v>
      </c>
      <c r="E5" s="19">
        <f t="shared" ref="E5:E38" si="1">ROUND(F5*$B$2*B5/360,2)</f>
        <v>12222.93</v>
      </c>
      <c r="F5" s="2">
        <f>G4</f>
        <v>977834</v>
      </c>
      <c r="G5" s="2">
        <f>F5-D5</f>
        <v>955390.93</v>
      </c>
      <c r="H5" s="14">
        <f t="shared" ref="H5:H33" si="2">F5*$B$2*B5/365</f>
        <v>12055.487671232877</v>
      </c>
      <c r="I5" s="16">
        <f t="shared" ref="I5:I33" si="3">H5-E5</f>
        <v>-167.4423287671234</v>
      </c>
    </row>
    <row r="6" spans="1:10" x14ac:dyDescent="0.25">
      <c r="A6" s="54">
        <v>41948</v>
      </c>
      <c r="B6" s="1">
        <f t="shared" ref="B6:B59" si="4">DAYS360(A5,A6,TRUE)</f>
        <v>30</v>
      </c>
      <c r="C6" s="4">
        <f t="shared" ref="C6:C39" si="5">$D$1</f>
        <v>34666</v>
      </c>
      <c r="D6" s="2">
        <f t="shared" si="0"/>
        <v>22723.61</v>
      </c>
      <c r="E6" s="19">
        <f t="shared" si="1"/>
        <v>11942.39</v>
      </c>
      <c r="F6" s="2">
        <f t="shared" ref="F6:F39" si="6">G5</f>
        <v>955390.93</v>
      </c>
      <c r="G6" s="2">
        <f t="shared" ref="G6:G59" si="7">F6-D6</f>
        <v>932667.32000000007</v>
      </c>
      <c r="H6" s="14">
        <f t="shared" si="2"/>
        <v>11778.792287671231</v>
      </c>
      <c r="I6" s="16">
        <f t="shared" si="3"/>
        <v>-163.59771232876847</v>
      </c>
    </row>
    <row r="7" spans="1:10" x14ac:dyDescent="0.25">
      <c r="A7" s="54">
        <v>41978</v>
      </c>
      <c r="B7" s="1">
        <f t="shared" si="4"/>
        <v>30</v>
      </c>
      <c r="C7" s="4">
        <f t="shared" si="5"/>
        <v>34666</v>
      </c>
      <c r="D7" s="2">
        <f t="shared" si="0"/>
        <v>23007.66</v>
      </c>
      <c r="E7" s="19">
        <f t="shared" si="1"/>
        <v>11658.34</v>
      </c>
      <c r="F7" s="2">
        <f t="shared" si="6"/>
        <v>932667.32000000007</v>
      </c>
      <c r="G7" s="2">
        <f t="shared" si="7"/>
        <v>909659.66</v>
      </c>
      <c r="H7" s="14">
        <f t="shared" si="2"/>
        <v>11498.638191780821</v>
      </c>
      <c r="I7" s="16">
        <f t="shared" si="3"/>
        <v>-159.70180821917893</v>
      </c>
    </row>
    <row r="8" spans="1:10" x14ac:dyDescent="0.25">
      <c r="A8" s="54">
        <v>42009</v>
      </c>
      <c r="B8" s="1">
        <f t="shared" si="4"/>
        <v>30</v>
      </c>
      <c r="C8" s="4">
        <f t="shared" si="5"/>
        <v>34666</v>
      </c>
      <c r="D8" s="2">
        <f t="shared" si="0"/>
        <v>23295.25</v>
      </c>
      <c r="E8" s="19">
        <f t="shared" si="1"/>
        <v>11370.75</v>
      </c>
      <c r="F8" s="2">
        <f t="shared" si="6"/>
        <v>909659.66</v>
      </c>
      <c r="G8" s="2">
        <f t="shared" si="7"/>
        <v>886364.41</v>
      </c>
      <c r="H8" s="14">
        <f t="shared" si="2"/>
        <v>11214.98210958904</v>
      </c>
      <c r="I8" s="16">
        <f t="shared" si="3"/>
        <v>-155.76789041095981</v>
      </c>
    </row>
    <row r="9" spans="1:10" x14ac:dyDescent="0.25">
      <c r="A9" s="54">
        <v>42040</v>
      </c>
      <c r="B9" s="1">
        <f t="shared" si="4"/>
        <v>30</v>
      </c>
      <c r="C9" s="4">
        <f t="shared" si="5"/>
        <v>34666</v>
      </c>
      <c r="D9" s="2">
        <f t="shared" si="0"/>
        <v>23586.440000000002</v>
      </c>
      <c r="E9" s="19">
        <f t="shared" si="1"/>
        <v>11079.56</v>
      </c>
      <c r="F9" s="2">
        <f t="shared" si="6"/>
        <v>886364.41</v>
      </c>
      <c r="G9" s="2">
        <f t="shared" si="7"/>
        <v>862777.97</v>
      </c>
      <c r="H9" s="14">
        <f t="shared" si="2"/>
        <v>10927.780397260272</v>
      </c>
      <c r="I9" s="16">
        <f t="shared" si="3"/>
        <v>-151.77960273972712</v>
      </c>
    </row>
    <row r="10" spans="1:10" x14ac:dyDescent="0.25">
      <c r="A10" s="54">
        <v>42068</v>
      </c>
      <c r="B10" s="1">
        <f t="shared" si="4"/>
        <v>30</v>
      </c>
      <c r="C10" s="4">
        <f t="shared" si="5"/>
        <v>34666</v>
      </c>
      <c r="D10" s="2">
        <f t="shared" si="0"/>
        <v>23881.279999999999</v>
      </c>
      <c r="E10" s="19">
        <f t="shared" si="1"/>
        <v>10784.72</v>
      </c>
      <c r="F10" s="2">
        <f t="shared" si="6"/>
        <v>862777.97</v>
      </c>
      <c r="G10" s="2">
        <f t="shared" si="7"/>
        <v>838896.69</v>
      </c>
      <c r="H10" s="14">
        <f t="shared" si="2"/>
        <v>10636.988671232875</v>
      </c>
      <c r="I10" s="16">
        <f t="shared" si="3"/>
        <v>-147.73132876712407</v>
      </c>
    </row>
    <row r="11" spans="1:10" x14ac:dyDescent="0.25">
      <c r="A11" s="54">
        <v>42099</v>
      </c>
      <c r="B11" s="1">
        <f t="shared" si="4"/>
        <v>30</v>
      </c>
      <c r="C11" s="4">
        <f t="shared" si="5"/>
        <v>34666</v>
      </c>
      <c r="D11" s="2">
        <f t="shared" si="0"/>
        <v>24179.79</v>
      </c>
      <c r="E11" s="19">
        <f t="shared" si="1"/>
        <v>10486.21</v>
      </c>
      <c r="F11" s="2">
        <f t="shared" si="6"/>
        <v>838896.69</v>
      </c>
      <c r="G11" s="2">
        <f t="shared" si="7"/>
        <v>814716.89999999991</v>
      </c>
      <c r="H11" s="14">
        <f t="shared" si="2"/>
        <v>10342.561931506849</v>
      </c>
      <c r="I11" s="16">
        <f t="shared" si="3"/>
        <v>-143.64806849315028</v>
      </c>
    </row>
    <row r="12" spans="1:10" x14ac:dyDescent="0.25">
      <c r="A12" s="54">
        <v>42129</v>
      </c>
      <c r="B12" s="1">
        <f t="shared" si="4"/>
        <v>30</v>
      </c>
      <c r="C12" s="4">
        <f t="shared" si="5"/>
        <v>34666</v>
      </c>
      <c r="D12" s="2">
        <f t="shared" si="0"/>
        <v>24482.04</v>
      </c>
      <c r="E12" s="19">
        <f t="shared" si="1"/>
        <v>10183.959999999999</v>
      </c>
      <c r="F12" s="2">
        <f t="shared" si="6"/>
        <v>814716.89999999991</v>
      </c>
      <c r="G12" s="2">
        <f t="shared" si="7"/>
        <v>790234.85999999987</v>
      </c>
      <c r="H12" s="14">
        <f t="shared" si="2"/>
        <v>10044.454931506847</v>
      </c>
      <c r="I12" s="16">
        <f t="shared" si="3"/>
        <v>-139.50506849315207</v>
      </c>
    </row>
    <row r="13" spans="1:10" x14ac:dyDescent="0.25">
      <c r="A13" s="54">
        <v>42160</v>
      </c>
      <c r="B13" s="1">
        <f t="shared" si="4"/>
        <v>30</v>
      </c>
      <c r="C13" s="4">
        <f t="shared" si="5"/>
        <v>34666</v>
      </c>
      <c r="D13" s="2">
        <f t="shared" si="0"/>
        <v>24788.059999999998</v>
      </c>
      <c r="E13" s="19">
        <f t="shared" si="1"/>
        <v>9877.94</v>
      </c>
      <c r="F13" s="2">
        <f t="shared" si="6"/>
        <v>790234.85999999987</v>
      </c>
      <c r="G13" s="2">
        <f t="shared" si="7"/>
        <v>765446.79999999981</v>
      </c>
      <c r="H13" s="14">
        <f t="shared" si="2"/>
        <v>9742.621561643833</v>
      </c>
      <c r="I13" s="16">
        <f t="shared" si="3"/>
        <v>-135.31843835616746</v>
      </c>
    </row>
    <row r="14" spans="1:10" x14ac:dyDescent="0.25">
      <c r="A14" s="54">
        <v>42190</v>
      </c>
      <c r="B14" s="1">
        <f t="shared" si="4"/>
        <v>30</v>
      </c>
      <c r="C14" s="4">
        <f t="shared" si="5"/>
        <v>34666</v>
      </c>
      <c r="D14" s="2">
        <f t="shared" si="0"/>
        <v>25097.91</v>
      </c>
      <c r="E14" s="19">
        <f t="shared" si="1"/>
        <v>9568.09</v>
      </c>
      <c r="F14" s="2">
        <f t="shared" si="6"/>
        <v>765446.79999999981</v>
      </c>
      <c r="G14" s="2">
        <f t="shared" si="7"/>
        <v>740348.88999999978</v>
      </c>
      <c r="H14" s="14">
        <f t="shared" si="2"/>
        <v>9437.015342465751</v>
      </c>
      <c r="I14" s="16">
        <f t="shared" si="3"/>
        <v>-131.07465753424913</v>
      </c>
    </row>
    <row r="15" spans="1:10" x14ac:dyDescent="0.25">
      <c r="A15" s="54">
        <v>42221</v>
      </c>
      <c r="B15" s="1">
        <f t="shared" si="4"/>
        <v>30</v>
      </c>
      <c r="C15" s="4">
        <f t="shared" si="5"/>
        <v>34666</v>
      </c>
      <c r="D15" s="2">
        <f t="shared" si="0"/>
        <v>25411.64</v>
      </c>
      <c r="E15" s="19">
        <f t="shared" si="1"/>
        <v>9254.36</v>
      </c>
      <c r="F15" s="2">
        <f t="shared" si="6"/>
        <v>740348.88999999978</v>
      </c>
      <c r="G15" s="2">
        <f t="shared" si="7"/>
        <v>714937.24999999977</v>
      </c>
      <c r="H15" s="14">
        <f t="shared" si="2"/>
        <v>9127.5890547945182</v>
      </c>
      <c r="I15" s="16">
        <f t="shared" si="3"/>
        <v>-126.77094520548235</v>
      </c>
    </row>
    <row r="16" spans="1:10" x14ac:dyDescent="0.25">
      <c r="A16" s="54">
        <v>42252</v>
      </c>
      <c r="B16" s="1">
        <f t="shared" si="4"/>
        <v>30</v>
      </c>
      <c r="C16" s="4">
        <f t="shared" si="5"/>
        <v>34666</v>
      </c>
      <c r="D16" s="2">
        <f t="shared" si="0"/>
        <v>25729.279999999999</v>
      </c>
      <c r="E16" s="19">
        <f t="shared" si="1"/>
        <v>8936.7199999999993</v>
      </c>
      <c r="F16" s="2">
        <f t="shared" si="6"/>
        <v>714937.24999999977</v>
      </c>
      <c r="G16" s="2">
        <f t="shared" si="7"/>
        <v>689207.96999999974</v>
      </c>
      <c r="H16" s="14">
        <f t="shared" si="2"/>
        <v>8814.2948630136962</v>
      </c>
      <c r="I16" s="16">
        <f t="shared" si="3"/>
        <v>-122.42513698630319</v>
      </c>
    </row>
    <row r="17" spans="1:9" x14ac:dyDescent="0.25">
      <c r="A17" s="54">
        <v>42282</v>
      </c>
      <c r="B17" s="1">
        <f t="shared" si="4"/>
        <v>30</v>
      </c>
      <c r="C17" s="4">
        <f t="shared" si="5"/>
        <v>34666</v>
      </c>
      <c r="D17" s="2">
        <f t="shared" si="0"/>
        <v>26050.9</v>
      </c>
      <c r="E17" s="19">
        <f t="shared" si="1"/>
        <v>8615.1</v>
      </c>
      <c r="F17" s="2">
        <f t="shared" si="6"/>
        <v>689207.96999999974</v>
      </c>
      <c r="G17" s="2">
        <f t="shared" si="7"/>
        <v>663157.06999999972</v>
      </c>
      <c r="H17" s="14">
        <f t="shared" si="2"/>
        <v>8497.0845616438328</v>
      </c>
      <c r="I17" s="16">
        <f t="shared" si="3"/>
        <v>-118.01543835616758</v>
      </c>
    </row>
    <row r="18" spans="1:9" x14ac:dyDescent="0.25">
      <c r="A18" s="54">
        <v>42313</v>
      </c>
      <c r="B18" s="1">
        <f t="shared" si="4"/>
        <v>30</v>
      </c>
      <c r="C18" s="4">
        <f t="shared" si="5"/>
        <v>34666</v>
      </c>
      <c r="D18" s="2">
        <f t="shared" si="0"/>
        <v>26376.54</v>
      </c>
      <c r="E18" s="19">
        <f t="shared" si="1"/>
        <v>8289.4599999999991</v>
      </c>
      <c r="F18" s="2">
        <f t="shared" si="6"/>
        <v>663157.06999999972</v>
      </c>
      <c r="G18" s="2">
        <f t="shared" si="7"/>
        <v>636780.52999999968</v>
      </c>
      <c r="H18" s="14">
        <f t="shared" si="2"/>
        <v>8175.9090821917771</v>
      </c>
      <c r="I18" s="16">
        <f t="shared" si="3"/>
        <v>-113.55091780822204</v>
      </c>
    </row>
    <row r="19" spans="1:9" x14ac:dyDescent="0.25">
      <c r="A19" s="54">
        <v>42343</v>
      </c>
      <c r="B19" s="1">
        <f t="shared" si="4"/>
        <v>30</v>
      </c>
      <c r="C19" s="4">
        <f t="shared" si="5"/>
        <v>34666</v>
      </c>
      <c r="D19" s="2">
        <f t="shared" si="0"/>
        <v>26706.239999999998</v>
      </c>
      <c r="E19" s="19">
        <f t="shared" si="1"/>
        <v>7959.76</v>
      </c>
      <c r="F19" s="2">
        <f t="shared" si="6"/>
        <v>636780.52999999968</v>
      </c>
      <c r="G19" s="2">
        <f t="shared" si="7"/>
        <v>610074.28999999969</v>
      </c>
      <c r="H19" s="14">
        <f t="shared" si="2"/>
        <v>7850.7188630136943</v>
      </c>
      <c r="I19" s="16">
        <f t="shared" si="3"/>
        <v>-109.0411369863059</v>
      </c>
    </row>
    <row r="20" spans="1:9" x14ac:dyDescent="0.25">
      <c r="A20" s="54">
        <v>42374</v>
      </c>
      <c r="B20" s="1">
        <f t="shared" si="4"/>
        <v>30</v>
      </c>
      <c r="C20" s="4">
        <f t="shared" si="5"/>
        <v>34666</v>
      </c>
      <c r="D20" s="2">
        <f t="shared" si="0"/>
        <v>27040.07</v>
      </c>
      <c r="E20" s="19">
        <f t="shared" si="1"/>
        <v>7625.93</v>
      </c>
      <c r="F20" s="2">
        <f t="shared" si="6"/>
        <v>610074.28999999969</v>
      </c>
      <c r="G20" s="2">
        <f t="shared" si="7"/>
        <v>583034.21999999974</v>
      </c>
      <c r="H20" s="14">
        <f t="shared" si="2"/>
        <v>7521.4638493150642</v>
      </c>
      <c r="I20" s="16">
        <f t="shared" si="3"/>
        <v>-104.46615068493611</v>
      </c>
    </row>
    <row r="21" spans="1:9" x14ac:dyDescent="0.25">
      <c r="A21" s="54">
        <v>42405</v>
      </c>
      <c r="B21" s="1">
        <f t="shared" si="4"/>
        <v>30</v>
      </c>
      <c r="C21" s="4">
        <f t="shared" si="5"/>
        <v>34666</v>
      </c>
      <c r="D21" s="2">
        <f t="shared" si="0"/>
        <v>27378.07</v>
      </c>
      <c r="E21" s="19">
        <f t="shared" si="1"/>
        <v>7287.93</v>
      </c>
      <c r="F21" s="2">
        <f t="shared" si="6"/>
        <v>583034.21999999974</v>
      </c>
      <c r="G21" s="2">
        <f t="shared" si="7"/>
        <v>555656.14999999979</v>
      </c>
      <c r="H21" s="14">
        <f t="shared" si="2"/>
        <v>7188.0931232876683</v>
      </c>
      <c r="I21" s="16">
        <f t="shared" si="3"/>
        <v>-99.836876712332014</v>
      </c>
    </row>
    <row r="22" spans="1:9" x14ac:dyDescent="0.25">
      <c r="A22" s="54">
        <v>42434</v>
      </c>
      <c r="B22" s="1">
        <f t="shared" si="4"/>
        <v>30</v>
      </c>
      <c r="C22" s="4">
        <f t="shared" si="5"/>
        <v>34666</v>
      </c>
      <c r="D22" s="2">
        <f t="shared" si="0"/>
        <v>27720.3</v>
      </c>
      <c r="E22" s="19">
        <f t="shared" si="1"/>
        <v>6945.7</v>
      </c>
      <c r="F22" s="2">
        <f t="shared" si="6"/>
        <v>555656.14999999979</v>
      </c>
      <c r="G22" s="2">
        <f t="shared" si="7"/>
        <v>527935.84999999974</v>
      </c>
      <c r="H22" s="14">
        <f t="shared" si="2"/>
        <v>6850.5552739726008</v>
      </c>
      <c r="I22" s="16">
        <f t="shared" si="3"/>
        <v>-95.144726027398974</v>
      </c>
    </row>
    <row r="23" spans="1:9" x14ac:dyDescent="0.25">
      <c r="A23" s="54">
        <v>42465</v>
      </c>
      <c r="B23" s="1">
        <f t="shared" si="4"/>
        <v>30</v>
      </c>
      <c r="C23" s="4">
        <f t="shared" si="5"/>
        <v>34666</v>
      </c>
      <c r="D23" s="2">
        <f t="shared" si="0"/>
        <v>28066.799999999999</v>
      </c>
      <c r="E23" s="19">
        <f t="shared" si="1"/>
        <v>6599.2</v>
      </c>
      <c r="F23" s="2">
        <f t="shared" si="6"/>
        <v>527935.84999999974</v>
      </c>
      <c r="G23" s="2">
        <f t="shared" si="7"/>
        <v>499869.04999999976</v>
      </c>
      <c r="H23" s="14">
        <f t="shared" si="2"/>
        <v>6508.7981506849283</v>
      </c>
      <c r="I23" s="16">
        <f t="shared" si="3"/>
        <v>-90.401849315071559</v>
      </c>
    </row>
    <row r="24" spans="1:9" x14ac:dyDescent="0.25">
      <c r="A24" s="54">
        <v>42495</v>
      </c>
      <c r="B24" s="1">
        <f t="shared" si="4"/>
        <v>30</v>
      </c>
      <c r="C24" s="4">
        <f t="shared" si="5"/>
        <v>34666</v>
      </c>
      <c r="D24" s="2">
        <f t="shared" si="0"/>
        <v>28417.64</v>
      </c>
      <c r="E24" s="19">
        <f t="shared" si="1"/>
        <v>6248.36</v>
      </c>
      <c r="F24" s="2">
        <f t="shared" si="6"/>
        <v>499869.04999999976</v>
      </c>
      <c r="G24" s="2">
        <f t="shared" si="7"/>
        <v>471451.40999999974</v>
      </c>
      <c r="H24" s="14">
        <f t="shared" si="2"/>
        <v>6162.7691095890377</v>
      </c>
      <c r="I24" s="16">
        <f t="shared" si="3"/>
        <v>-85.590890410961947</v>
      </c>
    </row>
    <row r="25" spans="1:9" x14ac:dyDescent="0.25">
      <c r="A25" s="54">
        <v>42526</v>
      </c>
      <c r="B25" s="1">
        <f t="shared" si="4"/>
        <v>30</v>
      </c>
      <c r="C25" s="4">
        <f t="shared" si="5"/>
        <v>34666</v>
      </c>
      <c r="D25" s="2">
        <f t="shared" si="0"/>
        <v>28772.86</v>
      </c>
      <c r="E25" s="19">
        <f t="shared" si="1"/>
        <v>5893.14</v>
      </c>
      <c r="F25" s="2">
        <f t="shared" si="6"/>
        <v>471451.40999999974</v>
      </c>
      <c r="G25" s="2">
        <f t="shared" si="7"/>
        <v>442678.54999999976</v>
      </c>
      <c r="H25" s="14">
        <f t="shared" si="2"/>
        <v>5812.4146438356129</v>
      </c>
      <c r="I25" s="16">
        <f t="shared" si="3"/>
        <v>-80.725356164387449</v>
      </c>
    </row>
    <row r="26" spans="1:9" x14ac:dyDescent="0.25">
      <c r="A26" s="54">
        <v>42556</v>
      </c>
      <c r="B26" s="1">
        <f t="shared" si="4"/>
        <v>30</v>
      </c>
      <c r="C26" s="4">
        <f t="shared" si="5"/>
        <v>34666</v>
      </c>
      <c r="D26" s="2">
        <f t="shared" si="0"/>
        <v>29132.52</v>
      </c>
      <c r="E26" s="19">
        <f t="shared" si="1"/>
        <v>5533.48</v>
      </c>
      <c r="F26" s="2">
        <f t="shared" si="6"/>
        <v>442678.54999999976</v>
      </c>
      <c r="G26" s="2">
        <f t="shared" si="7"/>
        <v>413546.02999999974</v>
      </c>
      <c r="H26" s="14">
        <f t="shared" si="2"/>
        <v>5457.6807534246536</v>
      </c>
      <c r="I26" s="16">
        <f t="shared" si="3"/>
        <v>-75.799246575345933</v>
      </c>
    </row>
    <row r="27" spans="1:9" x14ac:dyDescent="0.25">
      <c r="A27" s="54">
        <v>42587</v>
      </c>
      <c r="B27" s="1">
        <f t="shared" si="4"/>
        <v>30</v>
      </c>
      <c r="C27" s="4">
        <f t="shared" si="5"/>
        <v>34666</v>
      </c>
      <c r="D27" s="2">
        <f t="shared" si="0"/>
        <v>29496.67</v>
      </c>
      <c r="E27" s="19">
        <f t="shared" si="1"/>
        <v>5169.33</v>
      </c>
      <c r="F27" s="2">
        <f t="shared" si="6"/>
        <v>413546.02999999974</v>
      </c>
      <c r="G27" s="2">
        <f t="shared" si="7"/>
        <v>384049.35999999975</v>
      </c>
      <c r="H27" s="14">
        <f t="shared" si="2"/>
        <v>5098.5126986301339</v>
      </c>
      <c r="I27" s="16">
        <f t="shared" si="3"/>
        <v>-70.817301369866072</v>
      </c>
    </row>
    <row r="28" spans="1:9" x14ac:dyDescent="0.25">
      <c r="A28" s="54">
        <v>42618</v>
      </c>
      <c r="B28" s="1">
        <f t="shared" si="4"/>
        <v>30</v>
      </c>
      <c r="C28" s="4">
        <f t="shared" si="5"/>
        <v>34666</v>
      </c>
      <c r="D28" s="2">
        <f t="shared" si="0"/>
        <v>29865.38</v>
      </c>
      <c r="E28" s="19">
        <f t="shared" si="1"/>
        <v>4800.62</v>
      </c>
      <c r="F28" s="2">
        <f t="shared" si="6"/>
        <v>384049.35999999975</v>
      </c>
      <c r="G28" s="2">
        <f t="shared" si="7"/>
        <v>354183.97999999975</v>
      </c>
      <c r="H28" s="14">
        <f t="shared" si="2"/>
        <v>4734.855123287668</v>
      </c>
      <c r="I28" s="16">
        <f t="shared" si="3"/>
        <v>-65.764876712331898</v>
      </c>
    </row>
    <row r="29" spans="1:9" x14ac:dyDescent="0.25">
      <c r="A29" s="54">
        <v>42648</v>
      </c>
      <c r="B29" s="1">
        <f t="shared" si="4"/>
        <v>30</v>
      </c>
      <c r="C29" s="4">
        <f t="shared" si="5"/>
        <v>34666</v>
      </c>
      <c r="D29" s="2">
        <f t="shared" si="0"/>
        <v>30238.7</v>
      </c>
      <c r="E29" s="19">
        <f t="shared" si="1"/>
        <v>4427.3</v>
      </c>
      <c r="F29" s="2">
        <f t="shared" si="6"/>
        <v>354183.97999999975</v>
      </c>
      <c r="G29" s="2">
        <f t="shared" si="7"/>
        <v>323945.27999999974</v>
      </c>
      <c r="H29" s="14">
        <f t="shared" si="2"/>
        <v>4366.6518082191751</v>
      </c>
      <c r="I29" s="16">
        <f t="shared" si="3"/>
        <v>-60.648191780825073</v>
      </c>
    </row>
    <row r="30" spans="1:9" x14ac:dyDescent="0.25">
      <c r="A30" s="54">
        <v>42679</v>
      </c>
      <c r="B30" s="1">
        <f t="shared" si="4"/>
        <v>30</v>
      </c>
      <c r="C30" s="4">
        <f t="shared" si="5"/>
        <v>34666</v>
      </c>
      <c r="D30" s="2">
        <f t="shared" si="0"/>
        <v>30616.68</v>
      </c>
      <c r="E30" s="19">
        <f t="shared" si="1"/>
        <v>4049.32</v>
      </c>
      <c r="F30" s="2">
        <f t="shared" si="6"/>
        <v>323945.27999999974</v>
      </c>
      <c r="G30" s="2">
        <f t="shared" si="7"/>
        <v>293328.59999999974</v>
      </c>
      <c r="H30" s="14">
        <f t="shared" si="2"/>
        <v>3993.8459178082162</v>
      </c>
      <c r="I30" s="16">
        <f t="shared" si="3"/>
        <v>-55.474082191783964</v>
      </c>
    </row>
    <row r="31" spans="1:9" x14ac:dyDescent="0.25">
      <c r="A31" s="54">
        <v>42709</v>
      </c>
      <c r="B31" s="1">
        <f t="shared" si="4"/>
        <v>30</v>
      </c>
      <c r="C31" s="4">
        <f t="shared" si="5"/>
        <v>34666</v>
      </c>
      <c r="D31" s="2">
        <f t="shared" si="0"/>
        <v>30999.39</v>
      </c>
      <c r="E31" s="19">
        <f t="shared" si="1"/>
        <v>3666.61</v>
      </c>
      <c r="F31" s="2">
        <f t="shared" si="6"/>
        <v>293328.59999999974</v>
      </c>
      <c r="G31" s="2">
        <f t="shared" si="7"/>
        <v>262329.20999999973</v>
      </c>
      <c r="H31" s="14">
        <f t="shared" si="2"/>
        <v>3616.3799999999965</v>
      </c>
      <c r="I31" s="16">
        <f t="shared" si="3"/>
        <v>-50.230000000003656</v>
      </c>
    </row>
    <row r="32" spans="1:9" x14ac:dyDescent="0.25">
      <c r="A32" s="54">
        <v>42740</v>
      </c>
      <c r="B32" s="1">
        <f t="shared" si="4"/>
        <v>30</v>
      </c>
      <c r="C32" s="4">
        <f t="shared" si="5"/>
        <v>34666</v>
      </c>
      <c r="D32" s="2">
        <f t="shared" si="0"/>
        <v>31386.880000000001</v>
      </c>
      <c r="E32" s="19">
        <f t="shared" si="1"/>
        <v>3279.12</v>
      </c>
      <c r="F32" s="2">
        <f t="shared" si="6"/>
        <v>262329.20999999973</v>
      </c>
      <c r="G32" s="2">
        <f t="shared" si="7"/>
        <v>230942.32999999973</v>
      </c>
      <c r="H32" s="14">
        <f t="shared" si="2"/>
        <v>3234.1957397260244</v>
      </c>
      <c r="I32" s="16">
        <f t="shared" si="3"/>
        <v>-44.924260273975506</v>
      </c>
    </row>
    <row r="33" spans="1:9" x14ac:dyDescent="0.25">
      <c r="A33" s="54">
        <v>42771</v>
      </c>
      <c r="B33" s="1">
        <f t="shared" si="4"/>
        <v>30</v>
      </c>
      <c r="C33" s="4">
        <f t="shared" si="5"/>
        <v>34666</v>
      </c>
      <c r="D33" s="2">
        <f t="shared" si="0"/>
        <v>31779.22</v>
      </c>
      <c r="E33" s="19">
        <f t="shared" si="1"/>
        <v>2886.78</v>
      </c>
      <c r="F33" s="2">
        <f t="shared" si="6"/>
        <v>230942.32999999973</v>
      </c>
      <c r="G33" s="2">
        <f t="shared" si="7"/>
        <v>199163.10999999972</v>
      </c>
      <c r="H33" s="14">
        <f t="shared" si="2"/>
        <v>2847.234205479449</v>
      </c>
      <c r="I33" s="16">
        <f t="shared" si="3"/>
        <v>-39.545794520551226</v>
      </c>
    </row>
    <row r="34" spans="1:9" x14ac:dyDescent="0.25">
      <c r="A34" s="54">
        <v>42799</v>
      </c>
      <c r="B34" s="1">
        <f t="shared" si="4"/>
        <v>30</v>
      </c>
      <c r="C34" s="4">
        <f t="shared" si="5"/>
        <v>34666</v>
      </c>
      <c r="D34" s="2">
        <f t="shared" si="0"/>
        <v>32176.46</v>
      </c>
      <c r="E34" s="19">
        <f t="shared" si="1"/>
        <v>2489.54</v>
      </c>
      <c r="F34" s="2">
        <f t="shared" si="6"/>
        <v>199163.10999999972</v>
      </c>
      <c r="G34" s="2">
        <f t="shared" si="7"/>
        <v>166986.64999999973</v>
      </c>
      <c r="H34" s="14"/>
      <c r="I34" s="16"/>
    </row>
    <row r="35" spans="1:9" x14ac:dyDescent="0.25">
      <c r="A35" s="54">
        <v>42830</v>
      </c>
      <c r="B35" s="1">
        <f t="shared" si="4"/>
        <v>30</v>
      </c>
      <c r="C35" s="4">
        <f t="shared" si="5"/>
        <v>34666</v>
      </c>
      <c r="D35" s="2">
        <f t="shared" si="0"/>
        <v>32578.67</v>
      </c>
      <c r="E35" s="19">
        <f t="shared" si="1"/>
        <v>2087.33</v>
      </c>
      <c r="F35" s="2">
        <f t="shared" si="6"/>
        <v>166986.64999999973</v>
      </c>
      <c r="G35" s="2">
        <f t="shared" si="7"/>
        <v>134407.97999999975</v>
      </c>
      <c r="H35" s="14"/>
      <c r="I35" s="16"/>
    </row>
    <row r="36" spans="1:9" x14ac:dyDescent="0.25">
      <c r="A36" s="54">
        <v>42860</v>
      </c>
      <c r="B36" s="1">
        <f t="shared" si="4"/>
        <v>30</v>
      </c>
      <c r="C36" s="4">
        <f t="shared" si="5"/>
        <v>34666</v>
      </c>
      <c r="D36" s="2">
        <f t="shared" si="0"/>
        <v>32985.9</v>
      </c>
      <c r="E36" s="19">
        <f t="shared" si="1"/>
        <v>1680.1</v>
      </c>
      <c r="F36" s="2">
        <f t="shared" si="6"/>
        <v>134407.97999999975</v>
      </c>
      <c r="G36" s="2">
        <f t="shared" si="7"/>
        <v>101422.07999999975</v>
      </c>
      <c r="H36" s="14"/>
      <c r="I36" s="16"/>
    </row>
    <row r="37" spans="1:9" x14ac:dyDescent="0.25">
      <c r="A37" s="54">
        <v>42891</v>
      </c>
      <c r="B37" s="1">
        <f t="shared" si="4"/>
        <v>30</v>
      </c>
      <c r="C37" s="4">
        <f t="shared" si="5"/>
        <v>34666</v>
      </c>
      <c r="D37" s="2">
        <f t="shared" si="0"/>
        <v>33398.22</v>
      </c>
      <c r="E37" s="19">
        <f t="shared" si="1"/>
        <v>1267.78</v>
      </c>
      <c r="F37" s="2">
        <f t="shared" si="6"/>
        <v>101422.07999999975</v>
      </c>
      <c r="G37" s="2">
        <f t="shared" si="7"/>
        <v>68023.859999999753</v>
      </c>
      <c r="H37" s="14"/>
      <c r="I37" s="16"/>
    </row>
    <row r="38" spans="1:9" x14ac:dyDescent="0.25">
      <c r="A38" s="54">
        <v>42921</v>
      </c>
      <c r="B38" s="1">
        <f t="shared" si="4"/>
        <v>30</v>
      </c>
      <c r="C38" s="4">
        <f t="shared" si="5"/>
        <v>34666</v>
      </c>
      <c r="D38" s="2">
        <f t="shared" si="0"/>
        <v>33815.699999999997</v>
      </c>
      <c r="E38" s="19">
        <f t="shared" si="1"/>
        <v>850.3</v>
      </c>
      <c r="F38" s="2">
        <f t="shared" si="6"/>
        <v>68023.859999999753</v>
      </c>
      <c r="G38" s="2">
        <f t="shared" si="7"/>
        <v>34208.159999999756</v>
      </c>
      <c r="H38" s="14"/>
      <c r="I38" s="16"/>
    </row>
    <row r="39" spans="1:9" x14ac:dyDescent="0.25">
      <c r="A39" s="54">
        <v>42952</v>
      </c>
      <c r="B39" s="1">
        <f t="shared" si="4"/>
        <v>30</v>
      </c>
      <c r="C39" s="4">
        <f t="shared" si="5"/>
        <v>34666</v>
      </c>
      <c r="D39" s="2">
        <f t="shared" si="0"/>
        <v>34208.159999999756</v>
      </c>
      <c r="E39" s="19">
        <v>457.84000000024537</v>
      </c>
      <c r="F39" s="2">
        <f t="shared" si="6"/>
        <v>34208.159999999756</v>
      </c>
      <c r="G39" s="2">
        <f t="shared" si="7"/>
        <v>0</v>
      </c>
      <c r="H39" s="14"/>
      <c r="I39" s="16"/>
    </row>
    <row r="40" spans="1:9" x14ac:dyDescent="0.25">
      <c r="A40" s="56">
        <v>42374</v>
      </c>
      <c r="B40" s="1">
        <f>DAYS360(A19,A20,TRUE)</f>
        <v>30</v>
      </c>
      <c r="C40" s="4">
        <f t="shared" ref="C40:C59" si="8">$F$1</f>
        <v>35993</v>
      </c>
      <c r="D40" s="2">
        <f t="shared" si="0"/>
        <v>28028.14</v>
      </c>
      <c r="E40" s="19">
        <f>ROUND(((F40*$B$2*D2/360)+(F40*$J$1*F2/360)),2)</f>
        <v>7964.86</v>
      </c>
      <c r="F40" s="2">
        <f>G19</f>
        <v>610074.28999999969</v>
      </c>
      <c r="G40" s="2">
        <f t="shared" si="7"/>
        <v>582046.14999999967</v>
      </c>
      <c r="H40" s="14"/>
      <c r="I40" s="16"/>
    </row>
    <row r="41" spans="1:9" x14ac:dyDescent="0.25">
      <c r="A41" s="56">
        <v>42405</v>
      </c>
      <c r="B41" s="1">
        <f t="shared" si="4"/>
        <v>30</v>
      </c>
      <c r="C41" s="4">
        <f t="shared" si="8"/>
        <v>35993</v>
      </c>
      <c r="D41" s="2">
        <f t="shared" si="0"/>
        <v>26292.23</v>
      </c>
      <c r="E41" s="19">
        <f>ROUND(F41*$J$1*B41/360,2)</f>
        <v>9700.77</v>
      </c>
      <c r="F41" s="2">
        <f>G40</f>
        <v>582046.14999999967</v>
      </c>
      <c r="G41" s="2">
        <f t="shared" si="7"/>
        <v>555753.91999999969</v>
      </c>
      <c r="H41" s="14"/>
      <c r="I41" s="16"/>
    </row>
    <row r="42" spans="1:9" x14ac:dyDescent="0.25">
      <c r="A42" s="56">
        <v>42434</v>
      </c>
      <c r="B42" s="1">
        <f t="shared" si="4"/>
        <v>30</v>
      </c>
      <c r="C42" s="4">
        <f t="shared" si="8"/>
        <v>35993</v>
      </c>
      <c r="D42" s="2">
        <f t="shared" si="0"/>
        <v>26730.43</v>
      </c>
      <c r="E42" s="19">
        <f t="shared" ref="E42:E58" si="9">ROUND(F42*$J$1*B42/360,2)</f>
        <v>9262.57</v>
      </c>
      <c r="F42" s="2">
        <f>G41</f>
        <v>555753.91999999969</v>
      </c>
      <c r="G42" s="2">
        <f t="shared" si="7"/>
        <v>529023.48999999964</v>
      </c>
      <c r="H42" s="14"/>
      <c r="I42" s="16"/>
    </row>
    <row r="43" spans="1:9" x14ac:dyDescent="0.25">
      <c r="A43" s="56">
        <v>42465</v>
      </c>
      <c r="B43" s="1">
        <f t="shared" si="4"/>
        <v>30</v>
      </c>
      <c r="C43" s="4">
        <f t="shared" si="8"/>
        <v>35993</v>
      </c>
      <c r="D43" s="2">
        <f t="shared" si="0"/>
        <v>27175.940000000002</v>
      </c>
      <c r="E43" s="19">
        <f t="shared" si="9"/>
        <v>8817.06</v>
      </c>
      <c r="F43" s="2">
        <f t="shared" ref="F43:F59" si="10">G42</f>
        <v>529023.48999999964</v>
      </c>
      <c r="G43" s="2">
        <f t="shared" si="7"/>
        <v>501847.54999999964</v>
      </c>
      <c r="H43" s="14"/>
      <c r="I43" s="16"/>
    </row>
    <row r="44" spans="1:9" x14ac:dyDescent="0.25">
      <c r="A44" s="56">
        <v>42495</v>
      </c>
      <c r="B44" s="1">
        <f t="shared" si="4"/>
        <v>30</v>
      </c>
      <c r="C44" s="4">
        <f t="shared" si="8"/>
        <v>35993</v>
      </c>
      <c r="D44" s="2">
        <f t="shared" si="0"/>
        <v>27628.870000000003</v>
      </c>
      <c r="E44" s="19">
        <f t="shared" si="9"/>
        <v>8364.1299999999992</v>
      </c>
      <c r="F44" s="2">
        <f t="shared" si="10"/>
        <v>501847.54999999964</v>
      </c>
      <c r="G44" s="2">
        <f t="shared" si="7"/>
        <v>474218.67999999964</v>
      </c>
      <c r="H44" s="14"/>
      <c r="I44" s="16"/>
    </row>
    <row r="45" spans="1:9" x14ac:dyDescent="0.25">
      <c r="A45" s="56">
        <v>42526</v>
      </c>
      <c r="B45" s="1">
        <f t="shared" si="4"/>
        <v>30</v>
      </c>
      <c r="C45" s="4">
        <f t="shared" si="8"/>
        <v>35993</v>
      </c>
      <c r="D45" s="2">
        <f t="shared" si="0"/>
        <v>28089.360000000001</v>
      </c>
      <c r="E45" s="19">
        <f t="shared" si="9"/>
        <v>7903.64</v>
      </c>
      <c r="F45" s="2">
        <f t="shared" si="10"/>
        <v>474218.67999999964</v>
      </c>
      <c r="G45" s="2">
        <f t="shared" si="7"/>
        <v>446129.31999999966</v>
      </c>
      <c r="H45" s="14"/>
      <c r="I45" s="16"/>
    </row>
    <row r="46" spans="1:9" x14ac:dyDescent="0.25">
      <c r="A46" s="56">
        <v>42556</v>
      </c>
      <c r="B46" s="1">
        <f t="shared" si="4"/>
        <v>30</v>
      </c>
      <c r="C46" s="4">
        <f t="shared" si="8"/>
        <v>35993</v>
      </c>
      <c r="D46" s="2">
        <f t="shared" si="0"/>
        <v>28557.510000000002</v>
      </c>
      <c r="E46" s="19">
        <f t="shared" si="9"/>
        <v>7435.49</v>
      </c>
      <c r="F46" s="2">
        <f t="shared" si="10"/>
        <v>446129.31999999966</v>
      </c>
      <c r="G46" s="2">
        <f t="shared" si="7"/>
        <v>417571.80999999965</v>
      </c>
      <c r="H46" s="14"/>
      <c r="I46" s="16"/>
    </row>
    <row r="47" spans="1:9" x14ac:dyDescent="0.25">
      <c r="A47" s="56">
        <v>42587</v>
      </c>
      <c r="B47" s="1">
        <f t="shared" si="4"/>
        <v>30</v>
      </c>
      <c r="C47" s="4">
        <f t="shared" si="8"/>
        <v>35993</v>
      </c>
      <c r="D47" s="2">
        <f t="shared" si="0"/>
        <v>29033.47</v>
      </c>
      <c r="E47" s="19">
        <f t="shared" si="9"/>
        <v>6959.53</v>
      </c>
      <c r="F47" s="2">
        <f t="shared" si="10"/>
        <v>417571.80999999965</v>
      </c>
      <c r="G47" s="2">
        <f t="shared" si="7"/>
        <v>388538.33999999962</v>
      </c>
      <c r="H47" s="14"/>
      <c r="I47" s="16"/>
    </row>
    <row r="48" spans="1:9" x14ac:dyDescent="0.25">
      <c r="A48" s="56">
        <v>42618</v>
      </c>
      <c r="B48" s="1">
        <f t="shared" si="4"/>
        <v>30</v>
      </c>
      <c r="C48" s="4">
        <f t="shared" si="8"/>
        <v>35993</v>
      </c>
      <c r="D48" s="2">
        <f t="shared" si="0"/>
        <v>29517.360000000001</v>
      </c>
      <c r="E48" s="19">
        <f t="shared" si="9"/>
        <v>6475.64</v>
      </c>
      <c r="F48" s="2">
        <f t="shared" si="10"/>
        <v>388538.33999999962</v>
      </c>
      <c r="G48" s="2">
        <f t="shared" si="7"/>
        <v>359020.97999999963</v>
      </c>
    </row>
    <row r="49" spans="1:7" x14ac:dyDescent="0.25">
      <c r="A49" s="56">
        <v>42648</v>
      </c>
      <c r="B49" s="1">
        <f t="shared" si="4"/>
        <v>30</v>
      </c>
      <c r="C49" s="4">
        <f t="shared" si="8"/>
        <v>35993</v>
      </c>
      <c r="D49" s="2">
        <f t="shared" si="0"/>
        <v>30009.32</v>
      </c>
      <c r="E49" s="19">
        <f t="shared" si="9"/>
        <v>5983.68</v>
      </c>
      <c r="F49" s="2">
        <f t="shared" si="10"/>
        <v>359020.97999999963</v>
      </c>
      <c r="G49" s="2">
        <f t="shared" si="7"/>
        <v>329011.65999999963</v>
      </c>
    </row>
    <row r="50" spans="1:7" x14ac:dyDescent="0.25">
      <c r="A50" s="56">
        <v>42679</v>
      </c>
      <c r="B50" s="1">
        <f t="shared" si="4"/>
        <v>30</v>
      </c>
      <c r="C50" s="4">
        <f t="shared" si="8"/>
        <v>35993</v>
      </c>
      <c r="D50" s="2">
        <f t="shared" si="0"/>
        <v>30509.47</v>
      </c>
      <c r="E50" s="19">
        <f t="shared" si="9"/>
        <v>5483.53</v>
      </c>
      <c r="F50" s="2">
        <f t="shared" si="10"/>
        <v>329011.65999999963</v>
      </c>
      <c r="G50" s="2">
        <f t="shared" si="7"/>
        <v>298502.18999999959</v>
      </c>
    </row>
    <row r="51" spans="1:7" x14ac:dyDescent="0.25">
      <c r="A51" s="56">
        <v>42709</v>
      </c>
      <c r="B51" s="1">
        <f t="shared" si="4"/>
        <v>30</v>
      </c>
      <c r="C51" s="4">
        <f t="shared" si="8"/>
        <v>35993</v>
      </c>
      <c r="D51" s="2">
        <f t="shared" si="0"/>
        <v>31017.96</v>
      </c>
      <c r="E51" s="19">
        <f t="shared" si="9"/>
        <v>4975.04</v>
      </c>
      <c r="F51" s="2">
        <f t="shared" si="10"/>
        <v>298502.18999999959</v>
      </c>
      <c r="G51" s="2">
        <f t="shared" si="7"/>
        <v>267484.22999999957</v>
      </c>
    </row>
    <row r="52" spans="1:7" x14ac:dyDescent="0.25">
      <c r="A52" s="56">
        <v>42740</v>
      </c>
      <c r="B52" s="1">
        <f t="shared" si="4"/>
        <v>30</v>
      </c>
      <c r="C52" s="4">
        <f t="shared" si="8"/>
        <v>35993</v>
      </c>
      <c r="D52" s="2">
        <f t="shared" si="0"/>
        <v>31534.93</v>
      </c>
      <c r="E52" s="19">
        <f t="shared" si="9"/>
        <v>4458.07</v>
      </c>
      <c r="F52" s="2">
        <f t="shared" si="10"/>
        <v>267484.22999999957</v>
      </c>
      <c r="G52" s="2">
        <f t="shared" si="7"/>
        <v>235949.29999999958</v>
      </c>
    </row>
    <row r="53" spans="1:7" x14ac:dyDescent="0.25">
      <c r="A53" s="56">
        <v>42771</v>
      </c>
      <c r="B53" s="1">
        <f t="shared" si="4"/>
        <v>30</v>
      </c>
      <c r="C53" s="4">
        <f t="shared" si="8"/>
        <v>35993</v>
      </c>
      <c r="D53" s="2">
        <f t="shared" si="0"/>
        <v>32060.510000000002</v>
      </c>
      <c r="E53" s="19">
        <f t="shared" si="9"/>
        <v>3932.49</v>
      </c>
      <c r="F53" s="2">
        <f t="shared" si="10"/>
        <v>235949.29999999958</v>
      </c>
      <c r="G53" s="2">
        <f t="shared" si="7"/>
        <v>203888.78999999957</v>
      </c>
    </row>
    <row r="54" spans="1:7" x14ac:dyDescent="0.25">
      <c r="A54" s="56">
        <v>42799</v>
      </c>
      <c r="B54" s="1">
        <f t="shared" si="4"/>
        <v>30</v>
      </c>
      <c r="C54" s="4">
        <f t="shared" si="8"/>
        <v>35993</v>
      </c>
      <c r="D54" s="2">
        <f t="shared" si="0"/>
        <v>32594.85</v>
      </c>
      <c r="E54" s="19">
        <f t="shared" si="9"/>
        <v>3398.15</v>
      </c>
      <c r="F54" s="2">
        <f t="shared" si="10"/>
        <v>203888.78999999957</v>
      </c>
      <c r="G54" s="2">
        <f t="shared" si="7"/>
        <v>171293.93999999957</v>
      </c>
    </row>
    <row r="55" spans="1:7" x14ac:dyDescent="0.25">
      <c r="A55" s="56">
        <v>42830</v>
      </c>
      <c r="B55" s="1">
        <f t="shared" si="4"/>
        <v>30</v>
      </c>
      <c r="C55" s="4">
        <f t="shared" si="8"/>
        <v>35993</v>
      </c>
      <c r="D55" s="2">
        <f t="shared" si="0"/>
        <v>33138.1</v>
      </c>
      <c r="E55" s="19">
        <f t="shared" si="9"/>
        <v>2854.9</v>
      </c>
      <c r="F55" s="2">
        <f t="shared" si="10"/>
        <v>171293.93999999957</v>
      </c>
      <c r="G55" s="2">
        <f t="shared" si="7"/>
        <v>138155.83999999956</v>
      </c>
    </row>
    <row r="56" spans="1:7" x14ac:dyDescent="0.25">
      <c r="A56" s="56">
        <v>42860</v>
      </c>
      <c r="B56" s="1">
        <f t="shared" si="4"/>
        <v>30</v>
      </c>
      <c r="C56" s="4">
        <f t="shared" si="8"/>
        <v>35993</v>
      </c>
      <c r="D56" s="2">
        <f t="shared" si="0"/>
        <v>33690.400000000001</v>
      </c>
      <c r="E56" s="19">
        <f t="shared" si="9"/>
        <v>2302.6</v>
      </c>
      <c r="F56" s="2">
        <f t="shared" si="10"/>
        <v>138155.83999999956</v>
      </c>
      <c r="G56" s="2">
        <f t="shared" si="7"/>
        <v>104465.43999999957</v>
      </c>
    </row>
    <row r="57" spans="1:7" x14ac:dyDescent="0.25">
      <c r="A57" s="56">
        <v>42891</v>
      </c>
      <c r="B57" s="1">
        <f t="shared" si="4"/>
        <v>30</v>
      </c>
      <c r="C57" s="4">
        <f t="shared" si="8"/>
        <v>35993</v>
      </c>
      <c r="D57" s="2">
        <f t="shared" si="0"/>
        <v>34251.910000000003</v>
      </c>
      <c r="E57" s="19">
        <f t="shared" si="9"/>
        <v>1741.09</v>
      </c>
      <c r="F57" s="2">
        <f t="shared" si="10"/>
        <v>104465.43999999957</v>
      </c>
      <c r="G57" s="2">
        <f t="shared" si="7"/>
        <v>70213.529999999562</v>
      </c>
    </row>
    <row r="58" spans="1:7" x14ac:dyDescent="0.25">
      <c r="A58" s="56">
        <v>42921</v>
      </c>
      <c r="B58" s="1">
        <f t="shared" si="4"/>
        <v>30</v>
      </c>
      <c r="C58" s="4">
        <f t="shared" si="8"/>
        <v>35993</v>
      </c>
      <c r="D58" s="2">
        <f t="shared" si="0"/>
        <v>34822.769999999997</v>
      </c>
      <c r="E58" s="19">
        <f t="shared" si="9"/>
        <v>1170.23</v>
      </c>
      <c r="F58" s="2">
        <f t="shared" si="10"/>
        <v>70213.529999999562</v>
      </c>
      <c r="G58" s="2">
        <f t="shared" si="7"/>
        <v>35390.759999999565</v>
      </c>
    </row>
    <row r="59" spans="1:7" x14ac:dyDescent="0.25">
      <c r="A59" s="56">
        <v>42952</v>
      </c>
      <c r="B59" s="1">
        <f t="shared" si="4"/>
        <v>30</v>
      </c>
      <c r="C59" s="4">
        <f t="shared" si="8"/>
        <v>35993</v>
      </c>
      <c r="D59" s="2">
        <f t="shared" si="0"/>
        <v>35390.759999999565</v>
      </c>
      <c r="E59" s="19">
        <v>602.240000000436</v>
      </c>
      <c r="F59" s="2">
        <f t="shared" si="10"/>
        <v>35390.759999999565</v>
      </c>
      <c r="G59" s="2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3ABA8-26AA-4A9F-BB9D-4FF7C37364F1}">
  <dimension ref="A1:R3"/>
  <sheetViews>
    <sheetView workbookViewId="0">
      <selection activeCell="R2" sqref="R2:R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79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78</v>
      </c>
      <c r="P2" s="20" t="s">
        <v>21</v>
      </c>
      <c r="Q2" s="20" t="s">
        <v>84</v>
      </c>
      <c r="R2" s="50" t="s">
        <v>85</v>
      </c>
    </row>
    <row r="3" spans="1:18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78</v>
      </c>
      <c r="P3" s="20" t="s">
        <v>21</v>
      </c>
      <c r="Q3" s="20" t="s">
        <v>84</v>
      </c>
      <c r="R3" s="50" t="s">
        <v>86</v>
      </c>
    </row>
  </sheetData>
  <pageMargins left="0.7" right="0.7" top="0.75" bottom="0.75" header="0.3" footer="0.3"/>
  <pageSetup orientation="portrait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48BD9-9F63-4B68-A463-7B370A1FC63D}">
  <dimension ref="A1:J59"/>
  <sheetViews>
    <sheetView zoomScale="85" zoomScaleNormal="90" workbookViewId="0">
      <pane ySplit="3" topLeftCell="A20" activePane="bottomLeft" state="frozen"/>
      <selection activeCell="R3" sqref="R3"/>
      <selection pane="bottomLeft" activeCell="R3" sqref="R3"/>
    </sheetView>
  </sheetViews>
  <sheetFormatPr defaultRowHeight="15" x14ac:dyDescent="0.25"/>
  <cols>
    <col min="1" max="1" width="15.7109375" bestFit="1" customWidth="1"/>
    <col min="2" max="2" width="13" bestFit="1" customWidth="1"/>
    <col min="3" max="3" width="25" bestFit="1" customWidth="1"/>
    <col min="4" max="4" width="13" bestFit="1" customWidth="1"/>
    <col min="5" max="5" width="24.85546875" bestFit="1" customWidth="1"/>
    <col min="6" max="6" width="15.85546875" bestFit="1" customWidth="1"/>
    <col min="7" max="7" width="18.85546875" bestFit="1" customWidth="1"/>
    <col min="8" max="8" width="15.7109375" bestFit="1" customWidth="1"/>
    <col min="9" max="9" width="21.85546875" bestFit="1" customWidth="1"/>
    <col min="10" max="10" width="11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37">
        <f>ROUNDUP(33314.7514275744,0)</f>
        <v>33315</v>
      </c>
      <c r="G1" s="28" t="s">
        <v>52</v>
      </c>
      <c r="H1" s="26">
        <v>42374</v>
      </c>
      <c r="I1" s="28" t="s">
        <v>53</v>
      </c>
      <c r="J1" s="52">
        <v>0.1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H1-A19</f>
        <v>31</v>
      </c>
      <c r="E2" t="s">
        <v>59</v>
      </c>
      <c r="F2">
        <f>A40-H1</f>
        <v>0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_xlfn.DAYS(A4,B1)</f>
        <v>31</v>
      </c>
      <c r="C4" s="4">
        <f>$D$1</f>
        <v>34674</v>
      </c>
      <c r="D4" s="2">
        <f t="shared" ref="D4:D59" si="0">C4-E4</f>
        <v>21934.27</v>
      </c>
      <c r="E4" s="19">
        <f>ROUND(F4*$B$2*B4/365,2)</f>
        <v>12739.73</v>
      </c>
      <c r="F4" s="53">
        <v>1000000</v>
      </c>
      <c r="G4" s="2">
        <f>F4-D4</f>
        <v>978065.73</v>
      </c>
      <c r="H4" s="14">
        <f>F4*$B$2*B4/365</f>
        <v>12739.726027397261</v>
      </c>
      <c r="I4" s="16">
        <f>H4-E4</f>
        <v>-3.9726027389406227E-3</v>
      </c>
    </row>
    <row r="5" spans="1:10" x14ac:dyDescent="0.25">
      <c r="A5" s="54">
        <v>41917</v>
      </c>
      <c r="B5" s="1">
        <f>_xlfn.DAYS(A5,A4)</f>
        <v>30</v>
      </c>
      <c r="C5" s="4">
        <f>$D$1</f>
        <v>34674</v>
      </c>
      <c r="D5" s="2">
        <f t="shared" si="0"/>
        <v>22615.66</v>
      </c>
      <c r="E5" s="19">
        <f>ROUND(F5*$B$2*B5/365,2)</f>
        <v>12058.34</v>
      </c>
      <c r="F5" s="2">
        <f>G4</f>
        <v>978065.73</v>
      </c>
      <c r="G5" s="2">
        <f>F5-D5</f>
        <v>955450.07</v>
      </c>
      <c r="H5" s="14">
        <f t="shared" ref="H5:H33" si="1">F5*$B$2*B5/365</f>
        <v>12058.344616438357</v>
      </c>
      <c r="I5" s="16">
        <f t="shared" ref="I5:I33" si="2">H5-E5</f>
        <v>4.6164383566065226E-3</v>
      </c>
    </row>
    <row r="6" spans="1:10" x14ac:dyDescent="0.25">
      <c r="A6" s="54">
        <v>41948</v>
      </c>
      <c r="B6" s="1">
        <f t="shared" ref="B6:B59" si="3">_xlfn.DAYS(A6,A5)</f>
        <v>31</v>
      </c>
      <c r="C6" s="4">
        <f t="shared" ref="C6:C40" si="4">$D$1</f>
        <v>34674</v>
      </c>
      <c r="D6" s="2">
        <f t="shared" si="0"/>
        <v>22501.83</v>
      </c>
      <c r="E6" s="19">
        <f t="shared" ref="E6:E38" si="5">ROUND(F6*$B$2*B6/365,2)</f>
        <v>12172.17</v>
      </c>
      <c r="F6" s="2">
        <f t="shared" ref="F6:F39" si="6">G5</f>
        <v>955450.07</v>
      </c>
      <c r="G6" s="2">
        <f t="shared" ref="G6:G59" si="7">F6-D6</f>
        <v>932948.24</v>
      </c>
      <c r="H6" s="14">
        <f t="shared" si="1"/>
        <v>12172.172124657533</v>
      </c>
      <c r="I6" s="16">
        <f t="shared" si="2"/>
        <v>2.1246575324767036E-3</v>
      </c>
    </row>
    <row r="7" spans="1:10" x14ac:dyDescent="0.25">
      <c r="A7" s="54">
        <v>41978</v>
      </c>
      <c r="B7" s="1">
        <f t="shared" si="3"/>
        <v>30</v>
      </c>
      <c r="C7" s="4">
        <f t="shared" si="4"/>
        <v>34674</v>
      </c>
      <c r="D7" s="2">
        <f t="shared" si="0"/>
        <v>23171.9</v>
      </c>
      <c r="E7" s="19">
        <f t="shared" si="5"/>
        <v>11502.1</v>
      </c>
      <c r="F7" s="2">
        <f t="shared" si="6"/>
        <v>932948.24</v>
      </c>
      <c r="G7" s="2">
        <f t="shared" si="7"/>
        <v>909776.34</v>
      </c>
      <c r="H7" s="14">
        <f t="shared" si="1"/>
        <v>11502.101589041096</v>
      </c>
      <c r="I7" s="16">
        <f t="shared" si="2"/>
        <v>1.5890410959400469E-3</v>
      </c>
    </row>
    <row r="8" spans="1:10" x14ac:dyDescent="0.25">
      <c r="A8" s="54">
        <v>42009</v>
      </c>
      <c r="B8" s="1">
        <f t="shared" si="3"/>
        <v>31</v>
      </c>
      <c r="C8" s="4">
        <f t="shared" si="4"/>
        <v>34674</v>
      </c>
      <c r="D8" s="2">
        <f t="shared" si="0"/>
        <v>23083.7</v>
      </c>
      <c r="E8" s="19">
        <f t="shared" si="5"/>
        <v>11590.3</v>
      </c>
      <c r="F8" s="2">
        <f t="shared" si="6"/>
        <v>909776.34</v>
      </c>
      <c r="G8" s="2">
        <f t="shared" si="7"/>
        <v>886692.64</v>
      </c>
      <c r="H8" s="14">
        <f t="shared" si="1"/>
        <v>11590.301317808218</v>
      </c>
      <c r="I8" s="16">
        <f t="shared" si="2"/>
        <v>1.3178082190279383E-3</v>
      </c>
    </row>
    <row r="9" spans="1:10" x14ac:dyDescent="0.25">
      <c r="A9" s="54">
        <v>42040</v>
      </c>
      <c r="B9" s="1">
        <f t="shared" si="3"/>
        <v>31</v>
      </c>
      <c r="C9" s="4">
        <f t="shared" si="4"/>
        <v>34674</v>
      </c>
      <c r="D9" s="2">
        <f t="shared" si="0"/>
        <v>23377.78</v>
      </c>
      <c r="E9" s="19">
        <f t="shared" si="5"/>
        <v>11296.22</v>
      </c>
      <c r="F9" s="2">
        <f t="shared" si="6"/>
        <v>886692.64</v>
      </c>
      <c r="G9" s="2">
        <f t="shared" si="7"/>
        <v>863314.86</v>
      </c>
      <c r="H9" s="14">
        <f t="shared" si="1"/>
        <v>11296.221304109589</v>
      </c>
      <c r="I9" s="16">
        <f t="shared" si="2"/>
        <v>1.3041095899097854E-3</v>
      </c>
    </row>
    <row r="10" spans="1:10" x14ac:dyDescent="0.25">
      <c r="A10" s="54">
        <v>42068</v>
      </c>
      <c r="B10" s="1">
        <f t="shared" si="3"/>
        <v>28</v>
      </c>
      <c r="C10" s="4">
        <f t="shared" si="4"/>
        <v>34674</v>
      </c>
      <c r="D10" s="2">
        <f t="shared" si="0"/>
        <v>24739.97</v>
      </c>
      <c r="E10" s="19">
        <f t="shared" si="5"/>
        <v>9934.0300000000007</v>
      </c>
      <c r="F10" s="2">
        <f t="shared" si="6"/>
        <v>863314.86</v>
      </c>
      <c r="G10" s="2">
        <f t="shared" si="7"/>
        <v>838574.89</v>
      </c>
      <c r="H10" s="14">
        <f t="shared" si="1"/>
        <v>9934.0340054794506</v>
      </c>
      <c r="I10" s="16">
        <f t="shared" si="2"/>
        <v>4.0054794499155832E-3</v>
      </c>
    </row>
    <row r="11" spans="1:10" x14ac:dyDescent="0.25">
      <c r="A11" s="54">
        <v>42099</v>
      </c>
      <c r="B11" s="1">
        <f t="shared" si="3"/>
        <v>31</v>
      </c>
      <c r="C11" s="4">
        <f t="shared" si="4"/>
        <v>34674</v>
      </c>
      <c r="D11" s="2">
        <f t="shared" si="0"/>
        <v>23990.79</v>
      </c>
      <c r="E11" s="19">
        <f t="shared" si="5"/>
        <v>10683.21</v>
      </c>
      <c r="F11" s="2">
        <f t="shared" si="6"/>
        <v>838574.89</v>
      </c>
      <c r="G11" s="2">
        <f t="shared" si="7"/>
        <v>814584.1</v>
      </c>
      <c r="H11" s="14">
        <f t="shared" si="1"/>
        <v>10683.214352054794</v>
      </c>
      <c r="I11" s="16">
        <f t="shared" si="2"/>
        <v>4.3520547951629851E-3</v>
      </c>
    </row>
    <row r="12" spans="1:10" x14ac:dyDescent="0.25">
      <c r="A12" s="54">
        <v>42129</v>
      </c>
      <c r="B12" s="1">
        <f t="shared" si="3"/>
        <v>30</v>
      </c>
      <c r="C12" s="4">
        <f t="shared" si="4"/>
        <v>34674</v>
      </c>
      <c r="D12" s="2">
        <f t="shared" si="0"/>
        <v>24631.18</v>
      </c>
      <c r="E12" s="19">
        <f t="shared" si="5"/>
        <v>10042.82</v>
      </c>
      <c r="F12" s="2">
        <f t="shared" si="6"/>
        <v>814584.1</v>
      </c>
      <c r="G12" s="2">
        <f t="shared" si="7"/>
        <v>789952.91999999993</v>
      </c>
      <c r="H12" s="14">
        <f t="shared" si="1"/>
        <v>10042.817671232877</v>
      </c>
      <c r="I12" s="16">
        <f t="shared" si="2"/>
        <v>-2.3287671228899853E-3</v>
      </c>
    </row>
    <row r="13" spans="1:10" x14ac:dyDescent="0.25">
      <c r="A13" s="54">
        <v>42160</v>
      </c>
      <c r="B13" s="1">
        <f t="shared" si="3"/>
        <v>31</v>
      </c>
      <c r="C13" s="4">
        <f t="shared" si="4"/>
        <v>34674</v>
      </c>
      <c r="D13" s="2">
        <f t="shared" si="0"/>
        <v>24610.22</v>
      </c>
      <c r="E13" s="19">
        <f t="shared" si="5"/>
        <v>10063.780000000001</v>
      </c>
      <c r="F13" s="2">
        <f t="shared" si="6"/>
        <v>789952.91999999993</v>
      </c>
      <c r="G13" s="2">
        <f t="shared" si="7"/>
        <v>765342.7</v>
      </c>
      <c r="H13" s="14">
        <f t="shared" si="1"/>
        <v>10063.783775342465</v>
      </c>
      <c r="I13" s="16">
        <f t="shared" si="2"/>
        <v>3.7753424639959121E-3</v>
      </c>
    </row>
    <row r="14" spans="1:10" x14ac:dyDescent="0.25">
      <c r="A14" s="54">
        <v>42190</v>
      </c>
      <c r="B14" s="1">
        <f t="shared" si="3"/>
        <v>30</v>
      </c>
      <c r="C14" s="4">
        <f t="shared" si="4"/>
        <v>34674</v>
      </c>
      <c r="D14" s="2">
        <f t="shared" si="0"/>
        <v>25238.27</v>
      </c>
      <c r="E14" s="19">
        <f t="shared" si="5"/>
        <v>9435.73</v>
      </c>
      <c r="F14" s="2">
        <f t="shared" si="6"/>
        <v>765342.7</v>
      </c>
      <c r="G14" s="2">
        <f t="shared" si="7"/>
        <v>740104.42999999993</v>
      </c>
      <c r="H14" s="14">
        <f t="shared" si="1"/>
        <v>9435.731917808218</v>
      </c>
      <c r="I14" s="16">
        <f t="shared" si="2"/>
        <v>1.9178082184225786E-3</v>
      </c>
    </row>
    <row r="15" spans="1:10" x14ac:dyDescent="0.25">
      <c r="A15" s="54">
        <v>42221</v>
      </c>
      <c r="B15" s="1">
        <f t="shared" si="3"/>
        <v>31</v>
      </c>
      <c r="C15" s="4">
        <f t="shared" si="4"/>
        <v>34674</v>
      </c>
      <c r="D15" s="2">
        <f t="shared" si="0"/>
        <v>25245.27</v>
      </c>
      <c r="E15" s="19">
        <f t="shared" si="5"/>
        <v>9428.73</v>
      </c>
      <c r="F15" s="2">
        <f t="shared" si="6"/>
        <v>740104.42999999993</v>
      </c>
      <c r="G15" s="2">
        <f t="shared" si="7"/>
        <v>714859.15999999992</v>
      </c>
      <c r="H15" s="14">
        <f t="shared" si="1"/>
        <v>9428.7276698630121</v>
      </c>
      <c r="I15" s="16">
        <f t="shared" si="2"/>
        <v>-2.3301369874388911E-3</v>
      </c>
    </row>
    <row r="16" spans="1:10" x14ac:dyDescent="0.25">
      <c r="A16" s="54">
        <v>42252</v>
      </c>
      <c r="B16" s="1">
        <f t="shared" si="3"/>
        <v>31</v>
      </c>
      <c r="C16" s="4">
        <f t="shared" si="4"/>
        <v>34674</v>
      </c>
      <c r="D16" s="2">
        <f t="shared" si="0"/>
        <v>25566.89</v>
      </c>
      <c r="E16" s="19">
        <f t="shared" si="5"/>
        <v>9107.11</v>
      </c>
      <c r="F16" s="2">
        <f t="shared" si="6"/>
        <v>714859.15999999992</v>
      </c>
      <c r="G16" s="2">
        <f t="shared" si="7"/>
        <v>689292.2699999999</v>
      </c>
      <c r="H16" s="14">
        <f t="shared" si="1"/>
        <v>9107.1098465753421</v>
      </c>
      <c r="I16" s="16">
        <f t="shared" si="2"/>
        <v>-1.5342465849244036E-4</v>
      </c>
    </row>
    <row r="17" spans="1:9" x14ac:dyDescent="0.25">
      <c r="A17" s="54">
        <v>42282</v>
      </c>
      <c r="B17" s="1">
        <f t="shared" si="3"/>
        <v>30</v>
      </c>
      <c r="C17" s="4">
        <f t="shared" si="4"/>
        <v>34674</v>
      </c>
      <c r="D17" s="2">
        <f t="shared" si="0"/>
        <v>26175.879999999997</v>
      </c>
      <c r="E17" s="19">
        <f t="shared" si="5"/>
        <v>8498.1200000000008</v>
      </c>
      <c r="F17" s="2">
        <f t="shared" si="6"/>
        <v>689292.2699999999</v>
      </c>
      <c r="G17" s="2">
        <f t="shared" si="7"/>
        <v>663116.3899999999</v>
      </c>
      <c r="H17" s="14">
        <f t="shared" si="1"/>
        <v>8498.1238767123268</v>
      </c>
      <c r="I17" s="16">
        <f t="shared" si="2"/>
        <v>3.8767123260186054E-3</v>
      </c>
    </row>
    <row r="18" spans="1:9" x14ac:dyDescent="0.25">
      <c r="A18" s="54">
        <v>42313</v>
      </c>
      <c r="B18" s="1">
        <f t="shared" si="3"/>
        <v>31</v>
      </c>
      <c r="C18" s="4">
        <f t="shared" si="4"/>
        <v>34674</v>
      </c>
      <c r="D18" s="2">
        <f t="shared" si="0"/>
        <v>26226.080000000002</v>
      </c>
      <c r="E18" s="19">
        <f t="shared" si="5"/>
        <v>8447.92</v>
      </c>
      <c r="F18" s="2">
        <f t="shared" si="6"/>
        <v>663116.3899999999</v>
      </c>
      <c r="G18" s="2">
        <f t="shared" si="7"/>
        <v>636890.30999999994</v>
      </c>
      <c r="H18" s="14">
        <f t="shared" si="1"/>
        <v>8447.9211328767105</v>
      </c>
      <c r="I18" s="16">
        <f t="shared" si="2"/>
        <v>1.1328767104714643E-3</v>
      </c>
    </row>
    <row r="19" spans="1:9" x14ac:dyDescent="0.25">
      <c r="A19" s="54">
        <v>42343</v>
      </c>
      <c r="B19" s="1">
        <f t="shared" si="3"/>
        <v>30</v>
      </c>
      <c r="C19" s="4">
        <f t="shared" si="4"/>
        <v>34674</v>
      </c>
      <c r="D19" s="2">
        <f t="shared" si="0"/>
        <v>26821.93</v>
      </c>
      <c r="E19" s="19">
        <f t="shared" si="5"/>
        <v>7852.07</v>
      </c>
      <c r="F19" s="2">
        <f t="shared" si="6"/>
        <v>636890.30999999994</v>
      </c>
      <c r="G19" s="2">
        <f t="shared" si="7"/>
        <v>610068.37999999989</v>
      </c>
      <c r="H19" s="14">
        <f t="shared" si="1"/>
        <v>7852.0723150684917</v>
      </c>
      <c r="I19" s="16">
        <f t="shared" si="2"/>
        <v>2.315068491952843E-3</v>
      </c>
    </row>
    <row r="20" spans="1:9" x14ac:dyDescent="0.25">
      <c r="A20" s="54">
        <v>42374</v>
      </c>
      <c r="B20" s="1">
        <f t="shared" si="3"/>
        <v>31</v>
      </c>
      <c r="C20" s="4">
        <f t="shared" si="4"/>
        <v>34674</v>
      </c>
      <c r="D20" s="2">
        <f t="shared" si="0"/>
        <v>26901.9</v>
      </c>
      <c r="E20" s="19">
        <f t="shared" si="5"/>
        <v>7772.1</v>
      </c>
      <c r="F20" s="2">
        <f t="shared" si="6"/>
        <v>610068.37999999989</v>
      </c>
      <c r="G20" s="2">
        <f t="shared" si="7"/>
        <v>583166.47999999986</v>
      </c>
      <c r="H20" s="14">
        <f t="shared" si="1"/>
        <v>7772.1040191780803</v>
      </c>
      <c r="I20" s="16">
        <f t="shared" si="2"/>
        <v>4.0191780799432308E-3</v>
      </c>
    </row>
    <row r="21" spans="1:9" x14ac:dyDescent="0.25">
      <c r="A21" s="54">
        <v>42405</v>
      </c>
      <c r="B21" s="1">
        <f t="shared" si="3"/>
        <v>31</v>
      </c>
      <c r="C21" s="4">
        <f t="shared" si="4"/>
        <v>34674</v>
      </c>
      <c r="D21" s="2">
        <f t="shared" si="0"/>
        <v>27244.62</v>
      </c>
      <c r="E21" s="19">
        <f t="shared" si="5"/>
        <v>7429.38</v>
      </c>
      <c r="F21" s="2">
        <f t="shared" si="6"/>
        <v>583166.47999999986</v>
      </c>
      <c r="G21" s="2">
        <f t="shared" si="7"/>
        <v>555921.85999999987</v>
      </c>
      <c r="H21" s="14">
        <f t="shared" si="1"/>
        <v>7429.3811835616416</v>
      </c>
      <c r="I21" s="16">
        <f t="shared" si="2"/>
        <v>1.183561641482811E-3</v>
      </c>
    </row>
    <row r="22" spans="1:9" x14ac:dyDescent="0.25">
      <c r="A22" s="54">
        <v>42434</v>
      </c>
      <c r="B22" s="1">
        <f t="shared" si="3"/>
        <v>29</v>
      </c>
      <c r="C22" s="4">
        <f t="shared" si="4"/>
        <v>34674</v>
      </c>
      <c r="D22" s="2">
        <f t="shared" si="0"/>
        <v>28048.63</v>
      </c>
      <c r="E22" s="19">
        <f t="shared" si="5"/>
        <v>6625.37</v>
      </c>
      <c r="F22" s="2">
        <f t="shared" si="6"/>
        <v>555921.85999999987</v>
      </c>
      <c r="G22" s="2">
        <f t="shared" si="7"/>
        <v>527873.22999999986</v>
      </c>
      <c r="H22" s="14">
        <f t="shared" si="1"/>
        <v>6625.3701123287656</v>
      </c>
      <c r="I22" s="16">
        <f t="shared" si="2"/>
        <v>1.1232876568101346E-4</v>
      </c>
    </row>
    <row r="23" spans="1:9" x14ac:dyDescent="0.25">
      <c r="A23" s="54">
        <v>42465</v>
      </c>
      <c r="B23" s="1">
        <f t="shared" si="3"/>
        <v>31</v>
      </c>
      <c r="C23" s="4">
        <f t="shared" si="4"/>
        <v>34674</v>
      </c>
      <c r="D23" s="2">
        <f t="shared" si="0"/>
        <v>27949.040000000001</v>
      </c>
      <c r="E23" s="19">
        <f t="shared" si="5"/>
        <v>6724.96</v>
      </c>
      <c r="F23" s="2">
        <f t="shared" si="6"/>
        <v>527873.22999999986</v>
      </c>
      <c r="G23" s="2">
        <f t="shared" si="7"/>
        <v>499924.18999999989</v>
      </c>
      <c r="H23" s="14">
        <f t="shared" si="1"/>
        <v>6724.9603273972589</v>
      </c>
      <c r="I23" s="16">
        <f t="shared" si="2"/>
        <v>3.2739725884312065E-4</v>
      </c>
    </row>
    <row r="24" spans="1:9" x14ac:dyDescent="0.25">
      <c r="A24" s="54">
        <v>42495</v>
      </c>
      <c r="B24" s="1">
        <f t="shared" si="3"/>
        <v>30</v>
      </c>
      <c r="C24" s="4">
        <f t="shared" si="4"/>
        <v>34674</v>
      </c>
      <c r="D24" s="2">
        <f t="shared" si="0"/>
        <v>28510.55</v>
      </c>
      <c r="E24" s="19">
        <f t="shared" si="5"/>
        <v>6163.45</v>
      </c>
      <c r="F24" s="2">
        <f t="shared" si="6"/>
        <v>499924.18999999989</v>
      </c>
      <c r="G24" s="2">
        <f t="shared" si="7"/>
        <v>471413.6399999999</v>
      </c>
      <c r="H24" s="14">
        <f t="shared" si="1"/>
        <v>6163.4489178082176</v>
      </c>
      <c r="I24" s="16">
        <f t="shared" si="2"/>
        <v>-1.0821917821886018E-3</v>
      </c>
    </row>
    <row r="25" spans="1:9" x14ac:dyDescent="0.25">
      <c r="A25" s="54">
        <v>42526</v>
      </c>
      <c r="B25" s="1">
        <f t="shared" si="3"/>
        <v>31</v>
      </c>
      <c r="C25" s="4">
        <f t="shared" si="4"/>
        <v>34674</v>
      </c>
      <c r="D25" s="2">
        <f t="shared" si="0"/>
        <v>28668.32</v>
      </c>
      <c r="E25" s="19">
        <f t="shared" si="5"/>
        <v>6005.68</v>
      </c>
      <c r="F25" s="2">
        <f t="shared" si="6"/>
        <v>471413.6399999999</v>
      </c>
      <c r="G25" s="2">
        <f t="shared" si="7"/>
        <v>442745.31999999989</v>
      </c>
      <c r="H25" s="14">
        <f t="shared" si="1"/>
        <v>6005.6806191780806</v>
      </c>
      <c r="I25" s="16">
        <f t="shared" si="2"/>
        <v>6.1917808034195332E-4</v>
      </c>
    </row>
    <row r="26" spans="1:9" x14ac:dyDescent="0.25">
      <c r="A26" s="54">
        <v>42556</v>
      </c>
      <c r="B26" s="1">
        <f t="shared" si="3"/>
        <v>30</v>
      </c>
      <c r="C26" s="4">
        <f t="shared" si="4"/>
        <v>34674</v>
      </c>
      <c r="D26" s="2">
        <f t="shared" si="0"/>
        <v>29215.5</v>
      </c>
      <c r="E26" s="19">
        <f t="shared" si="5"/>
        <v>5458.5</v>
      </c>
      <c r="F26" s="2">
        <f t="shared" si="6"/>
        <v>442745.31999999989</v>
      </c>
      <c r="G26" s="2">
        <f t="shared" si="7"/>
        <v>413529.81999999989</v>
      </c>
      <c r="H26" s="14">
        <f t="shared" si="1"/>
        <v>5458.503945205478</v>
      </c>
      <c r="I26" s="16">
        <f t="shared" si="2"/>
        <v>3.9452054779758328E-3</v>
      </c>
    </row>
    <row r="27" spans="1:9" x14ac:dyDescent="0.25">
      <c r="A27" s="54">
        <v>42587</v>
      </c>
      <c r="B27" s="1">
        <f t="shared" si="3"/>
        <v>31</v>
      </c>
      <c r="C27" s="4">
        <f t="shared" si="4"/>
        <v>34674</v>
      </c>
      <c r="D27" s="2">
        <f t="shared" si="0"/>
        <v>29405.739999999998</v>
      </c>
      <c r="E27" s="19">
        <f t="shared" si="5"/>
        <v>5268.26</v>
      </c>
      <c r="F27" s="2">
        <f t="shared" si="6"/>
        <v>413529.81999999989</v>
      </c>
      <c r="G27" s="2">
        <f t="shared" si="7"/>
        <v>384124.0799999999</v>
      </c>
      <c r="H27" s="14">
        <f t="shared" si="1"/>
        <v>5268.2566109589025</v>
      </c>
      <c r="I27" s="16">
        <f t="shared" si="2"/>
        <v>-3.3890410977619467E-3</v>
      </c>
    </row>
    <row r="28" spans="1:9" x14ac:dyDescent="0.25">
      <c r="A28" s="54">
        <v>42618</v>
      </c>
      <c r="B28" s="1">
        <f t="shared" si="3"/>
        <v>31</v>
      </c>
      <c r="C28" s="4">
        <f t="shared" si="4"/>
        <v>34674</v>
      </c>
      <c r="D28" s="2">
        <f t="shared" si="0"/>
        <v>29780.36</v>
      </c>
      <c r="E28" s="19">
        <f t="shared" si="5"/>
        <v>4893.6400000000003</v>
      </c>
      <c r="F28" s="2">
        <f t="shared" si="6"/>
        <v>384124.0799999999</v>
      </c>
      <c r="G28" s="2">
        <f t="shared" si="7"/>
        <v>354343.71999999991</v>
      </c>
      <c r="H28" s="14">
        <f t="shared" si="1"/>
        <v>4893.6355397260259</v>
      </c>
      <c r="I28" s="16">
        <f t="shared" si="2"/>
        <v>-4.4602739744732389E-3</v>
      </c>
    </row>
    <row r="29" spans="1:9" x14ac:dyDescent="0.25">
      <c r="A29" s="54">
        <v>42648</v>
      </c>
      <c r="B29" s="1">
        <f t="shared" si="3"/>
        <v>30</v>
      </c>
      <c r="C29" s="4">
        <f t="shared" si="4"/>
        <v>34674</v>
      </c>
      <c r="D29" s="2">
        <f t="shared" si="0"/>
        <v>30305.38</v>
      </c>
      <c r="E29" s="19">
        <f t="shared" si="5"/>
        <v>4368.62</v>
      </c>
      <c r="F29" s="2">
        <f t="shared" si="6"/>
        <v>354343.71999999991</v>
      </c>
      <c r="G29" s="2">
        <f t="shared" si="7"/>
        <v>324038.33999999991</v>
      </c>
      <c r="H29" s="14">
        <f t="shared" si="1"/>
        <v>4368.6212054794505</v>
      </c>
      <c r="I29" s="16">
        <f t="shared" si="2"/>
        <v>1.2054794506184408E-3</v>
      </c>
    </row>
    <row r="30" spans="1:9" x14ac:dyDescent="0.25">
      <c r="A30" s="54">
        <v>42679</v>
      </c>
      <c r="B30" s="1">
        <f t="shared" si="3"/>
        <v>31</v>
      </c>
      <c r="C30" s="4">
        <f t="shared" si="4"/>
        <v>34674</v>
      </c>
      <c r="D30" s="2">
        <f t="shared" si="0"/>
        <v>30545.84</v>
      </c>
      <c r="E30" s="19">
        <f t="shared" si="5"/>
        <v>4128.16</v>
      </c>
      <c r="F30" s="2">
        <f t="shared" si="6"/>
        <v>324038.33999999991</v>
      </c>
      <c r="G30" s="2">
        <f t="shared" si="7"/>
        <v>293492.49999999988</v>
      </c>
      <c r="H30" s="14">
        <f t="shared" si="1"/>
        <v>4128.159673972601</v>
      </c>
      <c r="I30" s="16">
        <f t="shared" si="2"/>
        <v>-3.2602739884168841E-4</v>
      </c>
    </row>
    <row r="31" spans="1:9" x14ac:dyDescent="0.25">
      <c r="A31" s="54">
        <v>42709</v>
      </c>
      <c r="B31" s="1">
        <f t="shared" si="3"/>
        <v>30</v>
      </c>
      <c r="C31" s="4">
        <f t="shared" si="4"/>
        <v>34674</v>
      </c>
      <c r="D31" s="2">
        <f t="shared" si="0"/>
        <v>31055.599999999999</v>
      </c>
      <c r="E31" s="19">
        <f t="shared" si="5"/>
        <v>3618.4</v>
      </c>
      <c r="F31" s="2">
        <f t="shared" si="6"/>
        <v>293492.49999999988</v>
      </c>
      <c r="G31" s="2">
        <f t="shared" si="7"/>
        <v>262436.89999999991</v>
      </c>
      <c r="H31" s="14">
        <f t="shared" si="1"/>
        <v>3618.4006849315051</v>
      </c>
      <c r="I31" s="16">
        <f t="shared" si="2"/>
        <v>6.849315050203586E-4</v>
      </c>
    </row>
    <row r="32" spans="1:9" x14ac:dyDescent="0.25">
      <c r="A32" s="54">
        <v>42740</v>
      </c>
      <c r="B32" s="1">
        <f t="shared" si="3"/>
        <v>31</v>
      </c>
      <c r="C32" s="4">
        <f t="shared" si="4"/>
        <v>34674</v>
      </c>
      <c r="D32" s="2">
        <f t="shared" si="0"/>
        <v>31330.63</v>
      </c>
      <c r="E32" s="19">
        <f t="shared" si="5"/>
        <v>3343.37</v>
      </c>
      <c r="F32" s="2">
        <f t="shared" si="6"/>
        <v>262436.89999999991</v>
      </c>
      <c r="G32" s="2">
        <f t="shared" si="7"/>
        <v>231106.2699999999</v>
      </c>
      <c r="H32" s="14">
        <f t="shared" si="1"/>
        <v>3343.3742054794507</v>
      </c>
      <c r="I32" s="16">
        <f t="shared" si="2"/>
        <v>4.2054794507748738E-3</v>
      </c>
    </row>
    <row r="33" spans="1:9" x14ac:dyDescent="0.25">
      <c r="A33" s="54">
        <v>42771</v>
      </c>
      <c r="B33" s="1">
        <f t="shared" si="3"/>
        <v>31</v>
      </c>
      <c r="C33" s="4">
        <f t="shared" si="4"/>
        <v>34674</v>
      </c>
      <c r="D33" s="2">
        <f t="shared" si="0"/>
        <v>31729.77</v>
      </c>
      <c r="E33" s="19">
        <f t="shared" si="5"/>
        <v>2944.23</v>
      </c>
      <c r="F33" s="2">
        <f t="shared" si="6"/>
        <v>231106.2699999999</v>
      </c>
      <c r="G33" s="2">
        <f t="shared" si="7"/>
        <v>199376.49999999991</v>
      </c>
      <c r="H33" s="14">
        <f t="shared" si="1"/>
        <v>2944.2305630136971</v>
      </c>
      <c r="I33" s="16">
        <f t="shared" si="2"/>
        <v>5.6301369704669924E-4</v>
      </c>
    </row>
    <row r="34" spans="1:9" x14ac:dyDescent="0.25">
      <c r="A34" s="54">
        <v>42799</v>
      </c>
      <c r="B34" s="1">
        <f t="shared" si="3"/>
        <v>28</v>
      </c>
      <c r="C34" s="4">
        <f t="shared" si="4"/>
        <v>34674</v>
      </c>
      <c r="D34" s="2">
        <f t="shared" si="0"/>
        <v>32379.8</v>
      </c>
      <c r="E34" s="19">
        <f t="shared" si="5"/>
        <v>2294.1999999999998</v>
      </c>
      <c r="F34" s="2">
        <f t="shared" si="6"/>
        <v>199376.49999999991</v>
      </c>
      <c r="G34" s="2">
        <f t="shared" si="7"/>
        <v>166996.69999999992</v>
      </c>
      <c r="H34" s="14"/>
      <c r="I34" s="16"/>
    </row>
    <row r="35" spans="1:9" x14ac:dyDescent="0.25">
      <c r="A35" s="54">
        <v>42830</v>
      </c>
      <c r="B35" s="1">
        <f t="shared" si="3"/>
        <v>31</v>
      </c>
      <c r="C35" s="4">
        <f t="shared" si="4"/>
        <v>34674</v>
      </c>
      <c r="D35" s="2">
        <f t="shared" si="0"/>
        <v>32546.510000000002</v>
      </c>
      <c r="E35" s="19">
        <f t="shared" si="5"/>
        <v>2127.4899999999998</v>
      </c>
      <c r="F35" s="2">
        <f t="shared" si="6"/>
        <v>166996.69999999992</v>
      </c>
      <c r="G35" s="2">
        <f t="shared" si="7"/>
        <v>134450.18999999992</v>
      </c>
      <c r="H35" s="14"/>
      <c r="I35" s="16"/>
    </row>
    <row r="36" spans="1:9" x14ac:dyDescent="0.25">
      <c r="A36" s="54">
        <v>42860</v>
      </c>
      <c r="B36" s="1">
        <f t="shared" si="3"/>
        <v>30</v>
      </c>
      <c r="C36" s="4">
        <f t="shared" si="4"/>
        <v>34674</v>
      </c>
      <c r="D36" s="2">
        <f t="shared" si="0"/>
        <v>33016.39</v>
      </c>
      <c r="E36" s="19">
        <f t="shared" si="5"/>
        <v>1657.61</v>
      </c>
      <c r="F36" s="2">
        <f t="shared" si="6"/>
        <v>134450.18999999992</v>
      </c>
      <c r="G36" s="2">
        <f t="shared" si="7"/>
        <v>101433.79999999992</v>
      </c>
      <c r="H36" s="14"/>
      <c r="I36" s="16"/>
    </row>
    <row r="37" spans="1:9" x14ac:dyDescent="0.25">
      <c r="A37" s="54">
        <v>42891</v>
      </c>
      <c r="B37" s="1">
        <f t="shared" si="3"/>
        <v>31</v>
      </c>
      <c r="C37" s="4">
        <f t="shared" si="4"/>
        <v>34674</v>
      </c>
      <c r="D37" s="2">
        <f t="shared" si="0"/>
        <v>33381.760000000002</v>
      </c>
      <c r="E37" s="19">
        <f t="shared" si="5"/>
        <v>1292.24</v>
      </c>
      <c r="F37" s="2">
        <f t="shared" si="6"/>
        <v>101433.79999999992</v>
      </c>
      <c r="G37" s="2">
        <f t="shared" si="7"/>
        <v>68052.039999999921</v>
      </c>
      <c r="H37" s="14"/>
      <c r="I37" s="16"/>
    </row>
    <row r="38" spans="1:9" x14ac:dyDescent="0.25">
      <c r="A38" s="54">
        <v>42921</v>
      </c>
      <c r="B38" s="1">
        <f t="shared" si="3"/>
        <v>30</v>
      </c>
      <c r="C38" s="4">
        <f t="shared" si="4"/>
        <v>34674</v>
      </c>
      <c r="D38" s="2">
        <f t="shared" si="0"/>
        <v>33835</v>
      </c>
      <c r="E38" s="19">
        <f t="shared" si="5"/>
        <v>839</v>
      </c>
      <c r="F38" s="2">
        <f t="shared" si="6"/>
        <v>68052.039999999921</v>
      </c>
      <c r="G38" s="2">
        <f t="shared" si="7"/>
        <v>34217.039999999921</v>
      </c>
      <c r="H38" s="14"/>
      <c r="I38" s="16"/>
    </row>
    <row r="39" spans="1:9" x14ac:dyDescent="0.25">
      <c r="A39" s="54">
        <v>42952</v>
      </c>
      <c r="B39" s="1">
        <f t="shared" si="3"/>
        <v>31</v>
      </c>
      <c r="C39" s="4">
        <f t="shared" si="4"/>
        <v>34674</v>
      </c>
      <c r="D39" s="2">
        <f t="shared" si="0"/>
        <v>34217.039999999921</v>
      </c>
      <c r="E39" s="19">
        <v>456.96000000008092</v>
      </c>
      <c r="F39" s="2">
        <f t="shared" si="6"/>
        <v>34217.039999999921</v>
      </c>
      <c r="G39" s="2">
        <f t="shared" si="7"/>
        <v>0</v>
      </c>
      <c r="H39" s="14"/>
      <c r="I39" s="16"/>
    </row>
    <row r="40" spans="1:9" x14ac:dyDescent="0.25">
      <c r="A40" s="56">
        <v>42374</v>
      </c>
      <c r="B40" s="1">
        <f>_xlfn.DAYS(A20,A19)</f>
        <v>31</v>
      </c>
      <c r="C40" s="4">
        <f t="shared" si="4"/>
        <v>34674</v>
      </c>
      <c r="D40" s="2">
        <f>C20-E20</f>
        <v>26901.9</v>
      </c>
      <c r="E40" s="19">
        <f>ROUND(F20*$B$2*B20/365,2)</f>
        <v>7772.1</v>
      </c>
      <c r="F40" s="2">
        <f>G19</f>
        <v>610068.37999999989</v>
      </c>
      <c r="G40" s="2">
        <f>F20-D20</f>
        <v>583166.47999999986</v>
      </c>
      <c r="H40" s="14"/>
      <c r="I40" s="16"/>
    </row>
    <row r="41" spans="1:9" x14ac:dyDescent="0.25">
      <c r="A41" s="56">
        <v>42405</v>
      </c>
      <c r="B41" s="1">
        <f t="shared" si="3"/>
        <v>31</v>
      </c>
      <c r="C41" s="4">
        <f t="shared" ref="C41:C59" si="8">$F$1</f>
        <v>33315</v>
      </c>
      <c r="D41" s="2">
        <f>C41-E41</f>
        <v>28362.080000000002</v>
      </c>
      <c r="E41" s="19">
        <f>ROUND(F21*$J$1*B21/365,2)</f>
        <v>4952.92</v>
      </c>
      <c r="F41" s="2">
        <f>G40</f>
        <v>583166.47999999986</v>
      </c>
      <c r="G41" s="2">
        <f t="shared" si="7"/>
        <v>554804.39999999991</v>
      </c>
      <c r="H41" s="14"/>
      <c r="I41" s="16"/>
    </row>
    <row r="42" spans="1:9" x14ac:dyDescent="0.25">
      <c r="A42" s="56">
        <v>42434</v>
      </c>
      <c r="B42" s="1">
        <f t="shared" si="3"/>
        <v>29</v>
      </c>
      <c r="C42" s="4">
        <f t="shared" si="8"/>
        <v>33315</v>
      </c>
      <c r="D42" s="2">
        <f t="shared" si="0"/>
        <v>28906.97</v>
      </c>
      <c r="E42" s="19">
        <f t="shared" ref="E42:E58" si="9">ROUND(F42*$J$1*B42/365,2)</f>
        <v>4408.03</v>
      </c>
      <c r="F42" s="2">
        <f>G41</f>
        <v>554804.39999999991</v>
      </c>
      <c r="G42" s="2">
        <f t="shared" si="7"/>
        <v>525897.42999999993</v>
      </c>
      <c r="H42" s="14"/>
      <c r="I42" s="16"/>
    </row>
    <row r="43" spans="1:9" x14ac:dyDescent="0.25">
      <c r="A43" s="56">
        <v>42465</v>
      </c>
      <c r="B43" s="1">
        <f t="shared" si="3"/>
        <v>31</v>
      </c>
      <c r="C43" s="4">
        <f t="shared" si="8"/>
        <v>33315</v>
      </c>
      <c r="D43" s="2">
        <f t="shared" si="0"/>
        <v>28848.47</v>
      </c>
      <c r="E43" s="19">
        <f t="shared" si="9"/>
        <v>4466.53</v>
      </c>
      <c r="F43" s="2">
        <f t="shared" ref="F43:F59" si="10">G42</f>
        <v>525897.42999999993</v>
      </c>
      <c r="G43" s="2">
        <f t="shared" si="7"/>
        <v>497048.95999999996</v>
      </c>
      <c r="H43" s="14"/>
      <c r="I43" s="16"/>
    </row>
    <row r="44" spans="1:9" x14ac:dyDescent="0.25">
      <c r="A44" s="56">
        <v>42495</v>
      </c>
      <c r="B44" s="1">
        <f t="shared" si="3"/>
        <v>30</v>
      </c>
      <c r="C44" s="4">
        <f t="shared" si="8"/>
        <v>33315</v>
      </c>
      <c r="D44" s="2">
        <f t="shared" si="0"/>
        <v>29229.67</v>
      </c>
      <c r="E44" s="19">
        <f t="shared" si="9"/>
        <v>4085.33</v>
      </c>
      <c r="F44" s="2">
        <f t="shared" si="10"/>
        <v>497048.95999999996</v>
      </c>
      <c r="G44" s="2">
        <f t="shared" si="7"/>
        <v>467819.29</v>
      </c>
      <c r="H44" s="14"/>
      <c r="I44" s="16"/>
    </row>
    <row r="45" spans="1:9" x14ac:dyDescent="0.25">
      <c r="A45" s="56">
        <v>42526</v>
      </c>
      <c r="B45" s="1">
        <f t="shared" si="3"/>
        <v>31</v>
      </c>
      <c r="C45" s="4">
        <f t="shared" si="8"/>
        <v>33315</v>
      </c>
      <c r="D45" s="2">
        <f t="shared" si="0"/>
        <v>29341.739999999998</v>
      </c>
      <c r="E45" s="19">
        <f t="shared" si="9"/>
        <v>3973.26</v>
      </c>
      <c r="F45" s="2">
        <f t="shared" si="10"/>
        <v>467819.29</v>
      </c>
      <c r="G45" s="2">
        <f t="shared" si="7"/>
        <v>438477.55</v>
      </c>
      <c r="H45" s="14"/>
      <c r="I45" s="16"/>
    </row>
    <row r="46" spans="1:9" x14ac:dyDescent="0.25">
      <c r="A46" s="56">
        <v>42556</v>
      </c>
      <c r="B46" s="1">
        <f t="shared" si="3"/>
        <v>30</v>
      </c>
      <c r="C46" s="4">
        <f t="shared" si="8"/>
        <v>33315</v>
      </c>
      <c r="D46" s="2">
        <f t="shared" si="0"/>
        <v>29711.07</v>
      </c>
      <c r="E46" s="19">
        <f t="shared" si="9"/>
        <v>3603.93</v>
      </c>
      <c r="F46" s="2">
        <f t="shared" si="10"/>
        <v>438477.55</v>
      </c>
      <c r="G46" s="2">
        <f t="shared" si="7"/>
        <v>408766.48</v>
      </c>
      <c r="H46" s="14"/>
      <c r="I46" s="16"/>
    </row>
    <row r="47" spans="1:9" x14ac:dyDescent="0.25">
      <c r="A47" s="56">
        <v>42587</v>
      </c>
      <c r="B47" s="1">
        <f t="shared" si="3"/>
        <v>31</v>
      </c>
      <c r="C47" s="4">
        <f t="shared" si="8"/>
        <v>33315</v>
      </c>
      <c r="D47" s="2">
        <f t="shared" si="0"/>
        <v>29843.279999999999</v>
      </c>
      <c r="E47" s="19">
        <f t="shared" si="9"/>
        <v>3471.72</v>
      </c>
      <c r="F47" s="2">
        <f t="shared" si="10"/>
        <v>408766.48</v>
      </c>
      <c r="G47" s="2">
        <f t="shared" si="7"/>
        <v>378923.19999999995</v>
      </c>
      <c r="H47" s="14"/>
      <c r="I47" s="16"/>
    </row>
    <row r="48" spans="1:9" x14ac:dyDescent="0.25">
      <c r="A48" s="56">
        <v>42618</v>
      </c>
      <c r="B48" s="1">
        <f t="shared" si="3"/>
        <v>31</v>
      </c>
      <c r="C48" s="4">
        <f t="shared" si="8"/>
        <v>33315</v>
      </c>
      <c r="D48" s="2">
        <f t="shared" si="0"/>
        <v>30096.75</v>
      </c>
      <c r="E48" s="19">
        <f t="shared" si="9"/>
        <v>3218.25</v>
      </c>
      <c r="F48" s="2">
        <f t="shared" si="10"/>
        <v>378923.19999999995</v>
      </c>
      <c r="G48" s="2">
        <f t="shared" si="7"/>
        <v>348826.44999999995</v>
      </c>
    </row>
    <row r="49" spans="1:7" x14ac:dyDescent="0.25">
      <c r="A49" s="56">
        <v>42648</v>
      </c>
      <c r="B49" s="1">
        <f t="shared" si="3"/>
        <v>30</v>
      </c>
      <c r="C49" s="4">
        <f t="shared" si="8"/>
        <v>33315</v>
      </c>
      <c r="D49" s="2">
        <f t="shared" si="0"/>
        <v>30447.93</v>
      </c>
      <c r="E49" s="19">
        <f t="shared" si="9"/>
        <v>2867.07</v>
      </c>
      <c r="F49" s="2">
        <f t="shared" si="10"/>
        <v>348826.44999999995</v>
      </c>
      <c r="G49" s="2">
        <f t="shared" si="7"/>
        <v>318378.51999999996</v>
      </c>
    </row>
    <row r="50" spans="1:7" x14ac:dyDescent="0.25">
      <c r="A50" s="56">
        <v>42679</v>
      </c>
      <c r="B50" s="1">
        <f t="shared" si="3"/>
        <v>31</v>
      </c>
      <c r="C50" s="4">
        <f t="shared" si="8"/>
        <v>33315</v>
      </c>
      <c r="D50" s="2">
        <f t="shared" si="0"/>
        <v>30610.959999999999</v>
      </c>
      <c r="E50" s="19">
        <f t="shared" si="9"/>
        <v>2704.04</v>
      </c>
      <c r="F50" s="2">
        <f t="shared" si="10"/>
        <v>318378.51999999996</v>
      </c>
      <c r="G50" s="2">
        <f t="shared" si="7"/>
        <v>287767.55999999994</v>
      </c>
    </row>
    <row r="51" spans="1:7" x14ac:dyDescent="0.25">
      <c r="A51" s="56">
        <v>42709</v>
      </c>
      <c r="B51" s="1">
        <f t="shared" si="3"/>
        <v>30</v>
      </c>
      <c r="C51" s="4">
        <f t="shared" si="8"/>
        <v>33315</v>
      </c>
      <c r="D51" s="2">
        <f t="shared" si="0"/>
        <v>30949.79</v>
      </c>
      <c r="E51" s="19">
        <f t="shared" si="9"/>
        <v>2365.21</v>
      </c>
      <c r="F51" s="2">
        <f t="shared" si="10"/>
        <v>287767.55999999994</v>
      </c>
      <c r="G51" s="2">
        <f t="shared" si="7"/>
        <v>256817.76999999993</v>
      </c>
    </row>
    <row r="52" spans="1:7" x14ac:dyDescent="0.25">
      <c r="A52" s="56">
        <v>42740</v>
      </c>
      <c r="B52" s="1">
        <f t="shared" si="3"/>
        <v>31</v>
      </c>
      <c r="C52" s="4">
        <f t="shared" si="8"/>
        <v>33315</v>
      </c>
      <c r="D52" s="2">
        <f t="shared" si="0"/>
        <v>31133.81</v>
      </c>
      <c r="E52" s="19">
        <f t="shared" si="9"/>
        <v>2181.19</v>
      </c>
      <c r="F52" s="2">
        <f t="shared" si="10"/>
        <v>256817.76999999993</v>
      </c>
      <c r="G52" s="2">
        <f t="shared" si="7"/>
        <v>225683.95999999993</v>
      </c>
    </row>
    <row r="53" spans="1:7" x14ac:dyDescent="0.25">
      <c r="A53" s="56">
        <v>42771</v>
      </c>
      <c r="B53" s="1">
        <f t="shared" si="3"/>
        <v>31</v>
      </c>
      <c r="C53" s="4">
        <f t="shared" si="8"/>
        <v>33315</v>
      </c>
      <c r="D53" s="2">
        <f t="shared" si="0"/>
        <v>31398.23</v>
      </c>
      <c r="E53" s="19">
        <f t="shared" si="9"/>
        <v>1916.77</v>
      </c>
      <c r="F53" s="2">
        <f t="shared" si="10"/>
        <v>225683.95999999993</v>
      </c>
      <c r="G53" s="2">
        <f t="shared" si="7"/>
        <v>194285.72999999992</v>
      </c>
    </row>
    <row r="54" spans="1:7" x14ac:dyDescent="0.25">
      <c r="A54" s="56">
        <v>42799</v>
      </c>
      <c r="B54" s="1">
        <f t="shared" si="3"/>
        <v>28</v>
      </c>
      <c r="C54" s="4">
        <f t="shared" si="8"/>
        <v>33315</v>
      </c>
      <c r="D54" s="2">
        <f t="shared" si="0"/>
        <v>31824.59</v>
      </c>
      <c r="E54" s="19">
        <f t="shared" si="9"/>
        <v>1490.41</v>
      </c>
      <c r="F54" s="2">
        <f t="shared" si="10"/>
        <v>194285.72999999992</v>
      </c>
      <c r="G54" s="2">
        <f t="shared" si="7"/>
        <v>162461.13999999993</v>
      </c>
    </row>
    <row r="55" spans="1:7" x14ac:dyDescent="0.25">
      <c r="A55" s="56">
        <v>42830</v>
      </c>
      <c r="B55" s="1">
        <f t="shared" si="3"/>
        <v>31</v>
      </c>
      <c r="C55" s="4">
        <f t="shared" si="8"/>
        <v>33315</v>
      </c>
      <c r="D55" s="2">
        <f t="shared" si="0"/>
        <v>31935.19</v>
      </c>
      <c r="E55" s="19">
        <f t="shared" si="9"/>
        <v>1379.81</v>
      </c>
      <c r="F55" s="2">
        <f t="shared" si="10"/>
        <v>162461.13999999993</v>
      </c>
      <c r="G55" s="2">
        <f t="shared" si="7"/>
        <v>130525.94999999992</v>
      </c>
    </row>
    <row r="56" spans="1:7" x14ac:dyDescent="0.25">
      <c r="A56" s="56">
        <v>42860</v>
      </c>
      <c r="B56" s="1">
        <f t="shared" si="3"/>
        <v>30</v>
      </c>
      <c r="C56" s="4">
        <f t="shared" si="8"/>
        <v>33315</v>
      </c>
      <c r="D56" s="2">
        <f t="shared" si="0"/>
        <v>32242.18</v>
      </c>
      <c r="E56" s="19">
        <f t="shared" si="9"/>
        <v>1072.82</v>
      </c>
      <c r="F56" s="2">
        <f t="shared" si="10"/>
        <v>130525.94999999992</v>
      </c>
      <c r="G56" s="2">
        <f t="shared" si="7"/>
        <v>98283.769999999931</v>
      </c>
    </row>
    <row r="57" spans="1:7" x14ac:dyDescent="0.25">
      <c r="A57" s="56">
        <v>42891</v>
      </c>
      <c r="B57" s="1">
        <f t="shared" si="3"/>
        <v>31</v>
      </c>
      <c r="C57" s="4">
        <f t="shared" si="8"/>
        <v>33315</v>
      </c>
      <c r="D57" s="2">
        <f t="shared" si="0"/>
        <v>32480.26</v>
      </c>
      <c r="E57" s="19">
        <f t="shared" si="9"/>
        <v>834.74</v>
      </c>
      <c r="F57" s="2">
        <f t="shared" si="10"/>
        <v>98283.769999999931</v>
      </c>
      <c r="G57" s="2">
        <f t="shared" si="7"/>
        <v>65803.509999999937</v>
      </c>
    </row>
    <row r="58" spans="1:7" x14ac:dyDescent="0.25">
      <c r="A58" s="56">
        <v>42921</v>
      </c>
      <c r="B58" s="1">
        <f t="shared" si="3"/>
        <v>30</v>
      </c>
      <c r="C58" s="4">
        <f t="shared" si="8"/>
        <v>33315</v>
      </c>
      <c r="D58" s="2">
        <f t="shared" si="0"/>
        <v>32774.15</v>
      </c>
      <c r="E58" s="19">
        <f t="shared" si="9"/>
        <v>540.85</v>
      </c>
      <c r="F58" s="2">
        <f t="shared" si="10"/>
        <v>65803.509999999937</v>
      </c>
      <c r="G58" s="2">
        <f t="shared" si="7"/>
        <v>33029.359999999935</v>
      </c>
    </row>
    <row r="59" spans="1:7" x14ac:dyDescent="0.25">
      <c r="A59" s="56">
        <v>42952</v>
      </c>
      <c r="B59" s="1">
        <f t="shared" si="3"/>
        <v>31</v>
      </c>
      <c r="C59" s="4">
        <f t="shared" si="8"/>
        <v>33315</v>
      </c>
      <c r="D59" s="2">
        <f t="shared" si="0"/>
        <v>33029.359999999935</v>
      </c>
      <c r="E59" s="19">
        <v>285.64000000006581</v>
      </c>
      <c r="F59" s="2">
        <f t="shared" si="10"/>
        <v>33029.359999999935</v>
      </c>
      <c r="G59" s="2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800435-5BBC-4399-B179-2850CDD2F6B6}">
  <dimension ref="A1:J59"/>
  <sheetViews>
    <sheetView zoomScale="84" zoomScaleNormal="100" workbookViewId="0">
      <pane ySplit="3" topLeftCell="A41" activePane="bottomLeft" state="frozen"/>
      <selection activeCell="R3" sqref="R3"/>
      <selection pane="bottomLeft" activeCell="R3" sqref="R3"/>
    </sheetView>
  </sheetViews>
  <sheetFormatPr defaultRowHeight="15" x14ac:dyDescent="0.25"/>
  <cols>
    <col min="1" max="1" width="15.7109375" bestFit="1" customWidth="1"/>
    <col min="2" max="2" width="13" bestFit="1" customWidth="1"/>
    <col min="3" max="3" width="25" bestFit="1" customWidth="1"/>
    <col min="4" max="4" width="13" bestFit="1" customWidth="1"/>
    <col min="5" max="5" width="24.85546875" bestFit="1" customWidth="1"/>
    <col min="6" max="6" width="15.85546875" bestFit="1" customWidth="1"/>
    <col min="7" max="7" width="18.85546875" bestFit="1" customWidth="1"/>
    <col min="8" max="8" width="15.7109375" bestFit="1" customWidth="1"/>
    <col min="9" max="9" width="21.85546875" bestFit="1" customWidth="1"/>
    <col min="10" max="10" width="11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ROUNDUP(34665.3285041941,0)</f>
        <v>34666</v>
      </c>
      <c r="E1" s="25" t="s">
        <v>51</v>
      </c>
      <c r="F1" s="37">
        <f>ROUNDUP(33306.8154134701,0)</f>
        <v>33307</v>
      </c>
      <c r="G1" s="28" t="s">
        <v>52</v>
      </c>
      <c r="H1" s="26">
        <v>42370</v>
      </c>
      <c r="I1" s="28" t="s">
        <v>53</v>
      </c>
      <c r="J1" s="52">
        <v>0.1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DAYS360(A19,H1,TRUE)</f>
        <v>26</v>
      </c>
      <c r="E2" t="s">
        <v>59</v>
      </c>
      <c r="F2">
        <f>A40-H1</f>
        <v>4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DAYS360(B1,A4,TRUE)</f>
        <v>30</v>
      </c>
      <c r="C4" s="4">
        <f>$D$1</f>
        <v>34666</v>
      </c>
      <c r="D4" s="2">
        <f t="shared" ref="D4:D59" si="0">C4-E4</f>
        <v>22166</v>
      </c>
      <c r="E4" s="19">
        <f>ROUND(F4*$B$2*B4/360,2)</f>
        <v>12500</v>
      </c>
      <c r="F4" s="53">
        <v>1000000</v>
      </c>
      <c r="G4" s="2">
        <f>F4-D4</f>
        <v>977834</v>
      </c>
      <c r="H4" s="14">
        <f>F4*$B$2*B4/365</f>
        <v>12328.767123287671</v>
      </c>
      <c r="I4" s="16">
        <f>H4-E4</f>
        <v>-171.23287671232902</v>
      </c>
    </row>
    <row r="5" spans="1:10" x14ac:dyDescent="0.25">
      <c r="A5" s="54">
        <v>41917</v>
      </c>
      <c r="B5" s="1">
        <f>DAYS360(A4,A5,TRUE)</f>
        <v>30</v>
      </c>
      <c r="C5" s="4">
        <f>$D$1</f>
        <v>34666</v>
      </c>
      <c r="D5" s="2">
        <f t="shared" si="0"/>
        <v>22443.07</v>
      </c>
      <c r="E5" s="19">
        <f t="shared" ref="E5:E38" si="1">ROUND(F5*$B$2*B5/360,2)</f>
        <v>12222.93</v>
      </c>
      <c r="F5" s="2">
        <f>G4</f>
        <v>977834</v>
      </c>
      <c r="G5" s="2">
        <f>F5-D5</f>
        <v>955390.93</v>
      </c>
      <c r="H5" s="14">
        <f t="shared" ref="H5:H33" si="2">F5*$B$2*B5/365</f>
        <v>12055.487671232877</v>
      </c>
      <c r="I5" s="16">
        <f t="shared" ref="I5:I33" si="3">H5-E5</f>
        <v>-167.4423287671234</v>
      </c>
    </row>
    <row r="6" spans="1:10" x14ac:dyDescent="0.25">
      <c r="A6" s="54">
        <v>41948</v>
      </c>
      <c r="B6" s="1">
        <f t="shared" ref="B6:B59" si="4">DAYS360(A5,A6,TRUE)</f>
        <v>30</v>
      </c>
      <c r="C6" s="4">
        <f t="shared" ref="C6:C40" si="5">$D$1</f>
        <v>34666</v>
      </c>
      <c r="D6" s="2">
        <f t="shared" si="0"/>
        <v>22723.61</v>
      </c>
      <c r="E6" s="19">
        <f t="shared" si="1"/>
        <v>11942.39</v>
      </c>
      <c r="F6" s="2">
        <f t="shared" ref="F6:F39" si="6">G5</f>
        <v>955390.93</v>
      </c>
      <c r="G6" s="2">
        <f t="shared" ref="G6:G59" si="7">F6-D6</f>
        <v>932667.32000000007</v>
      </c>
      <c r="H6" s="14">
        <f t="shared" si="2"/>
        <v>11778.792287671231</v>
      </c>
      <c r="I6" s="16">
        <f t="shared" si="3"/>
        <v>-163.59771232876847</v>
      </c>
    </row>
    <row r="7" spans="1:10" x14ac:dyDescent="0.25">
      <c r="A7" s="54">
        <v>41978</v>
      </c>
      <c r="B7" s="1">
        <f t="shared" si="4"/>
        <v>30</v>
      </c>
      <c r="C7" s="4">
        <f t="shared" si="5"/>
        <v>34666</v>
      </c>
      <c r="D7" s="2">
        <f t="shared" si="0"/>
        <v>23007.66</v>
      </c>
      <c r="E7" s="19">
        <f t="shared" si="1"/>
        <v>11658.34</v>
      </c>
      <c r="F7" s="2">
        <f t="shared" si="6"/>
        <v>932667.32000000007</v>
      </c>
      <c r="G7" s="2">
        <f t="shared" si="7"/>
        <v>909659.66</v>
      </c>
      <c r="H7" s="14">
        <f t="shared" si="2"/>
        <v>11498.638191780821</v>
      </c>
      <c r="I7" s="16">
        <f t="shared" si="3"/>
        <v>-159.70180821917893</v>
      </c>
    </row>
    <row r="8" spans="1:10" x14ac:dyDescent="0.25">
      <c r="A8" s="54">
        <v>42009</v>
      </c>
      <c r="B8" s="1">
        <f t="shared" si="4"/>
        <v>30</v>
      </c>
      <c r="C8" s="4">
        <f t="shared" si="5"/>
        <v>34666</v>
      </c>
      <c r="D8" s="2">
        <f t="shared" si="0"/>
        <v>23295.25</v>
      </c>
      <c r="E8" s="19">
        <f t="shared" si="1"/>
        <v>11370.75</v>
      </c>
      <c r="F8" s="2">
        <f t="shared" si="6"/>
        <v>909659.66</v>
      </c>
      <c r="G8" s="2">
        <f t="shared" si="7"/>
        <v>886364.41</v>
      </c>
      <c r="H8" s="14">
        <f t="shared" si="2"/>
        <v>11214.98210958904</v>
      </c>
      <c r="I8" s="16">
        <f t="shared" si="3"/>
        <v>-155.76789041095981</v>
      </c>
    </row>
    <row r="9" spans="1:10" x14ac:dyDescent="0.25">
      <c r="A9" s="54">
        <v>42040</v>
      </c>
      <c r="B9" s="1">
        <f t="shared" si="4"/>
        <v>30</v>
      </c>
      <c r="C9" s="4">
        <f t="shared" si="5"/>
        <v>34666</v>
      </c>
      <c r="D9" s="2">
        <f t="shared" si="0"/>
        <v>23586.440000000002</v>
      </c>
      <c r="E9" s="19">
        <f t="shared" si="1"/>
        <v>11079.56</v>
      </c>
      <c r="F9" s="2">
        <f t="shared" si="6"/>
        <v>886364.41</v>
      </c>
      <c r="G9" s="2">
        <f t="shared" si="7"/>
        <v>862777.97</v>
      </c>
      <c r="H9" s="14">
        <f t="shared" si="2"/>
        <v>10927.780397260272</v>
      </c>
      <c r="I9" s="16">
        <f t="shared" si="3"/>
        <v>-151.77960273972712</v>
      </c>
    </row>
    <row r="10" spans="1:10" x14ac:dyDescent="0.25">
      <c r="A10" s="54">
        <v>42068</v>
      </c>
      <c r="B10" s="1">
        <f t="shared" si="4"/>
        <v>30</v>
      </c>
      <c r="C10" s="4">
        <f t="shared" si="5"/>
        <v>34666</v>
      </c>
      <c r="D10" s="2">
        <f t="shared" si="0"/>
        <v>23881.279999999999</v>
      </c>
      <c r="E10" s="19">
        <f t="shared" si="1"/>
        <v>10784.72</v>
      </c>
      <c r="F10" s="2">
        <f t="shared" si="6"/>
        <v>862777.97</v>
      </c>
      <c r="G10" s="2">
        <f t="shared" si="7"/>
        <v>838896.69</v>
      </c>
      <c r="H10" s="14">
        <f t="shared" si="2"/>
        <v>10636.988671232875</v>
      </c>
      <c r="I10" s="16">
        <f t="shared" si="3"/>
        <v>-147.73132876712407</v>
      </c>
    </row>
    <row r="11" spans="1:10" x14ac:dyDescent="0.25">
      <c r="A11" s="54">
        <v>42099</v>
      </c>
      <c r="B11" s="1">
        <f t="shared" si="4"/>
        <v>30</v>
      </c>
      <c r="C11" s="4">
        <f t="shared" si="5"/>
        <v>34666</v>
      </c>
      <c r="D11" s="2">
        <f t="shared" si="0"/>
        <v>24179.79</v>
      </c>
      <c r="E11" s="19">
        <f t="shared" si="1"/>
        <v>10486.21</v>
      </c>
      <c r="F11" s="2">
        <f t="shared" si="6"/>
        <v>838896.69</v>
      </c>
      <c r="G11" s="2">
        <f t="shared" si="7"/>
        <v>814716.89999999991</v>
      </c>
      <c r="H11" s="14">
        <f t="shared" si="2"/>
        <v>10342.561931506849</v>
      </c>
      <c r="I11" s="16">
        <f t="shared" si="3"/>
        <v>-143.64806849315028</v>
      </c>
    </row>
    <row r="12" spans="1:10" x14ac:dyDescent="0.25">
      <c r="A12" s="54">
        <v>42129</v>
      </c>
      <c r="B12" s="1">
        <f t="shared" si="4"/>
        <v>30</v>
      </c>
      <c r="C12" s="4">
        <f t="shared" si="5"/>
        <v>34666</v>
      </c>
      <c r="D12" s="2">
        <f t="shared" si="0"/>
        <v>24482.04</v>
      </c>
      <c r="E12" s="19">
        <f t="shared" si="1"/>
        <v>10183.959999999999</v>
      </c>
      <c r="F12" s="2">
        <f t="shared" si="6"/>
        <v>814716.89999999991</v>
      </c>
      <c r="G12" s="2">
        <f t="shared" si="7"/>
        <v>790234.85999999987</v>
      </c>
      <c r="H12" s="14">
        <f t="shared" si="2"/>
        <v>10044.454931506847</v>
      </c>
      <c r="I12" s="16">
        <f t="shared" si="3"/>
        <v>-139.50506849315207</v>
      </c>
    </row>
    <row r="13" spans="1:10" x14ac:dyDescent="0.25">
      <c r="A13" s="54">
        <v>42160</v>
      </c>
      <c r="B13" s="1">
        <f t="shared" si="4"/>
        <v>30</v>
      </c>
      <c r="C13" s="4">
        <f t="shared" si="5"/>
        <v>34666</v>
      </c>
      <c r="D13" s="2">
        <f t="shared" si="0"/>
        <v>24788.059999999998</v>
      </c>
      <c r="E13" s="19">
        <f t="shared" si="1"/>
        <v>9877.94</v>
      </c>
      <c r="F13" s="2">
        <f t="shared" si="6"/>
        <v>790234.85999999987</v>
      </c>
      <c r="G13" s="2">
        <f t="shared" si="7"/>
        <v>765446.79999999981</v>
      </c>
      <c r="H13" s="14">
        <f t="shared" si="2"/>
        <v>9742.621561643833</v>
      </c>
      <c r="I13" s="16">
        <f t="shared" si="3"/>
        <v>-135.31843835616746</v>
      </c>
    </row>
    <row r="14" spans="1:10" x14ac:dyDescent="0.25">
      <c r="A14" s="54">
        <v>42190</v>
      </c>
      <c r="B14" s="1">
        <f t="shared" si="4"/>
        <v>30</v>
      </c>
      <c r="C14" s="4">
        <f t="shared" si="5"/>
        <v>34666</v>
      </c>
      <c r="D14" s="2">
        <f t="shared" si="0"/>
        <v>25097.91</v>
      </c>
      <c r="E14" s="19">
        <f t="shared" si="1"/>
        <v>9568.09</v>
      </c>
      <c r="F14" s="2">
        <f t="shared" si="6"/>
        <v>765446.79999999981</v>
      </c>
      <c r="G14" s="2">
        <f t="shared" si="7"/>
        <v>740348.88999999978</v>
      </c>
      <c r="H14" s="14">
        <f t="shared" si="2"/>
        <v>9437.015342465751</v>
      </c>
      <c r="I14" s="16">
        <f t="shared" si="3"/>
        <v>-131.07465753424913</v>
      </c>
    </row>
    <row r="15" spans="1:10" x14ac:dyDescent="0.25">
      <c r="A15" s="54">
        <v>42221</v>
      </c>
      <c r="B15" s="1">
        <f t="shared" si="4"/>
        <v>30</v>
      </c>
      <c r="C15" s="4">
        <f t="shared" si="5"/>
        <v>34666</v>
      </c>
      <c r="D15" s="2">
        <f t="shared" si="0"/>
        <v>25411.64</v>
      </c>
      <c r="E15" s="19">
        <f t="shared" si="1"/>
        <v>9254.36</v>
      </c>
      <c r="F15" s="2">
        <f t="shared" si="6"/>
        <v>740348.88999999978</v>
      </c>
      <c r="G15" s="2">
        <f t="shared" si="7"/>
        <v>714937.24999999977</v>
      </c>
      <c r="H15" s="14">
        <f t="shared" si="2"/>
        <v>9127.5890547945182</v>
      </c>
      <c r="I15" s="16">
        <f t="shared" si="3"/>
        <v>-126.77094520548235</v>
      </c>
    </row>
    <row r="16" spans="1:10" x14ac:dyDescent="0.25">
      <c r="A16" s="54">
        <v>42252</v>
      </c>
      <c r="B16" s="1">
        <f t="shared" si="4"/>
        <v>30</v>
      </c>
      <c r="C16" s="4">
        <f t="shared" si="5"/>
        <v>34666</v>
      </c>
      <c r="D16" s="2">
        <f t="shared" si="0"/>
        <v>25729.279999999999</v>
      </c>
      <c r="E16" s="19">
        <f t="shared" si="1"/>
        <v>8936.7199999999993</v>
      </c>
      <c r="F16" s="2">
        <f t="shared" si="6"/>
        <v>714937.24999999977</v>
      </c>
      <c r="G16" s="2">
        <f t="shared" si="7"/>
        <v>689207.96999999974</v>
      </c>
      <c r="H16" s="14">
        <f t="shared" si="2"/>
        <v>8814.2948630136962</v>
      </c>
      <c r="I16" s="16">
        <f t="shared" si="3"/>
        <v>-122.42513698630319</v>
      </c>
    </row>
    <row r="17" spans="1:9" x14ac:dyDescent="0.25">
      <c r="A17" s="54">
        <v>42282</v>
      </c>
      <c r="B17" s="1">
        <f t="shared" si="4"/>
        <v>30</v>
      </c>
      <c r="C17" s="4">
        <f t="shared" si="5"/>
        <v>34666</v>
      </c>
      <c r="D17" s="2">
        <f t="shared" si="0"/>
        <v>26050.9</v>
      </c>
      <c r="E17" s="19">
        <f t="shared" si="1"/>
        <v>8615.1</v>
      </c>
      <c r="F17" s="2">
        <f t="shared" si="6"/>
        <v>689207.96999999974</v>
      </c>
      <c r="G17" s="2">
        <f t="shared" si="7"/>
        <v>663157.06999999972</v>
      </c>
      <c r="H17" s="14">
        <f t="shared" si="2"/>
        <v>8497.0845616438328</v>
      </c>
      <c r="I17" s="16">
        <f t="shared" si="3"/>
        <v>-118.01543835616758</v>
      </c>
    </row>
    <row r="18" spans="1:9" x14ac:dyDescent="0.25">
      <c r="A18" s="54">
        <v>42313</v>
      </c>
      <c r="B18" s="1">
        <f t="shared" si="4"/>
        <v>30</v>
      </c>
      <c r="C18" s="4">
        <f t="shared" si="5"/>
        <v>34666</v>
      </c>
      <c r="D18" s="2">
        <f t="shared" si="0"/>
        <v>26376.54</v>
      </c>
      <c r="E18" s="19">
        <f t="shared" si="1"/>
        <v>8289.4599999999991</v>
      </c>
      <c r="F18" s="2">
        <f t="shared" si="6"/>
        <v>663157.06999999972</v>
      </c>
      <c r="G18" s="2">
        <f t="shared" si="7"/>
        <v>636780.52999999968</v>
      </c>
      <c r="H18" s="14">
        <f t="shared" si="2"/>
        <v>8175.9090821917771</v>
      </c>
      <c r="I18" s="16">
        <f t="shared" si="3"/>
        <v>-113.55091780822204</v>
      </c>
    </row>
    <row r="19" spans="1:9" x14ac:dyDescent="0.25">
      <c r="A19" s="54">
        <v>42343</v>
      </c>
      <c r="B19" s="1">
        <f t="shared" si="4"/>
        <v>30</v>
      </c>
      <c r="C19" s="4">
        <f t="shared" si="5"/>
        <v>34666</v>
      </c>
      <c r="D19" s="2">
        <f t="shared" si="0"/>
        <v>26706.239999999998</v>
      </c>
      <c r="E19" s="19">
        <f t="shared" si="1"/>
        <v>7959.76</v>
      </c>
      <c r="F19" s="2">
        <f t="shared" si="6"/>
        <v>636780.52999999968</v>
      </c>
      <c r="G19" s="2">
        <f t="shared" si="7"/>
        <v>610074.28999999969</v>
      </c>
      <c r="H19" s="14">
        <f t="shared" si="2"/>
        <v>7850.7188630136943</v>
      </c>
      <c r="I19" s="16">
        <f t="shared" si="3"/>
        <v>-109.0411369863059</v>
      </c>
    </row>
    <row r="20" spans="1:9" x14ac:dyDescent="0.25">
      <c r="A20" s="54">
        <v>42374</v>
      </c>
      <c r="B20" s="1">
        <f t="shared" si="4"/>
        <v>30</v>
      </c>
      <c r="C20" s="4">
        <f t="shared" si="5"/>
        <v>34666</v>
      </c>
      <c r="D20" s="2">
        <f t="shared" si="0"/>
        <v>27040.07</v>
      </c>
      <c r="E20" s="19">
        <f t="shared" si="1"/>
        <v>7625.93</v>
      </c>
      <c r="F20" s="2">
        <f t="shared" si="6"/>
        <v>610074.28999999969</v>
      </c>
      <c r="G20" s="2">
        <f t="shared" si="7"/>
        <v>583034.21999999974</v>
      </c>
      <c r="H20" s="14">
        <f t="shared" si="2"/>
        <v>7521.4638493150642</v>
      </c>
      <c r="I20" s="16">
        <f t="shared" si="3"/>
        <v>-104.46615068493611</v>
      </c>
    </row>
    <row r="21" spans="1:9" x14ac:dyDescent="0.25">
      <c r="A21" s="54">
        <v>42405</v>
      </c>
      <c r="B21" s="1">
        <f t="shared" si="4"/>
        <v>30</v>
      </c>
      <c r="C21" s="4">
        <f t="shared" si="5"/>
        <v>34666</v>
      </c>
      <c r="D21" s="2">
        <f t="shared" si="0"/>
        <v>27378.07</v>
      </c>
      <c r="E21" s="19">
        <f t="shared" si="1"/>
        <v>7287.93</v>
      </c>
      <c r="F21" s="2">
        <f t="shared" si="6"/>
        <v>583034.21999999974</v>
      </c>
      <c r="G21" s="2">
        <f t="shared" si="7"/>
        <v>555656.14999999979</v>
      </c>
      <c r="H21" s="14">
        <f t="shared" si="2"/>
        <v>7188.0931232876683</v>
      </c>
      <c r="I21" s="16">
        <f t="shared" si="3"/>
        <v>-99.836876712332014</v>
      </c>
    </row>
    <row r="22" spans="1:9" x14ac:dyDescent="0.25">
      <c r="A22" s="54">
        <v>42434</v>
      </c>
      <c r="B22" s="1">
        <f t="shared" si="4"/>
        <v>30</v>
      </c>
      <c r="C22" s="4">
        <f t="shared" si="5"/>
        <v>34666</v>
      </c>
      <c r="D22" s="2">
        <f t="shared" si="0"/>
        <v>27720.3</v>
      </c>
      <c r="E22" s="19">
        <f t="shared" si="1"/>
        <v>6945.7</v>
      </c>
      <c r="F22" s="2">
        <f t="shared" si="6"/>
        <v>555656.14999999979</v>
      </c>
      <c r="G22" s="2">
        <f t="shared" si="7"/>
        <v>527935.84999999974</v>
      </c>
      <c r="H22" s="14">
        <f t="shared" si="2"/>
        <v>6850.5552739726008</v>
      </c>
      <c r="I22" s="16">
        <f t="shared" si="3"/>
        <v>-95.144726027398974</v>
      </c>
    </row>
    <row r="23" spans="1:9" x14ac:dyDescent="0.25">
      <c r="A23" s="54">
        <v>42465</v>
      </c>
      <c r="B23" s="1">
        <f t="shared" si="4"/>
        <v>30</v>
      </c>
      <c r="C23" s="4">
        <f t="shared" si="5"/>
        <v>34666</v>
      </c>
      <c r="D23" s="2">
        <f t="shared" si="0"/>
        <v>28066.799999999999</v>
      </c>
      <c r="E23" s="19">
        <f t="shared" si="1"/>
        <v>6599.2</v>
      </c>
      <c r="F23" s="2">
        <f t="shared" si="6"/>
        <v>527935.84999999974</v>
      </c>
      <c r="G23" s="2">
        <f t="shared" si="7"/>
        <v>499869.04999999976</v>
      </c>
      <c r="H23" s="14">
        <f t="shared" si="2"/>
        <v>6508.7981506849283</v>
      </c>
      <c r="I23" s="16">
        <f t="shared" si="3"/>
        <v>-90.401849315071559</v>
      </c>
    </row>
    <row r="24" spans="1:9" x14ac:dyDescent="0.25">
      <c r="A24" s="54">
        <v>42495</v>
      </c>
      <c r="B24" s="1">
        <f t="shared" si="4"/>
        <v>30</v>
      </c>
      <c r="C24" s="4">
        <f t="shared" si="5"/>
        <v>34666</v>
      </c>
      <c r="D24" s="2">
        <f t="shared" si="0"/>
        <v>28417.64</v>
      </c>
      <c r="E24" s="19">
        <f t="shared" si="1"/>
        <v>6248.36</v>
      </c>
      <c r="F24" s="2">
        <f t="shared" si="6"/>
        <v>499869.04999999976</v>
      </c>
      <c r="G24" s="2">
        <f t="shared" si="7"/>
        <v>471451.40999999974</v>
      </c>
      <c r="H24" s="14">
        <f t="shared" si="2"/>
        <v>6162.7691095890377</v>
      </c>
      <c r="I24" s="16">
        <f t="shared" si="3"/>
        <v>-85.590890410961947</v>
      </c>
    </row>
    <row r="25" spans="1:9" x14ac:dyDescent="0.25">
      <c r="A25" s="54">
        <v>42526</v>
      </c>
      <c r="B25" s="1">
        <f t="shared" si="4"/>
        <v>30</v>
      </c>
      <c r="C25" s="4">
        <f t="shared" si="5"/>
        <v>34666</v>
      </c>
      <c r="D25" s="2">
        <f t="shared" si="0"/>
        <v>28772.86</v>
      </c>
      <c r="E25" s="19">
        <f t="shared" si="1"/>
        <v>5893.14</v>
      </c>
      <c r="F25" s="2">
        <f t="shared" si="6"/>
        <v>471451.40999999974</v>
      </c>
      <c r="G25" s="2">
        <f t="shared" si="7"/>
        <v>442678.54999999976</v>
      </c>
      <c r="H25" s="14">
        <f t="shared" si="2"/>
        <v>5812.4146438356129</v>
      </c>
      <c r="I25" s="16">
        <f t="shared" si="3"/>
        <v>-80.725356164387449</v>
      </c>
    </row>
    <row r="26" spans="1:9" x14ac:dyDescent="0.25">
      <c r="A26" s="54">
        <v>42556</v>
      </c>
      <c r="B26" s="1">
        <f t="shared" si="4"/>
        <v>30</v>
      </c>
      <c r="C26" s="4">
        <f t="shared" si="5"/>
        <v>34666</v>
      </c>
      <c r="D26" s="2">
        <f t="shared" si="0"/>
        <v>29132.52</v>
      </c>
      <c r="E26" s="19">
        <f t="shared" si="1"/>
        <v>5533.48</v>
      </c>
      <c r="F26" s="2">
        <f t="shared" si="6"/>
        <v>442678.54999999976</v>
      </c>
      <c r="G26" s="2">
        <f t="shared" si="7"/>
        <v>413546.02999999974</v>
      </c>
      <c r="H26" s="14">
        <f t="shared" si="2"/>
        <v>5457.6807534246536</v>
      </c>
      <c r="I26" s="16">
        <f t="shared" si="3"/>
        <v>-75.799246575345933</v>
      </c>
    </row>
    <row r="27" spans="1:9" x14ac:dyDescent="0.25">
      <c r="A27" s="54">
        <v>42587</v>
      </c>
      <c r="B27" s="1">
        <f t="shared" si="4"/>
        <v>30</v>
      </c>
      <c r="C27" s="4">
        <f t="shared" si="5"/>
        <v>34666</v>
      </c>
      <c r="D27" s="2">
        <f t="shared" si="0"/>
        <v>29496.67</v>
      </c>
      <c r="E27" s="19">
        <f t="shared" si="1"/>
        <v>5169.33</v>
      </c>
      <c r="F27" s="2">
        <f t="shared" si="6"/>
        <v>413546.02999999974</v>
      </c>
      <c r="G27" s="2">
        <f t="shared" si="7"/>
        <v>384049.35999999975</v>
      </c>
      <c r="H27" s="14">
        <f t="shared" si="2"/>
        <v>5098.5126986301339</v>
      </c>
      <c r="I27" s="16">
        <f t="shared" si="3"/>
        <v>-70.817301369866072</v>
      </c>
    </row>
    <row r="28" spans="1:9" x14ac:dyDescent="0.25">
      <c r="A28" s="54">
        <v>42618</v>
      </c>
      <c r="B28" s="1">
        <f t="shared" si="4"/>
        <v>30</v>
      </c>
      <c r="C28" s="4">
        <f t="shared" si="5"/>
        <v>34666</v>
      </c>
      <c r="D28" s="2">
        <f t="shared" si="0"/>
        <v>29865.38</v>
      </c>
      <c r="E28" s="19">
        <f t="shared" si="1"/>
        <v>4800.62</v>
      </c>
      <c r="F28" s="2">
        <f t="shared" si="6"/>
        <v>384049.35999999975</v>
      </c>
      <c r="G28" s="2">
        <f t="shared" si="7"/>
        <v>354183.97999999975</v>
      </c>
      <c r="H28" s="14">
        <f t="shared" si="2"/>
        <v>4734.855123287668</v>
      </c>
      <c r="I28" s="16">
        <f t="shared" si="3"/>
        <v>-65.764876712331898</v>
      </c>
    </row>
    <row r="29" spans="1:9" x14ac:dyDescent="0.25">
      <c r="A29" s="54">
        <v>42648</v>
      </c>
      <c r="B29" s="1">
        <f t="shared" si="4"/>
        <v>30</v>
      </c>
      <c r="C29" s="4">
        <f t="shared" si="5"/>
        <v>34666</v>
      </c>
      <c r="D29" s="2">
        <f t="shared" si="0"/>
        <v>30238.7</v>
      </c>
      <c r="E29" s="19">
        <f t="shared" si="1"/>
        <v>4427.3</v>
      </c>
      <c r="F29" s="2">
        <f t="shared" si="6"/>
        <v>354183.97999999975</v>
      </c>
      <c r="G29" s="2">
        <f t="shared" si="7"/>
        <v>323945.27999999974</v>
      </c>
      <c r="H29" s="14">
        <f t="shared" si="2"/>
        <v>4366.6518082191751</v>
      </c>
      <c r="I29" s="16">
        <f t="shared" si="3"/>
        <v>-60.648191780825073</v>
      </c>
    </row>
    <row r="30" spans="1:9" x14ac:dyDescent="0.25">
      <c r="A30" s="54">
        <v>42679</v>
      </c>
      <c r="B30" s="1">
        <f t="shared" si="4"/>
        <v>30</v>
      </c>
      <c r="C30" s="4">
        <f t="shared" si="5"/>
        <v>34666</v>
      </c>
      <c r="D30" s="2">
        <f t="shared" si="0"/>
        <v>30616.68</v>
      </c>
      <c r="E30" s="19">
        <f t="shared" si="1"/>
        <v>4049.32</v>
      </c>
      <c r="F30" s="2">
        <f t="shared" si="6"/>
        <v>323945.27999999974</v>
      </c>
      <c r="G30" s="2">
        <f t="shared" si="7"/>
        <v>293328.59999999974</v>
      </c>
      <c r="H30" s="14">
        <f t="shared" si="2"/>
        <v>3993.8459178082162</v>
      </c>
      <c r="I30" s="16">
        <f t="shared" si="3"/>
        <v>-55.474082191783964</v>
      </c>
    </row>
    <row r="31" spans="1:9" x14ac:dyDescent="0.25">
      <c r="A31" s="54">
        <v>42709</v>
      </c>
      <c r="B31" s="1">
        <f t="shared" si="4"/>
        <v>30</v>
      </c>
      <c r="C31" s="4">
        <f t="shared" si="5"/>
        <v>34666</v>
      </c>
      <c r="D31" s="2">
        <f t="shared" si="0"/>
        <v>30999.39</v>
      </c>
      <c r="E31" s="19">
        <f t="shared" si="1"/>
        <v>3666.61</v>
      </c>
      <c r="F31" s="2">
        <f t="shared" si="6"/>
        <v>293328.59999999974</v>
      </c>
      <c r="G31" s="2">
        <f t="shared" si="7"/>
        <v>262329.20999999973</v>
      </c>
      <c r="H31" s="14">
        <f t="shared" si="2"/>
        <v>3616.3799999999965</v>
      </c>
      <c r="I31" s="16">
        <f t="shared" si="3"/>
        <v>-50.230000000003656</v>
      </c>
    </row>
    <row r="32" spans="1:9" x14ac:dyDescent="0.25">
      <c r="A32" s="54">
        <v>42740</v>
      </c>
      <c r="B32" s="1">
        <f t="shared" si="4"/>
        <v>30</v>
      </c>
      <c r="C32" s="4">
        <f t="shared" si="5"/>
        <v>34666</v>
      </c>
      <c r="D32" s="2">
        <f t="shared" si="0"/>
        <v>31386.880000000001</v>
      </c>
      <c r="E32" s="19">
        <f t="shared" si="1"/>
        <v>3279.12</v>
      </c>
      <c r="F32" s="2">
        <f t="shared" si="6"/>
        <v>262329.20999999973</v>
      </c>
      <c r="G32" s="2">
        <f t="shared" si="7"/>
        <v>230942.32999999973</v>
      </c>
      <c r="H32" s="14">
        <f t="shared" si="2"/>
        <v>3234.1957397260244</v>
      </c>
      <c r="I32" s="16">
        <f t="shared" si="3"/>
        <v>-44.924260273975506</v>
      </c>
    </row>
    <row r="33" spans="1:9" x14ac:dyDescent="0.25">
      <c r="A33" s="54">
        <v>42771</v>
      </c>
      <c r="B33" s="1">
        <f t="shared" si="4"/>
        <v>30</v>
      </c>
      <c r="C33" s="4">
        <f t="shared" si="5"/>
        <v>34666</v>
      </c>
      <c r="D33" s="2">
        <f t="shared" si="0"/>
        <v>31779.22</v>
      </c>
      <c r="E33" s="19">
        <f t="shared" si="1"/>
        <v>2886.78</v>
      </c>
      <c r="F33" s="2">
        <f t="shared" si="6"/>
        <v>230942.32999999973</v>
      </c>
      <c r="G33" s="2">
        <f t="shared" si="7"/>
        <v>199163.10999999972</v>
      </c>
      <c r="H33" s="14">
        <f t="shared" si="2"/>
        <v>2847.234205479449</v>
      </c>
      <c r="I33" s="16">
        <f t="shared" si="3"/>
        <v>-39.545794520551226</v>
      </c>
    </row>
    <row r="34" spans="1:9" x14ac:dyDescent="0.25">
      <c r="A34" s="54">
        <v>42799</v>
      </c>
      <c r="B34" s="1">
        <f t="shared" si="4"/>
        <v>30</v>
      </c>
      <c r="C34" s="4">
        <f t="shared" si="5"/>
        <v>34666</v>
      </c>
      <c r="D34" s="2">
        <f t="shared" si="0"/>
        <v>32176.46</v>
      </c>
      <c r="E34" s="19">
        <f t="shared" si="1"/>
        <v>2489.54</v>
      </c>
      <c r="F34" s="2">
        <f t="shared" si="6"/>
        <v>199163.10999999972</v>
      </c>
      <c r="G34" s="2">
        <f t="shared" si="7"/>
        <v>166986.64999999973</v>
      </c>
      <c r="H34" s="14"/>
      <c r="I34" s="16"/>
    </row>
    <row r="35" spans="1:9" x14ac:dyDescent="0.25">
      <c r="A35" s="54">
        <v>42830</v>
      </c>
      <c r="B35" s="1">
        <f t="shared" si="4"/>
        <v>30</v>
      </c>
      <c r="C35" s="4">
        <f t="shared" si="5"/>
        <v>34666</v>
      </c>
      <c r="D35" s="2">
        <f t="shared" si="0"/>
        <v>32578.67</v>
      </c>
      <c r="E35" s="19">
        <f t="shared" si="1"/>
        <v>2087.33</v>
      </c>
      <c r="F35" s="2">
        <f t="shared" si="6"/>
        <v>166986.64999999973</v>
      </c>
      <c r="G35" s="2">
        <f t="shared" si="7"/>
        <v>134407.97999999975</v>
      </c>
      <c r="H35" s="14"/>
      <c r="I35" s="16"/>
    </row>
    <row r="36" spans="1:9" x14ac:dyDescent="0.25">
      <c r="A36" s="54">
        <v>42860</v>
      </c>
      <c r="B36" s="1">
        <f t="shared" si="4"/>
        <v>30</v>
      </c>
      <c r="C36" s="4">
        <f t="shared" si="5"/>
        <v>34666</v>
      </c>
      <c r="D36" s="2">
        <f t="shared" si="0"/>
        <v>32985.9</v>
      </c>
      <c r="E36" s="19">
        <f t="shared" si="1"/>
        <v>1680.1</v>
      </c>
      <c r="F36" s="2">
        <f t="shared" si="6"/>
        <v>134407.97999999975</v>
      </c>
      <c r="G36" s="2">
        <f t="shared" si="7"/>
        <v>101422.07999999975</v>
      </c>
      <c r="H36" s="14"/>
      <c r="I36" s="16"/>
    </row>
    <row r="37" spans="1:9" x14ac:dyDescent="0.25">
      <c r="A37" s="54">
        <v>42891</v>
      </c>
      <c r="B37" s="1">
        <f t="shared" si="4"/>
        <v>30</v>
      </c>
      <c r="C37" s="4">
        <f t="shared" si="5"/>
        <v>34666</v>
      </c>
      <c r="D37" s="2">
        <f t="shared" si="0"/>
        <v>33398.22</v>
      </c>
      <c r="E37" s="19">
        <f t="shared" si="1"/>
        <v>1267.78</v>
      </c>
      <c r="F37" s="2">
        <f t="shared" si="6"/>
        <v>101422.07999999975</v>
      </c>
      <c r="G37" s="2">
        <f t="shared" si="7"/>
        <v>68023.859999999753</v>
      </c>
      <c r="H37" s="14"/>
      <c r="I37" s="16"/>
    </row>
    <row r="38" spans="1:9" x14ac:dyDescent="0.25">
      <c r="A38" s="54">
        <v>42921</v>
      </c>
      <c r="B38" s="1">
        <f t="shared" si="4"/>
        <v>30</v>
      </c>
      <c r="C38" s="4">
        <f t="shared" si="5"/>
        <v>34666</v>
      </c>
      <c r="D38" s="2">
        <f t="shared" si="0"/>
        <v>33815.699999999997</v>
      </c>
      <c r="E38" s="19">
        <f t="shared" si="1"/>
        <v>850.3</v>
      </c>
      <c r="F38" s="2">
        <f t="shared" si="6"/>
        <v>68023.859999999753</v>
      </c>
      <c r="G38" s="2">
        <f t="shared" si="7"/>
        <v>34208.159999999756</v>
      </c>
      <c r="H38" s="14"/>
      <c r="I38" s="16"/>
    </row>
    <row r="39" spans="1:9" x14ac:dyDescent="0.25">
      <c r="A39" s="54">
        <v>42952</v>
      </c>
      <c r="B39" s="1">
        <f t="shared" si="4"/>
        <v>30</v>
      </c>
      <c r="C39" s="4">
        <f t="shared" si="5"/>
        <v>34666</v>
      </c>
      <c r="D39" s="2">
        <f t="shared" si="0"/>
        <v>34208.159999999756</v>
      </c>
      <c r="E39" s="19">
        <v>457.84000000024537</v>
      </c>
      <c r="F39" s="2">
        <f t="shared" si="6"/>
        <v>34208.159999999756</v>
      </c>
      <c r="G39" s="2">
        <f t="shared" si="7"/>
        <v>0</v>
      </c>
      <c r="H39" s="14"/>
      <c r="I39" s="16"/>
    </row>
    <row r="40" spans="1:9" x14ac:dyDescent="0.25">
      <c r="A40" s="56">
        <v>42374</v>
      </c>
      <c r="B40" s="1">
        <f>DAYS360(A19,A20,TRUE)</f>
        <v>30</v>
      </c>
      <c r="C40" s="4">
        <f t="shared" si="5"/>
        <v>34666</v>
      </c>
      <c r="D40" s="2">
        <f>C20-E20</f>
        <v>27040.07</v>
      </c>
      <c r="E40" s="19">
        <f>ROUND(F20*$B$2*B20/360,2)</f>
        <v>7625.93</v>
      </c>
      <c r="F40" s="2">
        <f>G19</f>
        <v>610074.28999999969</v>
      </c>
      <c r="G40" s="2">
        <f t="shared" si="7"/>
        <v>583034.21999999974</v>
      </c>
      <c r="H40" s="14"/>
      <c r="I40" s="16"/>
    </row>
    <row r="41" spans="1:9" x14ac:dyDescent="0.25">
      <c r="A41" s="56">
        <v>42405</v>
      </c>
      <c r="B41" s="1">
        <f t="shared" si="4"/>
        <v>30</v>
      </c>
      <c r="C41" s="4">
        <f t="shared" ref="C41:C59" si="8">$F$1</f>
        <v>33307</v>
      </c>
      <c r="D41" s="2">
        <f t="shared" si="0"/>
        <v>28448.38</v>
      </c>
      <c r="E41" s="19">
        <f>ROUND(F41*$J$1*B41/360,2)</f>
        <v>4858.62</v>
      </c>
      <c r="F41" s="2">
        <f>G40</f>
        <v>583034.21999999974</v>
      </c>
      <c r="G41" s="2">
        <f t="shared" si="7"/>
        <v>554585.83999999973</v>
      </c>
      <c r="H41" s="14"/>
      <c r="I41" s="16"/>
    </row>
    <row r="42" spans="1:9" x14ac:dyDescent="0.25">
      <c r="A42" s="56">
        <v>42434</v>
      </c>
      <c r="B42" s="1">
        <f t="shared" si="4"/>
        <v>30</v>
      </c>
      <c r="C42" s="4">
        <f t="shared" si="8"/>
        <v>33307</v>
      </c>
      <c r="D42" s="2">
        <f t="shared" si="0"/>
        <v>28685.45</v>
      </c>
      <c r="E42" s="19">
        <f t="shared" ref="E42:E58" si="9">ROUND(F42*$J$1*B42/360,2)</f>
        <v>4621.55</v>
      </c>
      <c r="F42" s="2">
        <f>G41</f>
        <v>554585.83999999973</v>
      </c>
      <c r="G42" s="2">
        <f t="shared" si="7"/>
        <v>525900.38999999978</v>
      </c>
      <c r="H42" s="14"/>
      <c r="I42" s="16"/>
    </row>
    <row r="43" spans="1:9" x14ac:dyDescent="0.25">
      <c r="A43" s="56">
        <v>42465</v>
      </c>
      <c r="B43" s="1">
        <f t="shared" si="4"/>
        <v>30</v>
      </c>
      <c r="C43" s="4">
        <f t="shared" si="8"/>
        <v>33307</v>
      </c>
      <c r="D43" s="2">
        <f t="shared" si="0"/>
        <v>28924.5</v>
      </c>
      <c r="E43" s="19">
        <f t="shared" si="9"/>
        <v>4382.5</v>
      </c>
      <c r="F43" s="2">
        <f t="shared" ref="F43:F59" si="10">G42</f>
        <v>525900.38999999978</v>
      </c>
      <c r="G43" s="2">
        <f t="shared" si="7"/>
        <v>496975.88999999978</v>
      </c>
      <c r="H43" s="14"/>
      <c r="I43" s="16"/>
    </row>
    <row r="44" spans="1:9" x14ac:dyDescent="0.25">
      <c r="A44" s="56">
        <v>42495</v>
      </c>
      <c r="B44" s="1">
        <f t="shared" si="4"/>
        <v>30</v>
      </c>
      <c r="C44" s="4">
        <f t="shared" si="8"/>
        <v>33307</v>
      </c>
      <c r="D44" s="2">
        <f t="shared" si="0"/>
        <v>29165.53</v>
      </c>
      <c r="E44" s="19">
        <f t="shared" si="9"/>
        <v>4141.47</v>
      </c>
      <c r="F44" s="2">
        <f t="shared" si="10"/>
        <v>496975.88999999978</v>
      </c>
      <c r="G44" s="2">
        <f t="shared" si="7"/>
        <v>467810.35999999975</v>
      </c>
      <c r="H44" s="14"/>
      <c r="I44" s="16"/>
    </row>
    <row r="45" spans="1:9" x14ac:dyDescent="0.25">
      <c r="A45" s="56">
        <v>42526</v>
      </c>
      <c r="B45" s="1">
        <f t="shared" si="4"/>
        <v>30</v>
      </c>
      <c r="C45" s="4">
        <f t="shared" si="8"/>
        <v>33307</v>
      </c>
      <c r="D45" s="2">
        <f t="shared" si="0"/>
        <v>29408.58</v>
      </c>
      <c r="E45" s="19">
        <f t="shared" si="9"/>
        <v>3898.42</v>
      </c>
      <c r="F45" s="2">
        <f t="shared" si="10"/>
        <v>467810.35999999975</v>
      </c>
      <c r="G45" s="2">
        <f t="shared" si="7"/>
        <v>438401.77999999974</v>
      </c>
      <c r="H45" s="14"/>
      <c r="I45" s="16"/>
    </row>
    <row r="46" spans="1:9" x14ac:dyDescent="0.25">
      <c r="A46" s="56">
        <v>42556</v>
      </c>
      <c r="B46" s="1">
        <f t="shared" si="4"/>
        <v>30</v>
      </c>
      <c r="C46" s="4">
        <f t="shared" si="8"/>
        <v>33307</v>
      </c>
      <c r="D46" s="2">
        <f t="shared" si="0"/>
        <v>29653.65</v>
      </c>
      <c r="E46" s="19">
        <f t="shared" si="9"/>
        <v>3653.35</v>
      </c>
      <c r="F46" s="2">
        <f t="shared" si="10"/>
        <v>438401.77999999974</v>
      </c>
      <c r="G46" s="2">
        <f t="shared" si="7"/>
        <v>408748.12999999971</v>
      </c>
      <c r="H46" s="14"/>
      <c r="I46" s="16"/>
    </row>
    <row r="47" spans="1:9" x14ac:dyDescent="0.25">
      <c r="A47" s="56">
        <v>42587</v>
      </c>
      <c r="B47" s="1">
        <f t="shared" si="4"/>
        <v>30</v>
      </c>
      <c r="C47" s="4">
        <f t="shared" si="8"/>
        <v>33307</v>
      </c>
      <c r="D47" s="2">
        <f t="shared" si="0"/>
        <v>29900.77</v>
      </c>
      <c r="E47" s="19">
        <f t="shared" si="9"/>
        <v>3406.23</v>
      </c>
      <c r="F47" s="2">
        <f t="shared" si="10"/>
        <v>408748.12999999971</v>
      </c>
      <c r="G47" s="2">
        <f t="shared" si="7"/>
        <v>378847.35999999969</v>
      </c>
      <c r="H47" s="14"/>
      <c r="I47" s="16"/>
    </row>
    <row r="48" spans="1:9" x14ac:dyDescent="0.25">
      <c r="A48" s="56">
        <v>42618</v>
      </c>
      <c r="B48" s="1">
        <f t="shared" si="4"/>
        <v>30</v>
      </c>
      <c r="C48" s="4">
        <f t="shared" si="8"/>
        <v>33307</v>
      </c>
      <c r="D48" s="2">
        <f t="shared" si="0"/>
        <v>30149.94</v>
      </c>
      <c r="E48" s="19">
        <f t="shared" si="9"/>
        <v>3157.06</v>
      </c>
      <c r="F48" s="2">
        <f t="shared" si="10"/>
        <v>378847.35999999969</v>
      </c>
      <c r="G48" s="2">
        <f t="shared" si="7"/>
        <v>348697.41999999969</v>
      </c>
    </row>
    <row r="49" spans="1:7" x14ac:dyDescent="0.25">
      <c r="A49" s="56">
        <v>42648</v>
      </c>
      <c r="B49" s="1">
        <f t="shared" si="4"/>
        <v>30</v>
      </c>
      <c r="C49" s="4">
        <f t="shared" si="8"/>
        <v>33307</v>
      </c>
      <c r="D49" s="2">
        <f t="shared" si="0"/>
        <v>30401.19</v>
      </c>
      <c r="E49" s="19">
        <f t="shared" si="9"/>
        <v>2905.81</v>
      </c>
      <c r="F49" s="2">
        <f t="shared" si="10"/>
        <v>348697.41999999969</v>
      </c>
      <c r="G49" s="2">
        <f t="shared" si="7"/>
        <v>318296.22999999969</v>
      </c>
    </row>
    <row r="50" spans="1:7" x14ac:dyDescent="0.25">
      <c r="A50" s="56">
        <v>42679</v>
      </c>
      <c r="B50" s="1">
        <f t="shared" si="4"/>
        <v>30</v>
      </c>
      <c r="C50" s="4">
        <f t="shared" si="8"/>
        <v>33307</v>
      </c>
      <c r="D50" s="2">
        <f t="shared" si="0"/>
        <v>30654.53</v>
      </c>
      <c r="E50" s="19">
        <f t="shared" si="9"/>
        <v>2652.47</v>
      </c>
      <c r="F50" s="2">
        <f t="shared" si="10"/>
        <v>318296.22999999969</v>
      </c>
      <c r="G50" s="2">
        <f t="shared" si="7"/>
        <v>287641.69999999972</v>
      </c>
    </row>
    <row r="51" spans="1:7" x14ac:dyDescent="0.25">
      <c r="A51" s="56">
        <v>42709</v>
      </c>
      <c r="B51" s="1">
        <f t="shared" si="4"/>
        <v>30</v>
      </c>
      <c r="C51" s="4">
        <f t="shared" si="8"/>
        <v>33307</v>
      </c>
      <c r="D51" s="2">
        <f t="shared" si="0"/>
        <v>30909.989999999998</v>
      </c>
      <c r="E51" s="19">
        <f t="shared" si="9"/>
        <v>2397.0100000000002</v>
      </c>
      <c r="F51" s="2">
        <f t="shared" si="10"/>
        <v>287641.69999999972</v>
      </c>
      <c r="G51" s="2">
        <f t="shared" si="7"/>
        <v>256731.70999999973</v>
      </c>
    </row>
    <row r="52" spans="1:7" x14ac:dyDescent="0.25">
      <c r="A52" s="56">
        <v>42740</v>
      </c>
      <c r="B52" s="1">
        <f t="shared" si="4"/>
        <v>30</v>
      </c>
      <c r="C52" s="4">
        <f t="shared" si="8"/>
        <v>33307</v>
      </c>
      <c r="D52" s="2">
        <f t="shared" si="0"/>
        <v>31167.57</v>
      </c>
      <c r="E52" s="19">
        <f t="shared" si="9"/>
        <v>2139.4299999999998</v>
      </c>
      <c r="F52" s="2">
        <f t="shared" si="10"/>
        <v>256731.70999999973</v>
      </c>
      <c r="G52" s="2">
        <f t="shared" si="7"/>
        <v>225564.13999999972</v>
      </c>
    </row>
    <row r="53" spans="1:7" x14ac:dyDescent="0.25">
      <c r="A53" s="56">
        <v>42771</v>
      </c>
      <c r="B53" s="1">
        <f t="shared" si="4"/>
        <v>30</v>
      </c>
      <c r="C53" s="4">
        <f t="shared" si="8"/>
        <v>33307</v>
      </c>
      <c r="D53" s="2">
        <f t="shared" si="0"/>
        <v>31427.3</v>
      </c>
      <c r="E53" s="19">
        <f t="shared" si="9"/>
        <v>1879.7</v>
      </c>
      <c r="F53" s="2">
        <f t="shared" si="10"/>
        <v>225564.13999999972</v>
      </c>
      <c r="G53" s="2">
        <f t="shared" si="7"/>
        <v>194136.83999999973</v>
      </c>
    </row>
    <row r="54" spans="1:7" x14ac:dyDescent="0.25">
      <c r="A54" s="56">
        <v>42799</v>
      </c>
      <c r="B54" s="1">
        <f t="shared" si="4"/>
        <v>30</v>
      </c>
      <c r="C54" s="4">
        <f t="shared" si="8"/>
        <v>33307</v>
      </c>
      <c r="D54" s="2">
        <f t="shared" si="0"/>
        <v>31689.19</v>
      </c>
      <c r="E54" s="19">
        <f t="shared" si="9"/>
        <v>1617.81</v>
      </c>
      <c r="F54" s="2">
        <f t="shared" si="10"/>
        <v>194136.83999999973</v>
      </c>
      <c r="G54" s="2">
        <f t="shared" si="7"/>
        <v>162447.64999999973</v>
      </c>
    </row>
    <row r="55" spans="1:7" x14ac:dyDescent="0.25">
      <c r="A55" s="56">
        <v>42830</v>
      </c>
      <c r="B55" s="1">
        <f t="shared" si="4"/>
        <v>30</v>
      </c>
      <c r="C55" s="4">
        <f t="shared" si="8"/>
        <v>33307</v>
      </c>
      <c r="D55" s="2">
        <f t="shared" si="0"/>
        <v>31953.27</v>
      </c>
      <c r="E55" s="19">
        <f t="shared" si="9"/>
        <v>1353.73</v>
      </c>
      <c r="F55" s="2">
        <f t="shared" si="10"/>
        <v>162447.64999999973</v>
      </c>
      <c r="G55" s="2">
        <f t="shared" si="7"/>
        <v>130494.37999999973</v>
      </c>
    </row>
    <row r="56" spans="1:7" x14ac:dyDescent="0.25">
      <c r="A56" s="56">
        <v>42860</v>
      </c>
      <c r="B56" s="1">
        <f t="shared" si="4"/>
        <v>30</v>
      </c>
      <c r="C56" s="4">
        <f t="shared" si="8"/>
        <v>33307</v>
      </c>
      <c r="D56" s="2">
        <f t="shared" si="0"/>
        <v>32219.55</v>
      </c>
      <c r="E56" s="19">
        <f t="shared" si="9"/>
        <v>1087.45</v>
      </c>
      <c r="F56" s="2">
        <f t="shared" si="10"/>
        <v>130494.37999999973</v>
      </c>
      <c r="G56" s="2">
        <f t="shared" si="7"/>
        <v>98274.829999999725</v>
      </c>
    </row>
    <row r="57" spans="1:7" x14ac:dyDescent="0.25">
      <c r="A57" s="56">
        <v>42891</v>
      </c>
      <c r="B57" s="1">
        <f t="shared" si="4"/>
        <v>30</v>
      </c>
      <c r="C57" s="4">
        <f t="shared" si="8"/>
        <v>33307</v>
      </c>
      <c r="D57" s="2">
        <f t="shared" si="0"/>
        <v>32488.04</v>
      </c>
      <c r="E57" s="19">
        <f t="shared" si="9"/>
        <v>818.96</v>
      </c>
      <c r="F57" s="2">
        <f t="shared" si="10"/>
        <v>98274.829999999725</v>
      </c>
      <c r="G57" s="2">
        <f t="shared" si="7"/>
        <v>65786.789999999717</v>
      </c>
    </row>
    <row r="58" spans="1:7" x14ac:dyDescent="0.25">
      <c r="A58" s="56">
        <v>42921</v>
      </c>
      <c r="B58" s="1">
        <f t="shared" si="4"/>
        <v>30</v>
      </c>
      <c r="C58" s="4">
        <f t="shared" si="8"/>
        <v>33307</v>
      </c>
      <c r="D58" s="2">
        <f t="shared" si="0"/>
        <v>32758.78</v>
      </c>
      <c r="E58" s="19">
        <f t="shared" si="9"/>
        <v>548.22</v>
      </c>
      <c r="F58" s="2">
        <f t="shared" si="10"/>
        <v>65786.789999999717</v>
      </c>
      <c r="G58" s="2">
        <f t="shared" si="7"/>
        <v>33028.009999999718</v>
      </c>
    </row>
    <row r="59" spans="1:7" x14ac:dyDescent="0.25">
      <c r="A59" s="56">
        <v>42952</v>
      </c>
      <c r="B59" s="1">
        <f t="shared" si="4"/>
        <v>30</v>
      </c>
      <c r="C59" s="4">
        <f t="shared" si="8"/>
        <v>33307</v>
      </c>
      <c r="D59" s="2">
        <f t="shared" si="0"/>
        <v>33028.009999999718</v>
      </c>
      <c r="E59" s="19">
        <v>278.9900000002832</v>
      </c>
      <c r="F59" s="2">
        <f t="shared" si="10"/>
        <v>33028.009999999718</v>
      </c>
      <c r="G59" s="2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D883C4-8137-4FD4-90F3-CC2E60675CA9}">
  <dimension ref="A1:R3"/>
  <sheetViews>
    <sheetView workbookViewId="0">
      <selection activeCell="R2" sqref="R2:R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3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80</v>
      </c>
      <c r="P2" s="20" t="s">
        <v>21</v>
      </c>
      <c r="Q2" s="20" t="s">
        <v>84</v>
      </c>
      <c r="R2" s="20" t="s">
        <v>87</v>
      </c>
    </row>
    <row r="3" spans="1:18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80</v>
      </c>
      <c r="P3" s="20" t="s">
        <v>21</v>
      </c>
      <c r="Q3" s="20" t="s">
        <v>84</v>
      </c>
      <c r="R3" s="20" t="s">
        <v>88</v>
      </c>
    </row>
  </sheetData>
  <pageMargins left="0.7" right="0.7" top="0.75" bottom="0.75" header="0.3" footer="0.3"/>
  <pageSetup orientation="portrait" r:id="rId1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BB929E-4584-4742-AF3A-70FBAE0A1ADD}">
  <dimension ref="A1:J59"/>
  <sheetViews>
    <sheetView zoomScale="85" zoomScaleNormal="90" workbookViewId="0">
      <pane ySplit="3" topLeftCell="A23" activePane="bottomLeft" state="frozen"/>
      <selection activeCell="R3" sqref="R3"/>
      <selection pane="bottomLeft" activeCell="D47" sqref="D47"/>
    </sheetView>
  </sheetViews>
  <sheetFormatPr defaultRowHeight="15" x14ac:dyDescent="0.25"/>
  <cols>
    <col min="1" max="1" width="15.7109375" bestFit="1" customWidth="1"/>
    <col min="2" max="2" width="13" bestFit="1" customWidth="1"/>
    <col min="3" max="3" width="25" bestFit="1" customWidth="1"/>
    <col min="4" max="4" width="13" bestFit="1" customWidth="1"/>
    <col min="5" max="5" width="24.85546875" bestFit="1" customWidth="1"/>
    <col min="6" max="6" width="15.85546875" bestFit="1" customWidth="1"/>
    <col min="7" max="7" width="18.85546875" bestFit="1" customWidth="1"/>
    <col min="8" max="8" width="15.7109375" bestFit="1" customWidth="1"/>
    <col min="9" max="9" width="21.85546875" bestFit="1" customWidth="1"/>
    <col min="10" max="10" width="11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57">
        <f>ROUNDUP(33370.1392760128,0)</f>
        <v>33371</v>
      </c>
      <c r="G1" s="28" t="s">
        <v>52</v>
      </c>
      <c r="H1" s="26">
        <v>42370</v>
      </c>
      <c r="I1" s="28" t="s">
        <v>53</v>
      </c>
      <c r="J1" s="52">
        <v>0.1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H1-A19</f>
        <v>27</v>
      </c>
      <c r="E2" t="s">
        <v>59</v>
      </c>
      <c r="F2">
        <f>A40-H1</f>
        <v>4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_xlfn.DAYS(A4,B1)</f>
        <v>31</v>
      </c>
      <c r="C4" s="4">
        <f>$D$1</f>
        <v>34674</v>
      </c>
      <c r="D4" s="2">
        <f t="shared" ref="D4:D59" si="0">C4-E4</f>
        <v>21934.27</v>
      </c>
      <c r="E4" s="19">
        <f>ROUND(F4*$B$2*B4/365,2)</f>
        <v>12739.73</v>
      </c>
      <c r="F4" s="53">
        <v>1000000</v>
      </c>
      <c r="G4" s="2">
        <f>F4-D4</f>
        <v>978065.73</v>
      </c>
      <c r="H4" s="14">
        <f>F4*$B$2*B4/365</f>
        <v>12739.726027397261</v>
      </c>
      <c r="I4" s="16">
        <f>H4-E4</f>
        <v>-3.9726027389406227E-3</v>
      </c>
    </row>
    <row r="5" spans="1:10" x14ac:dyDescent="0.25">
      <c r="A5" s="54">
        <v>41917</v>
      </c>
      <c r="B5" s="1">
        <f>_xlfn.DAYS(A5,A4)</f>
        <v>30</v>
      </c>
      <c r="C5" s="4">
        <f>$D$1</f>
        <v>34674</v>
      </c>
      <c r="D5" s="2">
        <f t="shared" si="0"/>
        <v>22615.66</v>
      </c>
      <c r="E5" s="19">
        <f>ROUND(F5*$B$2*B5/365,2)</f>
        <v>12058.34</v>
      </c>
      <c r="F5" s="2">
        <f>G4</f>
        <v>978065.73</v>
      </c>
      <c r="G5" s="2">
        <f>F5-D5</f>
        <v>955450.07</v>
      </c>
      <c r="H5" s="14">
        <f t="shared" ref="H5:H33" si="1">F5*$B$2*B5/365</f>
        <v>12058.344616438357</v>
      </c>
      <c r="I5" s="16">
        <f t="shared" ref="I5:I33" si="2">H5-E5</f>
        <v>4.6164383566065226E-3</v>
      </c>
    </row>
    <row r="6" spans="1:10" x14ac:dyDescent="0.25">
      <c r="A6" s="54">
        <v>41948</v>
      </c>
      <c r="B6" s="1">
        <f t="shared" ref="B6:B59" si="3">_xlfn.DAYS(A6,A5)</f>
        <v>31</v>
      </c>
      <c r="C6" s="4">
        <f t="shared" ref="C6:C39" si="4">$D$1</f>
        <v>34674</v>
      </c>
      <c r="D6" s="2">
        <f t="shared" si="0"/>
        <v>22501.83</v>
      </c>
      <c r="E6" s="19">
        <f t="shared" ref="E6:E38" si="5">ROUND(F6*$B$2*B6/365,2)</f>
        <v>12172.17</v>
      </c>
      <c r="F6" s="2">
        <f t="shared" ref="F6:F39" si="6">G5</f>
        <v>955450.07</v>
      </c>
      <c r="G6" s="2">
        <f t="shared" ref="G6:G59" si="7">F6-D6</f>
        <v>932948.24</v>
      </c>
      <c r="H6" s="14">
        <f t="shared" si="1"/>
        <v>12172.172124657533</v>
      </c>
      <c r="I6" s="16">
        <f t="shared" si="2"/>
        <v>2.1246575324767036E-3</v>
      </c>
    </row>
    <row r="7" spans="1:10" x14ac:dyDescent="0.25">
      <c r="A7" s="54">
        <v>41978</v>
      </c>
      <c r="B7" s="1">
        <f t="shared" si="3"/>
        <v>30</v>
      </c>
      <c r="C7" s="4">
        <f t="shared" si="4"/>
        <v>34674</v>
      </c>
      <c r="D7" s="2">
        <f t="shared" si="0"/>
        <v>23171.9</v>
      </c>
      <c r="E7" s="19">
        <f t="shared" si="5"/>
        <v>11502.1</v>
      </c>
      <c r="F7" s="2">
        <f t="shared" si="6"/>
        <v>932948.24</v>
      </c>
      <c r="G7" s="2">
        <f t="shared" si="7"/>
        <v>909776.34</v>
      </c>
      <c r="H7" s="14">
        <f t="shared" si="1"/>
        <v>11502.101589041096</v>
      </c>
      <c r="I7" s="16">
        <f t="shared" si="2"/>
        <v>1.5890410959400469E-3</v>
      </c>
    </row>
    <row r="8" spans="1:10" x14ac:dyDescent="0.25">
      <c r="A8" s="54">
        <v>42009</v>
      </c>
      <c r="B8" s="1">
        <f t="shared" si="3"/>
        <v>31</v>
      </c>
      <c r="C8" s="4">
        <f t="shared" si="4"/>
        <v>34674</v>
      </c>
      <c r="D8" s="2">
        <f t="shared" si="0"/>
        <v>23083.7</v>
      </c>
      <c r="E8" s="19">
        <f t="shared" si="5"/>
        <v>11590.3</v>
      </c>
      <c r="F8" s="2">
        <f t="shared" si="6"/>
        <v>909776.34</v>
      </c>
      <c r="G8" s="2">
        <f t="shared" si="7"/>
        <v>886692.64</v>
      </c>
      <c r="H8" s="14">
        <f t="shared" si="1"/>
        <v>11590.301317808218</v>
      </c>
      <c r="I8" s="16">
        <f t="shared" si="2"/>
        <v>1.3178082190279383E-3</v>
      </c>
    </row>
    <row r="9" spans="1:10" x14ac:dyDescent="0.25">
      <c r="A9" s="54">
        <v>42040</v>
      </c>
      <c r="B9" s="1">
        <f t="shared" si="3"/>
        <v>31</v>
      </c>
      <c r="C9" s="4">
        <f t="shared" si="4"/>
        <v>34674</v>
      </c>
      <c r="D9" s="2">
        <f t="shared" si="0"/>
        <v>23377.78</v>
      </c>
      <c r="E9" s="19">
        <f t="shared" si="5"/>
        <v>11296.22</v>
      </c>
      <c r="F9" s="2">
        <f t="shared" si="6"/>
        <v>886692.64</v>
      </c>
      <c r="G9" s="2">
        <f t="shared" si="7"/>
        <v>863314.86</v>
      </c>
      <c r="H9" s="14">
        <f t="shared" si="1"/>
        <v>11296.221304109589</v>
      </c>
      <c r="I9" s="16">
        <f t="shared" si="2"/>
        <v>1.3041095899097854E-3</v>
      </c>
    </row>
    <row r="10" spans="1:10" x14ac:dyDescent="0.25">
      <c r="A10" s="54">
        <v>42068</v>
      </c>
      <c r="B10" s="1">
        <f t="shared" si="3"/>
        <v>28</v>
      </c>
      <c r="C10" s="4">
        <f t="shared" si="4"/>
        <v>34674</v>
      </c>
      <c r="D10" s="2">
        <f t="shared" si="0"/>
        <v>24739.97</v>
      </c>
      <c r="E10" s="19">
        <f t="shared" si="5"/>
        <v>9934.0300000000007</v>
      </c>
      <c r="F10" s="2">
        <f t="shared" si="6"/>
        <v>863314.86</v>
      </c>
      <c r="G10" s="2">
        <f t="shared" si="7"/>
        <v>838574.89</v>
      </c>
      <c r="H10" s="14">
        <f t="shared" si="1"/>
        <v>9934.0340054794506</v>
      </c>
      <c r="I10" s="16">
        <f t="shared" si="2"/>
        <v>4.0054794499155832E-3</v>
      </c>
    </row>
    <row r="11" spans="1:10" x14ac:dyDescent="0.25">
      <c r="A11" s="54">
        <v>42099</v>
      </c>
      <c r="B11" s="1">
        <f t="shared" si="3"/>
        <v>31</v>
      </c>
      <c r="C11" s="4">
        <f t="shared" si="4"/>
        <v>34674</v>
      </c>
      <c r="D11" s="2">
        <f t="shared" si="0"/>
        <v>23990.79</v>
      </c>
      <c r="E11" s="19">
        <f t="shared" si="5"/>
        <v>10683.21</v>
      </c>
      <c r="F11" s="2">
        <f t="shared" si="6"/>
        <v>838574.89</v>
      </c>
      <c r="G11" s="2">
        <f t="shared" si="7"/>
        <v>814584.1</v>
      </c>
      <c r="H11" s="14">
        <f t="shared" si="1"/>
        <v>10683.214352054794</v>
      </c>
      <c r="I11" s="16">
        <f t="shared" si="2"/>
        <v>4.3520547951629851E-3</v>
      </c>
    </row>
    <row r="12" spans="1:10" x14ac:dyDescent="0.25">
      <c r="A12" s="54">
        <v>42129</v>
      </c>
      <c r="B12" s="1">
        <f t="shared" si="3"/>
        <v>30</v>
      </c>
      <c r="C12" s="4">
        <f t="shared" si="4"/>
        <v>34674</v>
      </c>
      <c r="D12" s="2">
        <f t="shared" si="0"/>
        <v>24631.18</v>
      </c>
      <c r="E12" s="19">
        <f t="shared" si="5"/>
        <v>10042.82</v>
      </c>
      <c r="F12" s="2">
        <f t="shared" si="6"/>
        <v>814584.1</v>
      </c>
      <c r="G12" s="2">
        <f t="shared" si="7"/>
        <v>789952.91999999993</v>
      </c>
      <c r="H12" s="14">
        <f t="shared" si="1"/>
        <v>10042.817671232877</v>
      </c>
      <c r="I12" s="16">
        <f t="shared" si="2"/>
        <v>-2.3287671228899853E-3</v>
      </c>
    </row>
    <row r="13" spans="1:10" x14ac:dyDescent="0.25">
      <c r="A13" s="54">
        <v>42160</v>
      </c>
      <c r="B13" s="1">
        <f t="shared" si="3"/>
        <v>31</v>
      </c>
      <c r="C13" s="4">
        <f t="shared" si="4"/>
        <v>34674</v>
      </c>
      <c r="D13" s="2">
        <f t="shared" si="0"/>
        <v>24610.22</v>
      </c>
      <c r="E13" s="19">
        <f t="shared" si="5"/>
        <v>10063.780000000001</v>
      </c>
      <c r="F13" s="2">
        <f t="shared" si="6"/>
        <v>789952.91999999993</v>
      </c>
      <c r="G13" s="2">
        <f t="shared" si="7"/>
        <v>765342.7</v>
      </c>
      <c r="H13" s="14">
        <f t="shared" si="1"/>
        <v>10063.783775342465</v>
      </c>
      <c r="I13" s="16">
        <f t="shared" si="2"/>
        <v>3.7753424639959121E-3</v>
      </c>
    </row>
    <row r="14" spans="1:10" x14ac:dyDescent="0.25">
      <c r="A14" s="54">
        <v>42190</v>
      </c>
      <c r="B14" s="1">
        <f t="shared" si="3"/>
        <v>30</v>
      </c>
      <c r="C14" s="4">
        <f t="shared" si="4"/>
        <v>34674</v>
      </c>
      <c r="D14" s="2">
        <f t="shared" si="0"/>
        <v>25238.27</v>
      </c>
      <c r="E14" s="19">
        <f t="shared" si="5"/>
        <v>9435.73</v>
      </c>
      <c r="F14" s="2">
        <f t="shared" si="6"/>
        <v>765342.7</v>
      </c>
      <c r="G14" s="2">
        <f t="shared" si="7"/>
        <v>740104.42999999993</v>
      </c>
      <c r="H14" s="14">
        <f t="shared" si="1"/>
        <v>9435.731917808218</v>
      </c>
      <c r="I14" s="16">
        <f t="shared" si="2"/>
        <v>1.9178082184225786E-3</v>
      </c>
    </row>
    <row r="15" spans="1:10" x14ac:dyDescent="0.25">
      <c r="A15" s="54">
        <v>42221</v>
      </c>
      <c r="B15" s="1">
        <f t="shared" si="3"/>
        <v>31</v>
      </c>
      <c r="C15" s="4">
        <f t="shared" si="4"/>
        <v>34674</v>
      </c>
      <c r="D15" s="2">
        <f t="shared" si="0"/>
        <v>25245.27</v>
      </c>
      <c r="E15" s="19">
        <f t="shared" si="5"/>
        <v>9428.73</v>
      </c>
      <c r="F15" s="2">
        <f t="shared" si="6"/>
        <v>740104.42999999993</v>
      </c>
      <c r="G15" s="2">
        <f t="shared" si="7"/>
        <v>714859.15999999992</v>
      </c>
      <c r="H15" s="14">
        <f t="shared" si="1"/>
        <v>9428.7276698630121</v>
      </c>
      <c r="I15" s="16">
        <f t="shared" si="2"/>
        <v>-2.3301369874388911E-3</v>
      </c>
    </row>
    <row r="16" spans="1:10" x14ac:dyDescent="0.25">
      <c r="A16" s="54">
        <v>42252</v>
      </c>
      <c r="B16" s="1">
        <f t="shared" si="3"/>
        <v>31</v>
      </c>
      <c r="C16" s="4">
        <f t="shared" si="4"/>
        <v>34674</v>
      </c>
      <c r="D16" s="2">
        <f t="shared" si="0"/>
        <v>25566.89</v>
      </c>
      <c r="E16" s="19">
        <f t="shared" si="5"/>
        <v>9107.11</v>
      </c>
      <c r="F16" s="2">
        <f t="shared" si="6"/>
        <v>714859.15999999992</v>
      </c>
      <c r="G16" s="2">
        <f t="shared" si="7"/>
        <v>689292.2699999999</v>
      </c>
      <c r="H16" s="14">
        <f t="shared" si="1"/>
        <v>9107.1098465753421</v>
      </c>
      <c r="I16" s="16">
        <f t="shared" si="2"/>
        <v>-1.5342465849244036E-4</v>
      </c>
    </row>
    <row r="17" spans="1:9" x14ac:dyDescent="0.25">
      <c r="A17" s="54">
        <v>42282</v>
      </c>
      <c r="B17" s="1">
        <f t="shared" si="3"/>
        <v>30</v>
      </c>
      <c r="C17" s="4">
        <f t="shared" si="4"/>
        <v>34674</v>
      </c>
      <c r="D17" s="2">
        <f t="shared" si="0"/>
        <v>26175.879999999997</v>
      </c>
      <c r="E17" s="19">
        <f t="shared" si="5"/>
        <v>8498.1200000000008</v>
      </c>
      <c r="F17" s="2">
        <f t="shared" si="6"/>
        <v>689292.2699999999</v>
      </c>
      <c r="G17" s="2">
        <f t="shared" si="7"/>
        <v>663116.3899999999</v>
      </c>
      <c r="H17" s="14">
        <f t="shared" si="1"/>
        <v>8498.1238767123268</v>
      </c>
      <c r="I17" s="16">
        <f t="shared" si="2"/>
        <v>3.8767123260186054E-3</v>
      </c>
    </row>
    <row r="18" spans="1:9" x14ac:dyDescent="0.25">
      <c r="A18" s="54">
        <v>42313</v>
      </c>
      <c r="B18" s="1">
        <f t="shared" si="3"/>
        <v>31</v>
      </c>
      <c r="C18" s="4">
        <f t="shared" si="4"/>
        <v>34674</v>
      </c>
      <c r="D18" s="2">
        <f t="shared" si="0"/>
        <v>26226.080000000002</v>
      </c>
      <c r="E18" s="19">
        <f t="shared" si="5"/>
        <v>8447.92</v>
      </c>
      <c r="F18" s="2">
        <f t="shared" si="6"/>
        <v>663116.3899999999</v>
      </c>
      <c r="G18" s="2">
        <f t="shared" si="7"/>
        <v>636890.30999999994</v>
      </c>
      <c r="H18" s="14">
        <f t="shared" si="1"/>
        <v>8447.9211328767105</v>
      </c>
      <c r="I18" s="16">
        <f t="shared" si="2"/>
        <v>1.1328767104714643E-3</v>
      </c>
    </row>
    <row r="19" spans="1:9" x14ac:dyDescent="0.25">
      <c r="A19" s="54">
        <v>42343</v>
      </c>
      <c r="B19" s="1">
        <f t="shared" si="3"/>
        <v>30</v>
      </c>
      <c r="C19" s="4">
        <f t="shared" si="4"/>
        <v>34674</v>
      </c>
      <c r="D19" s="2">
        <f t="shared" si="0"/>
        <v>26821.93</v>
      </c>
      <c r="E19" s="19">
        <f t="shared" si="5"/>
        <v>7852.07</v>
      </c>
      <c r="F19" s="2">
        <f t="shared" si="6"/>
        <v>636890.30999999994</v>
      </c>
      <c r="G19" s="2">
        <f t="shared" si="7"/>
        <v>610068.37999999989</v>
      </c>
      <c r="H19" s="14">
        <f t="shared" si="1"/>
        <v>7852.0723150684917</v>
      </c>
      <c r="I19" s="16">
        <f t="shared" si="2"/>
        <v>2.315068491952843E-3</v>
      </c>
    </row>
    <row r="20" spans="1:9" x14ac:dyDescent="0.25">
      <c r="A20" s="54">
        <v>42374</v>
      </c>
      <c r="B20" s="1">
        <f t="shared" si="3"/>
        <v>31</v>
      </c>
      <c r="C20" s="4">
        <f t="shared" si="4"/>
        <v>34674</v>
      </c>
      <c r="D20" s="2">
        <f t="shared" si="0"/>
        <v>26901.9</v>
      </c>
      <c r="E20" s="19">
        <f t="shared" si="5"/>
        <v>7772.1</v>
      </c>
      <c r="F20" s="2">
        <f t="shared" si="6"/>
        <v>610068.37999999989</v>
      </c>
      <c r="G20" s="2">
        <f t="shared" si="7"/>
        <v>583166.47999999986</v>
      </c>
      <c r="H20" s="14">
        <f t="shared" si="1"/>
        <v>7772.1040191780803</v>
      </c>
      <c r="I20" s="16">
        <f t="shared" si="2"/>
        <v>4.0191780799432308E-3</v>
      </c>
    </row>
    <row r="21" spans="1:9" x14ac:dyDescent="0.25">
      <c r="A21" s="54">
        <v>42405</v>
      </c>
      <c r="B21" s="1">
        <f t="shared" si="3"/>
        <v>31</v>
      </c>
      <c r="C21" s="4">
        <f t="shared" si="4"/>
        <v>34674</v>
      </c>
      <c r="D21" s="2">
        <f t="shared" si="0"/>
        <v>27244.62</v>
      </c>
      <c r="E21" s="19">
        <f t="shared" si="5"/>
        <v>7429.38</v>
      </c>
      <c r="F21" s="2">
        <f t="shared" si="6"/>
        <v>583166.47999999986</v>
      </c>
      <c r="G21" s="2">
        <f t="shared" si="7"/>
        <v>555921.85999999987</v>
      </c>
      <c r="H21" s="14">
        <f t="shared" si="1"/>
        <v>7429.3811835616416</v>
      </c>
      <c r="I21" s="16">
        <f t="shared" si="2"/>
        <v>1.183561641482811E-3</v>
      </c>
    </row>
    <row r="22" spans="1:9" x14ac:dyDescent="0.25">
      <c r="A22" s="54">
        <v>42434</v>
      </c>
      <c r="B22" s="1">
        <f t="shared" si="3"/>
        <v>29</v>
      </c>
      <c r="C22" s="4">
        <f t="shared" si="4"/>
        <v>34674</v>
      </c>
      <c r="D22" s="2">
        <f t="shared" si="0"/>
        <v>28048.63</v>
      </c>
      <c r="E22" s="19">
        <f t="shared" si="5"/>
        <v>6625.37</v>
      </c>
      <c r="F22" s="2">
        <f t="shared" si="6"/>
        <v>555921.85999999987</v>
      </c>
      <c r="G22" s="2">
        <f t="shared" si="7"/>
        <v>527873.22999999986</v>
      </c>
      <c r="H22" s="14">
        <f t="shared" si="1"/>
        <v>6625.3701123287656</v>
      </c>
      <c r="I22" s="16">
        <f t="shared" si="2"/>
        <v>1.1232876568101346E-4</v>
      </c>
    </row>
    <row r="23" spans="1:9" x14ac:dyDescent="0.25">
      <c r="A23" s="54">
        <v>42465</v>
      </c>
      <c r="B23" s="1">
        <f t="shared" si="3"/>
        <v>31</v>
      </c>
      <c r="C23" s="4">
        <f t="shared" si="4"/>
        <v>34674</v>
      </c>
      <c r="D23" s="2">
        <f t="shared" si="0"/>
        <v>27949.040000000001</v>
      </c>
      <c r="E23" s="19">
        <f t="shared" si="5"/>
        <v>6724.96</v>
      </c>
      <c r="F23" s="2">
        <f t="shared" si="6"/>
        <v>527873.22999999986</v>
      </c>
      <c r="G23" s="2">
        <f t="shared" si="7"/>
        <v>499924.18999999989</v>
      </c>
      <c r="H23" s="14">
        <f t="shared" si="1"/>
        <v>6724.9603273972589</v>
      </c>
      <c r="I23" s="16">
        <f t="shared" si="2"/>
        <v>3.2739725884312065E-4</v>
      </c>
    </row>
    <row r="24" spans="1:9" x14ac:dyDescent="0.25">
      <c r="A24" s="54">
        <v>42495</v>
      </c>
      <c r="B24" s="1">
        <f t="shared" si="3"/>
        <v>30</v>
      </c>
      <c r="C24" s="4">
        <f t="shared" si="4"/>
        <v>34674</v>
      </c>
      <c r="D24" s="2">
        <f t="shared" si="0"/>
        <v>28510.55</v>
      </c>
      <c r="E24" s="19">
        <f t="shared" si="5"/>
        <v>6163.45</v>
      </c>
      <c r="F24" s="2">
        <f t="shared" si="6"/>
        <v>499924.18999999989</v>
      </c>
      <c r="G24" s="2">
        <f t="shared" si="7"/>
        <v>471413.6399999999</v>
      </c>
      <c r="H24" s="14">
        <f t="shared" si="1"/>
        <v>6163.4489178082176</v>
      </c>
      <c r="I24" s="16">
        <f t="shared" si="2"/>
        <v>-1.0821917821886018E-3</v>
      </c>
    </row>
    <row r="25" spans="1:9" x14ac:dyDescent="0.25">
      <c r="A25" s="54">
        <v>42526</v>
      </c>
      <c r="B25" s="1">
        <f t="shared" si="3"/>
        <v>31</v>
      </c>
      <c r="C25" s="4">
        <f t="shared" si="4"/>
        <v>34674</v>
      </c>
      <c r="D25" s="2">
        <f t="shared" si="0"/>
        <v>28668.32</v>
      </c>
      <c r="E25" s="19">
        <f t="shared" si="5"/>
        <v>6005.68</v>
      </c>
      <c r="F25" s="2">
        <f t="shared" si="6"/>
        <v>471413.6399999999</v>
      </c>
      <c r="G25" s="2">
        <f t="shared" si="7"/>
        <v>442745.31999999989</v>
      </c>
      <c r="H25" s="14">
        <f t="shared" si="1"/>
        <v>6005.6806191780806</v>
      </c>
      <c r="I25" s="16">
        <f t="shared" si="2"/>
        <v>6.1917808034195332E-4</v>
      </c>
    </row>
    <row r="26" spans="1:9" x14ac:dyDescent="0.25">
      <c r="A26" s="54">
        <v>42556</v>
      </c>
      <c r="B26" s="1">
        <f t="shared" si="3"/>
        <v>30</v>
      </c>
      <c r="C26" s="4">
        <f t="shared" si="4"/>
        <v>34674</v>
      </c>
      <c r="D26" s="2">
        <f t="shared" si="0"/>
        <v>29215.5</v>
      </c>
      <c r="E26" s="19">
        <f t="shared" si="5"/>
        <v>5458.5</v>
      </c>
      <c r="F26" s="2">
        <f t="shared" si="6"/>
        <v>442745.31999999989</v>
      </c>
      <c r="G26" s="2">
        <f t="shared" si="7"/>
        <v>413529.81999999989</v>
      </c>
      <c r="H26" s="14">
        <f t="shared" si="1"/>
        <v>5458.503945205478</v>
      </c>
      <c r="I26" s="16">
        <f t="shared" si="2"/>
        <v>3.9452054779758328E-3</v>
      </c>
    </row>
    <row r="27" spans="1:9" x14ac:dyDescent="0.25">
      <c r="A27" s="54">
        <v>42587</v>
      </c>
      <c r="B27" s="1">
        <f t="shared" si="3"/>
        <v>31</v>
      </c>
      <c r="C27" s="4">
        <f t="shared" si="4"/>
        <v>34674</v>
      </c>
      <c r="D27" s="2">
        <f t="shared" si="0"/>
        <v>29405.739999999998</v>
      </c>
      <c r="E27" s="19">
        <f t="shared" si="5"/>
        <v>5268.26</v>
      </c>
      <c r="F27" s="2">
        <f t="shared" si="6"/>
        <v>413529.81999999989</v>
      </c>
      <c r="G27" s="2">
        <f t="shared" si="7"/>
        <v>384124.0799999999</v>
      </c>
      <c r="H27" s="14">
        <f t="shared" si="1"/>
        <v>5268.2566109589025</v>
      </c>
      <c r="I27" s="16">
        <f t="shared" si="2"/>
        <v>-3.3890410977619467E-3</v>
      </c>
    </row>
    <row r="28" spans="1:9" x14ac:dyDescent="0.25">
      <c r="A28" s="54">
        <v>42618</v>
      </c>
      <c r="B28" s="1">
        <f t="shared" si="3"/>
        <v>31</v>
      </c>
      <c r="C28" s="4">
        <f t="shared" si="4"/>
        <v>34674</v>
      </c>
      <c r="D28" s="2">
        <f t="shared" si="0"/>
        <v>29780.36</v>
      </c>
      <c r="E28" s="19">
        <f t="shared" si="5"/>
        <v>4893.6400000000003</v>
      </c>
      <c r="F28" s="2">
        <f t="shared" si="6"/>
        <v>384124.0799999999</v>
      </c>
      <c r="G28" s="2">
        <f t="shared" si="7"/>
        <v>354343.71999999991</v>
      </c>
      <c r="H28" s="14">
        <f t="shared" si="1"/>
        <v>4893.6355397260259</v>
      </c>
      <c r="I28" s="16">
        <f t="shared" si="2"/>
        <v>-4.4602739744732389E-3</v>
      </c>
    </row>
    <row r="29" spans="1:9" x14ac:dyDescent="0.25">
      <c r="A29" s="54">
        <v>42648</v>
      </c>
      <c r="B29" s="1">
        <f t="shared" si="3"/>
        <v>30</v>
      </c>
      <c r="C29" s="4">
        <f t="shared" si="4"/>
        <v>34674</v>
      </c>
      <c r="D29" s="2">
        <f t="shared" si="0"/>
        <v>30305.38</v>
      </c>
      <c r="E29" s="19">
        <f t="shared" si="5"/>
        <v>4368.62</v>
      </c>
      <c r="F29" s="2">
        <f t="shared" si="6"/>
        <v>354343.71999999991</v>
      </c>
      <c r="G29" s="2">
        <f t="shared" si="7"/>
        <v>324038.33999999991</v>
      </c>
      <c r="H29" s="14">
        <f t="shared" si="1"/>
        <v>4368.6212054794505</v>
      </c>
      <c r="I29" s="16">
        <f t="shared" si="2"/>
        <v>1.2054794506184408E-3</v>
      </c>
    </row>
    <row r="30" spans="1:9" x14ac:dyDescent="0.25">
      <c r="A30" s="54">
        <v>42679</v>
      </c>
      <c r="B30" s="1">
        <f t="shared" si="3"/>
        <v>31</v>
      </c>
      <c r="C30" s="4">
        <f t="shared" si="4"/>
        <v>34674</v>
      </c>
      <c r="D30" s="2">
        <f t="shared" si="0"/>
        <v>30545.84</v>
      </c>
      <c r="E30" s="19">
        <f t="shared" si="5"/>
        <v>4128.16</v>
      </c>
      <c r="F30" s="2">
        <f t="shared" si="6"/>
        <v>324038.33999999991</v>
      </c>
      <c r="G30" s="2">
        <f t="shared" si="7"/>
        <v>293492.49999999988</v>
      </c>
      <c r="H30" s="14">
        <f t="shared" si="1"/>
        <v>4128.159673972601</v>
      </c>
      <c r="I30" s="16">
        <f t="shared" si="2"/>
        <v>-3.2602739884168841E-4</v>
      </c>
    </row>
    <row r="31" spans="1:9" x14ac:dyDescent="0.25">
      <c r="A31" s="54">
        <v>42709</v>
      </c>
      <c r="B31" s="1">
        <f t="shared" si="3"/>
        <v>30</v>
      </c>
      <c r="C31" s="4">
        <f t="shared" si="4"/>
        <v>34674</v>
      </c>
      <c r="D31" s="2">
        <f t="shared" si="0"/>
        <v>31055.599999999999</v>
      </c>
      <c r="E31" s="19">
        <f t="shared" si="5"/>
        <v>3618.4</v>
      </c>
      <c r="F31" s="2">
        <f t="shared" si="6"/>
        <v>293492.49999999988</v>
      </c>
      <c r="G31" s="2">
        <f t="shared" si="7"/>
        <v>262436.89999999991</v>
      </c>
      <c r="H31" s="14">
        <f t="shared" si="1"/>
        <v>3618.4006849315051</v>
      </c>
      <c r="I31" s="16">
        <f t="shared" si="2"/>
        <v>6.849315050203586E-4</v>
      </c>
    </row>
    <row r="32" spans="1:9" x14ac:dyDescent="0.25">
      <c r="A32" s="54">
        <v>42740</v>
      </c>
      <c r="B32" s="1">
        <f t="shared" si="3"/>
        <v>31</v>
      </c>
      <c r="C32" s="4">
        <f t="shared" si="4"/>
        <v>34674</v>
      </c>
      <c r="D32" s="2">
        <f t="shared" si="0"/>
        <v>31330.63</v>
      </c>
      <c r="E32" s="19">
        <f t="shared" si="5"/>
        <v>3343.37</v>
      </c>
      <c r="F32" s="2">
        <f t="shared" si="6"/>
        <v>262436.89999999991</v>
      </c>
      <c r="G32" s="2">
        <f t="shared" si="7"/>
        <v>231106.2699999999</v>
      </c>
      <c r="H32" s="14">
        <f t="shared" si="1"/>
        <v>3343.3742054794507</v>
      </c>
      <c r="I32" s="16">
        <f t="shared" si="2"/>
        <v>4.2054794507748738E-3</v>
      </c>
    </row>
    <row r="33" spans="1:9" x14ac:dyDescent="0.25">
      <c r="A33" s="54">
        <v>42771</v>
      </c>
      <c r="B33" s="1">
        <f t="shared" si="3"/>
        <v>31</v>
      </c>
      <c r="C33" s="4">
        <f t="shared" si="4"/>
        <v>34674</v>
      </c>
      <c r="D33" s="2">
        <f t="shared" si="0"/>
        <v>31729.77</v>
      </c>
      <c r="E33" s="19">
        <f t="shared" si="5"/>
        <v>2944.23</v>
      </c>
      <c r="F33" s="2">
        <f t="shared" si="6"/>
        <v>231106.2699999999</v>
      </c>
      <c r="G33" s="2">
        <f t="shared" si="7"/>
        <v>199376.49999999991</v>
      </c>
      <c r="H33" s="14">
        <f t="shared" si="1"/>
        <v>2944.2305630136971</v>
      </c>
      <c r="I33" s="16">
        <f t="shared" si="2"/>
        <v>5.6301369704669924E-4</v>
      </c>
    </row>
    <row r="34" spans="1:9" x14ac:dyDescent="0.25">
      <c r="A34" s="54">
        <v>42799</v>
      </c>
      <c r="B34" s="1">
        <f t="shared" si="3"/>
        <v>28</v>
      </c>
      <c r="C34" s="4">
        <f t="shared" si="4"/>
        <v>34674</v>
      </c>
      <c r="D34" s="2">
        <f t="shared" si="0"/>
        <v>32379.8</v>
      </c>
      <c r="E34" s="19">
        <f t="shared" si="5"/>
        <v>2294.1999999999998</v>
      </c>
      <c r="F34" s="2">
        <f t="shared" si="6"/>
        <v>199376.49999999991</v>
      </c>
      <c r="G34" s="2">
        <f t="shared" si="7"/>
        <v>166996.69999999992</v>
      </c>
      <c r="H34" s="14"/>
      <c r="I34" s="16"/>
    </row>
    <row r="35" spans="1:9" x14ac:dyDescent="0.25">
      <c r="A35" s="54">
        <v>42830</v>
      </c>
      <c r="B35" s="1">
        <f t="shared" si="3"/>
        <v>31</v>
      </c>
      <c r="C35" s="4">
        <f t="shared" si="4"/>
        <v>34674</v>
      </c>
      <c r="D35" s="2">
        <f t="shared" si="0"/>
        <v>32546.510000000002</v>
      </c>
      <c r="E35" s="19">
        <f t="shared" si="5"/>
        <v>2127.4899999999998</v>
      </c>
      <c r="F35" s="2">
        <f t="shared" si="6"/>
        <v>166996.69999999992</v>
      </c>
      <c r="G35" s="2">
        <f t="shared" si="7"/>
        <v>134450.18999999992</v>
      </c>
      <c r="H35" s="14"/>
      <c r="I35" s="16"/>
    </row>
    <row r="36" spans="1:9" x14ac:dyDescent="0.25">
      <c r="A36" s="54">
        <v>42860</v>
      </c>
      <c r="B36" s="1">
        <f t="shared" si="3"/>
        <v>30</v>
      </c>
      <c r="C36" s="4">
        <f t="shared" si="4"/>
        <v>34674</v>
      </c>
      <c r="D36" s="2">
        <f t="shared" si="0"/>
        <v>33016.39</v>
      </c>
      <c r="E36" s="19">
        <f t="shared" si="5"/>
        <v>1657.61</v>
      </c>
      <c r="F36" s="2">
        <f t="shared" si="6"/>
        <v>134450.18999999992</v>
      </c>
      <c r="G36" s="2">
        <f t="shared" si="7"/>
        <v>101433.79999999992</v>
      </c>
      <c r="H36" s="14"/>
      <c r="I36" s="16"/>
    </row>
    <row r="37" spans="1:9" x14ac:dyDescent="0.25">
      <c r="A37" s="54">
        <v>42891</v>
      </c>
      <c r="B37" s="1">
        <f t="shared" si="3"/>
        <v>31</v>
      </c>
      <c r="C37" s="4">
        <f t="shared" si="4"/>
        <v>34674</v>
      </c>
      <c r="D37" s="2">
        <f t="shared" si="0"/>
        <v>33381.760000000002</v>
      </c>
      <c r="E37" s="19">
        <f t="shared" si="5"/>
        <v>1292.24</v>
      </c>
      <c r="F37" s="2">
        <f t="shared" si="6"/>
        <v>101433.79999999992</v>
      </c>
      <c r="G37" s="2">
        <f t="shared" si="7"/>
        <v>68052.039999999921</v>
      </c>
      <c r="H37" s="14"/>
      <c r="I37" s="16"/>
    </row>
    <row r="38" spans="1:9" x14ac:dyDescent="0.25">
      <c r="A38" s="54">
        <v>42921</v>
      </c>
      <c r="B38" s="1">
        <f t="shared" si="3"/>
        <v>30</v>
      </c>
      <c r="C38" s="4">
        <f t="shared" si="4"/>
        <v>34674</v>
      </c>
      <c r="D38" s="2">
        <f t="shared" si="0"/>
        <v>33835</v>
      </c>
      <c r="E38" s="19">
        <f t="shared" si="5"/>
        <v>839</v>
      </c>
      <c r="F38" s="2">
        <f t="shared" si="6"/>
        <v>68052.039999999921</v>
      </c>
      <c r="G38" s="2">
        <f t="shared" si="7"/>
        <v>34217.039999999921</v>
      </c>
      <c r="H38" s="14"/>
      <c r="I38" s="16"/>
    </row>
    <row r="39" spans="1:9" x14ac:dyDescent="0.25">
      <c r="A39" s="54">
        <v>42952</v>
      </c>
      <c r="B39" s="1">
        <f t="shared" si="3"/>
        <v>31</v>
      </c>
      <c r="C39" s="4">
        <f t="shared" si="4"/>
        <v>34674</v>
      </c>
      <c r="D39" s="2">
        <f t="shared" si="0"/>
        <v>34217.039999999921</v>
      </c>
      <c r="E39" s="19">
        <v>456.96000000008092</v>
      </c>
      <c r="F39" s="2">
        <f t="shared" si="6"/>
        <v>34217.039999999921</v>
      </c>
      <c r="G39" s="2">
        <f t="shared" si="7"/>
        <v>0</v>
      </c>
      <c r="H39" s="14"/>
      <c r="I39" s="16"/>
    </row>
    <row r="40" spans="1:9" x14ac:dyDescent="0.25">
      <c r="A40" s="56">
        <v>42374</v>
      </c>
      <c r="B40" s="1">
        <f>_xlfn.DAYS(A20,A19)</f>
        <v>31</v>
      </c>
      <c r="C40" s="4">
        <f t="shared" ref="C40:C59" si="8">$F$1</f>
        <v>33371</v>
      </c>
      <c r="D40" s="2">
        <f t="shared" si="0"/>
        <v>25933.18</v>
      </c>
      <c r="E40" s="19">
        <f>ROUND(((F40*$B$2*D2/365)+(F40*$J$1*F2/365)),2)</f>
        <v>7437.82</v>
      </c>
      <c r="F40" s="2">
        <f>G19</f>
        <v>610068.37999999989</v>
      </c>
      <c r="G40" s="2">
        <f t="shared" si="7"/>
        <v>584135.19999999984</v>
      </c>
      <c r="H40" s="14"/>
      <c r="I40" s="16"/>
    </row>
    <row r="41" spans="1:9" x14ac:dyDescent="0.25">
      <c r="A41" s="56">
        <v>42405</v>
      </c>
      <c r="B41" s="1">
        <f t="shared" si="3"/>
        <v>31</v>
      </c>
      <c r="C41" s="4">
        <f t="shared" si="8"/>
        <v>33371</v>
      </c>
      <c r="D41" s="2">
        <f t="shared" si="0"/>
        <v>28409.85</v>
      </c>
      <c r="E41" s="19">
        <f>ROUND(F41*$J$1*B41/365,2)</f>
        <v>4961.1499999999996</v>
      </c>
      <c r="F41" s="2">
        <f>G40</f>
        <v>584135.19999999984</v>
      </c>
      <c r="G41" s="2">
        <f t="shared" si="7"/>
        <v>555725.34999999986</v>
      </c>
      <c r="H41" s="14"/>
      <c r="I41" s="16"/>
    </row>
    <row r="42" spans="1:9" x14ac:dyDescent="0.25">
      <c r="A42" s="56">
        <v>42434</v>
      </c>
      <c r="B42" s="1">
        <f t="shared" si="3"/>
        <v>29</v>
      </c>
      <c r="C42" s="4">
        <f t="shared" si="8"/>
        <v>33371</v>
      </c>
      <c r="D42" s="2">
        <f t="shared" si="0"/>
        <v>28955.65</v>
      </c>
      <c r="E42" s="19">
        <f t="shared" ref="E42:E58" si="9">ROUND(F42*$J$1*B42/365,2)</f>
        <v>4415.3500000000004</v>
      </c>
      <c r="F42" s="2">
        <f>G41</f>
        <v>555725.34999999986</v>
      </c>
      <c r="G42" s="2">
        <f t="shared" si="7"/>
        <v>526769.69999999984</v>
      </c>
      <c r="H42" s="14"/>
      <c r="I42" s="16"/>
    </row>
    <row r="43" spans="1:9" x14ac:dyDescent="0.25">
      <c r="A43" s="56">
        <v>42465</v>
      </c>
      <c r="B43" s="1">
        <f t="shared" si="3"/>
        <v>31</v>
      </c>
      <c r="C43" s="4">
        <f t="shared" si="8"/>
        <v>33371</v>
      </c>
      <c r="D43" s="2">
        <f t="shared" si="0"/>
        <v>28897.07</v>
      </c>
      <c r="E43" s="19">
        <f t="shared" si="9"/>
        <v>4473.93</v>
      </c>
      <c r="F43" s="2">
        <f t="shared" ref="F43:F59" si="10">G42</f>
        <v>526769.69999999984</v>
      </c>
      <c r="G43" s="2">
        <f t="shared" si="7"/>
        <v>497872.62999999983</v>
      </c>
      <c r="H43" s="14"/>
      <c r="I43" s="16"/>
    </row>
    <row r="44" spans="1:9" x14ac:dyDescent="0.25">
      <c r="A44" s="56">
        <v>42495</v>
      </c>
      <c r="B44" s="1">
        <f t="shared" si="3"/>
        <v>30</v>
      </c>
      <c r="C44" s="4">
        <f t="shared" si="8"/>
        <v>33371</v>
      </c>
      <c r="D44" s="2">
        <f t="shared" si="0"/>
        <v>29278.9</v>
      </c>
      <c r="E44" s="19">
        <f t="shared" si="9"/>
        <v>4092.1</v>
      </c>
      <c r="F44" s="2">
        <f t="shared" si="10"/>
        <v>497872.62999999983</v>
      </c>
      <c r="G44" s="2">
        <f t="shared" si="7"/>
        <v>468593.72999999981</v>
      </c>
      <c r="H44" s="14"/>
      <c r="I44" s="16"/>
    </row>
    <row r="45" spans="1:9" x14ac:dyDescent="0.25">
      <c r="A45" s="56">
        <v>42526</v>
      </c>
      <c r="B45" s="1">
        <f t="shared" si="3"/>
        <v>31</v>
      </c>
      <c r="C45" s="4">
        <f t="shared" si="8"/>
        <v>33371</v>
      </c>
      <c r="D45" s="2">
        <f t="shared" si="0"/>
        <v>29391.16</v>
      </c>
      <c r="E45" s="19">
        <f t="shared" si="9"/>
        <v>3979.84</v>
      </c>
      <c r="F45" s="2">
        <f t="shared" si="10"/>
        <v>468593.72999999981</v>
      </c>
      <c r="G45" s="2">
        <f t="shared" si="7"/>
        <v>439202.56999999983</v>
      </c>
      <c r="H45" s="14"/>
      <c r="I45" s="16"/>
    </row>
    <row r="46" spans="1:9" x14ac:dyDescent="0.25">
      <c r="A46" s="56">
        <v>42556</v>
      </c>
      <c r="B46" s="1">
        <f t="shared" si="3"/>
        <v>30</v>
      </c>
      <c r="C46" s="4">
        <f t="shared" si="8"/>
        <v>33371</v>
      </c>
      <c r="D46" s="2">
        <f t="shared" si="0"/>
        <v>29761.119999999999</v>
      </c>
      <c r="E46" s="19">
        <f t="shared" si="9"/>
        <v>3609.88</v>
      </c>
      <c r="F46" s="2">
        <f t="shared" si="10"/>
        <v>439202.56999999983</v>
      </c>
      <c r="G46" s="2">
        <f t="shared" si="7"/>
        <v>409441.44999999984</v>
      </c>
      <c r="H46" s="14"/>
      <c r="I46" s="16"/>
    </row>
    <row r="47" spans="1:9" x14ac:dyDescent="0.25">
      <c r="A47" s="56">
        <v>42587</v>
      </c>
      <c r="B47" s="1">
        <f t="shared" si="3"/>
        <v>31</v>
      </c>
      <c r="C47" s="4">
        <f t="shared" si="8"/>
        <v>33371</v>
      </c>
      <c r="D47" s="2">
        <f t="shared" si="0"/>
        <v>29893.55</v>
      </c>
      <c r="E47" s="19">
        <f t="shared" si="9"/>
        <v>3477.45</v>
      </c>
      <c r="F47" s="2">
        <f t="shared" si="10"/>
        <v>409441.44999999984</v>
      </c>
      <c r="G47" s="2">
        <f t="shared" si="7"/>
        <v>379547.89999999985</v>
      </c>
      <c r="H47" s="14"/>
      <c r="I47" s="16"/>
    </row>
    <row r="48" spans="1:9" x14ac:dyDescent="0.25">
      <c r="A48" s="56">
        <v>42618</v>
      </c>
      <c r="B48" s="1">
        <f t="shared" si="3"/>
        <v>31</v>
      </c>
      <c r="C48" s="4">
        <f t="shared" si="8"/>
        <v>33371</v>
      </c>
      <c r="D48" s="2">
        <f t="shared" si="0"/>
        <v>30147.439999999999</v>
      </c>
      <c r="E48" s="19">
        <f t="shared" si="9"/>
        <v>3223.56</v>
      </c>
      <c r="F48" s="2">
        <f t="shared" si="10"/>
        <v>379547.89999999985</v>
      </c>
      <c r="G48" s="2">
        <f t="shared" si="7"/>
        <v>349400.45999999985</v>
      </c>
    </row>
    <row r="49" spans="1:7" x14ac:dyDescent="0.25">
      <c r="A49" s="56">
        <v>42648</v>
      </c>
      <c r="B49" s="1">
        <f t="shared" si="3"/>
        <v>30</v>
      </c>
      <c r="C49" s="4">
        <f t="shared" si="8"/>
        <v>33371</v>
      </c>
      <c r="D49" s="2">
        <f t="shared" si="0"/>
        <v>30499.22</v>
      </c>
      <c r="E49" s="19">
        <f t="shared" si="9"/>
        <v>2871.78</v>
      </c>
      <c r="F49" s="2">
        <f t="shared" si="10"/>
        <v>349400.45999999985</v>
      </c>
      <c r="G49" s="2">
        <f t="shared" si="7"/>
        <v>318901.23999999987</v>
      </c>
    </row>
    <row r="50" spans="1:7" x14ac:dyDescent="0.25">
      <c r="A50" s="56">
        <v>42679</v>
      </c>
      <c r="B50" s="1">
        <f t="shared" si="3"/>
        <v>31</v>
      </c>
      <c r="C50" s="4">
        <f t="shared" si="8"/>
        <v>33371</v>
      </c>
      <c r="D50" s="2">
        <f t="shared" si="0"/>
        <v>30662.52</v>
      </c>
      <c r="E50" s="19">
        <f t="shared" si="9"/>
        <v>2708.48</v>
      </c>
      <c r="F50" s="2">
        <f t="shared" si="10"/>
        <v>318901.23999999987</v>
      </c>
      <c r="G50" s="2">
        <f t="shared" si="7"/>
        <v>288238.71999999986</v>
      </c>
    </row>
    <row r="51" spans="1:7" x14ac:dyDescent="0.25">
      <c r="A51" s="56">
        <v>42709</v>
      </c>
      <c r="B51" s="1">
        <f t="shared" si="3"/>
        <v>30</v>
      </c>
      <c r="C51" s="4">
        <f t="shared" si="8"/>
        <v>33371</v>
      </c>
      <c r="D51" s="2">
        <f t="shared" si="0"/>
        <v>31001.91</v>
      </c>
      <c r="E51" s="19">
        <f t="shared" si="9"/>
        <v>2369.09</v>
      </c>
      <c r="F51" s="2">
        <f t="shared" si="10"/>
        <v>288238.71999999986</v>
      </c>
      <c r="G51" s="2">
        <f t="shared" si="7"/>
        <v>257236.80999999985</v>
      </c>
    </row>
    <row r="52" spans="1:7" x14ac:dyDescent="0.25">
      <c r="A52" s="56">
        <v>42740</v>
      </c>
      <c r="B52" s="1">
        <f t="shared" si="3"/>
        <v>31</v>
      </c>
      <c r="C52" s="4">
        <f t="shared" si="8"/>
        <v>33371</v>
      </c>
      <c r="D52" s="2">
        <f t="shared" si="0"/>
        <v>31186.25</v>
      </c>
      <c r="E52" s="19">
        <f t="shared" si="9"/>
        <v>2184.75</v>
      </c>
      <c r="F52" s="2">
        <f t="shared" si="10"/>
        <v>257236.80999999985</v>
      </c>
      <c r="G52" s="2">
        <f t="shared" si="7"/>
        <v>226050.55999999985</v>
      </c>
    </row>
    <row r="53" spans="1:7" x14ac:dyDescent="0.25">
      <c r="A53" s="56">
        <v>42771</v>
      </c>
      <c r="B53" s="1">
        <f t="shared" si="3"/>
        <v>31</v>
      </c>
      <c r="C53" s="4">
        <f t="shared" si="8"/>
        <v>33371</v>
      </c>
      <c r="D53" s="2">
        <f t="shared" si="0"/>
        <v>31451.119999999999</v>
      </c>
      <c r="E53" s="19">
        <f t="shared" si="9"/>
        <v>1919.88</v>
      </c>
      <c r="F53" s="2">
        <f t="shared" si="10"/>
        <v>226050.55999999985</v>
      </c>
      <c r="G53" s="2">
        <f t="shared" si="7"/>
        <v>194599.43999999986</v>
      </c>
    </row>
    <row r="54" spans="1:7" x14ac:dyDescent="0.25">
      <c r="A54" s="56">
        <v>42799</v>
      </c>
      <c r="B54" s="1">
        <f t="shared" si="3"/>
        <v>28</v>
      </c>
      <c r="C54" s="4">
        <f t="shared" si="8"/>
        <v>33371</v>
      </c>
      <c r="D54" s="2">
        <f t="shared" si="0"/>
        <v>31878.18</v>
      </c>
      <c r="E54" s="19">
        <f t="shared" si="9"/>
        <v>1492.82</v>
      </c>
      <c r="F54" s="2">
        <f t="shared" si="10"/>
        <v>194599.43999999986</v>
      </c>
      <c r="G54" s="2">
        <f t="shared" si="7"/>
        <v>162721.25999999986</v>
      </c>
    </row>
    <row r="55" spans="1:7" x14ac:dyDescent="0.25">
      <c r="A55" s="56">
        <v>42830</v>
      </c>
      <c r="B55" s="1">
        <f t="shared" si="3"/>
        <v>31</v>
      </c>
      <c r="C55" s="4">
        <f t="shared" si="8"/>
        <v>33371</v>
      </c>
      <c r="D55" s="2">
        <f t="shared" si="0"/>
        <v>31988.98</v>
      </c>
      <c r="E55" s="19">
        <f t="shared" si="9"/>
        <v>1382.02</v>
      </c>
      <c r="F55" s="2">
        <f t="shared" si="10"/>
        <v>162721.25999999986</v>
      </c>
      <c r="G55" s="2">
        <f t="shared" si="7"/>
        <v>130732.27999999987</v>
      </c>
    </row>
    <row r="56" spans="1:7" x14ac:dyDescent="0.25">
      <c r="A56" s="56">
        <v>42860</v>
      </c>
      <c r="B56" s="1">
        <f t="shared" si="3"/>
        <v>30</v>
      </c>
      <c r="C56" s="4">
        <f t="shared" si="8"/>
        <v>33371</v>
      </c>
      <c r="D56" s="2">
        <f t="shared" si="0"/>
        <v>32296.49</v>
      </c>
      <c r="E56" s="19">
        <f t="shared" si="9"/>
        <v>1074.51</v>
      </c>
      <c r="F56" s="2">
        <f t="shared" si="10"/>
        <v>130732.27999999987</v>
      </c>
      <c r="G56" s="2">
        <f t="shared" si="7"/>
        <v>98435.789999999863</v>
      </c>
    </row>
    <row r="57" spans="1:7" x14ac:dyDescent="0.25">
      <c r="A57" s="56">
        <v>42891</v>
      </c>
      <c r="B57" s="1">
        <f t="shared" si="3"/>
        <v>31</v>
      </c>
      <c r="C57" s="4">
        <f t="shared" si="8"/>
        <v>33371</v>
      </c>
      <c r="D57" s="2">
        <f t="shared" si="0"/>
        <v>32534.97</v>
      </c>
      <c r="E57" s="19">
        <f t="shared" si="9"/>
        <v>836.03</v>
      </c>
      <c r="F57" s="2">
        <f t="shared" si="10"/>
        <v>98435.789999999863</v>
      </c>
      <c r="G57" s="2">
        <f t="shared" si="7"/>
        <v>65900.819999999861</v>
      </c>
    </row>
    <row r="58" spans="1:7" x14ac:dyDescent="0.25">
      <c r="A58" s="56">
        <v>42921</v>
      </c>
      <c r="B58" s="1">
        <f t="shared" si="3"/>
        <v>30</v>
      </c>
      <c r="C58" s="4">
        <f t="shared" si="8"/>
        <v>33371</v>
      </c>
      <c r="D58" s="2">
        <f t="shared" si="0"/>
        <v>32829.35</v>
      </c>
      <c r="E58" s="19">
        <f t="shared" si="9"/>
        <v>541.65</v>
      </c>
      <c r="F58" s="2">
        <f t="shared" si="10"/>
        <v>65900.819999999861</v>
      </c>
      <c r="G58" s="2">
        <f t="shared" si="7"/>
        <v>33071.469999999863</v>
      </c>
    </row>
    <row r="59" spans="1:7" x14ac:dyDescent="0.25">
      <c r="A59" s="56">
        <v>42952</v>
      </c>
      <c r="B59" s="1">
        <f t="shared" si="3"/>
        <v>31</v>
      </c>
      <c r="C59" s="4">
        <f t="shared" si="8"/>
        <v>33371</v>
      </c>
      <c r="D59" s="2">
        <f t="shared" si="0"/>
        <v>33071.469999999863</v>
      </c>
      <c r="E59" s="19">
        <v>299.53000000013799</v>
      </c>
      <c r="F59" s="2">
        <f t="shared" si="10"/>
        <v>33071.469999999863</v>
      </c>
      <c r="G59" s="2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D9E456-6E77-42C0-9835-F840164EEF75}">
  <dimension ref="A1:J59"/>
  <sheetViews>
    <sheetView zoomScale="84" zoomScaleNormal="100" workbookViewId="0">
      <pane ySplit="3" topLeftCell="A39" activePane="bottomLeft" state="frozen"/>
      <selection activeCell="R3" sqref="R3"/>
      <selection pane="bottomLeft" activeCell="A60" sqref="A60:XFD63"/>
    </sheetView>
  </sheetViews>
  <sheetFormatPr defaultRowHeight="15" x14ac:dyDescent="0.25"/>
  <cols>
    <col min="1" max="1" width="15.7109375" bestFit="1" customWidth="1"/>
    <col min="2" max="2" width="13" bestFit="1" customWidth="1"/>
    <col min="3" max="3" width="25" bestFit="1" customWidth="1"/>
    <col min="4" max="4" width="13" bestFit="1" customWidth="1"/>
    <col min="5" max="5" width="24.85546875" bestFit="1" customWidth="1"/>
    <col min="6" max="6" width="15.85546875" bestFit="1" customWidth="1"/>
    <col min="7" max="7" width="18.85546875" bestFit="1" customWidth="1"/>
    <col min="8" max="8" width="15.7109375" bestFit="1" customWidth="1"/>
    <col min="9" max="9" width="21.85546875" bestFit="1" customWidth="1"/>
    <col min="10" max="10" width="11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ROUNDUP(34665.3285041941,0)</f>
        <v>34666</v>
      </c>
      <c r="E1" s="25" t="s">
        <v>51</v>
      </c>
      <c r="F1" s="57">
        <f>ROUNDUP(33361.9495453282,0)</f>
        <v>33362</v>
      </c>
      <c r="G1" s="28" t="s">
        <v>52</v>
      </c>
      <c r="H1" s="26">
        <v>42370</v>
      </c>
      <c r="I1" s="28" t="s">
        <v>53</v>
      </c>
      <c r="J1" s="52">
        <v>0.1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DAYS360(A19,H1,TRUE)</f>
        <v>26</v>
      </c>
      <c r="E2" t="s">
        <v>59</v>
      </c>
      <c r="F2">
        <f>A40-H1</f>
        <v>4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DAYS360(B1,A4,TRUE)</f>
        <v>30</v>
      </c>
      <c r="C4" s="4">
        <f>$D$1</f>
        <v>34666</v>
      </c>
      <c r="D4" s="2">
        <f t="shared" ref="D4:D59" si="0">C4-E4</f>
        <v>22166</v>
      </c>
      <c r="E4" s="19">
        <f>ROUND(F4*$B$2*B4/360,2)</f>
        <v>12500</v>
      </c>
      <c r="F4" s="53">
        <v>1000000</v>
      </c>
      <c r="G4" s="2">
        <f>F4-D4</f>
        <v>977834</v>
      </c>
      <c r="H4" s="14">
        <f>F4*$B$2*B4/365</f>
        <v>12328.767123287671</v>
      </c>
      <c r="I4" s="16">
        <f>H4-E4</f>
        <v>-171.23287671232902</v>
      </c>
    </row>
    <row r="5" spans="1:10" x14ac:dyDescent="0.25">
      <c r="A5" s="54">
        <v>41917</v>
      </c>
      <c r="B5" s="1">
        <f>DAYS360(A4,A5,TRUE)</f>
        <v>30</v>
      </c>
      <c r="C5" s="4">
        <f>$D$1</f>
        <v>34666</v>
      </c>
      <c r="D5" s="2">
        <f t="shared" si="0"/>
        <v>22443.07</v>
      </c>
      <c r="E5" s="19">
        <f t="shared" ref="E5:E38" si="1">ROUND(F5*$B$2*B5/360,2)</f>
        <v>12222.93</v>
      </c>
      <c r="F5" s="2">
        <f>G4</f>
        <v>977834</v>
      </c>
      <c r="G5" s="2">
        <f>F5-D5</f>
        <v>955390.93</v>
      </c>
      <c r="H5" s="14">
        <f t="shared" ref="H5:H33" si="2">F5*$B$2*B5/365</f>
        <v>12055.487671232877</v>
      </c>
      <c r="I5" s="16">
        <f t="shared" ref="I5:I33" si="3">H5-E5</f>
        <v>-167.4423287671234</v>
      </c>
    </row>
    <row r="6" spans="1:10" x14ac:dyDescent="0.25">
      <c r="A6" s="54">
        <v>41948</v>
      </c>
      <c r="B6" s="1">
        <f t="shared" ref="B6:B59" si="4">DAYS360(A5,A6,TRUE)</f>
        <v>30</v>
      </c>
      <c r="C6" s="4">
        <f t="shared" ref="C6:C39" si="5">$D$1</f>
        <v>34666</v>
      </c>
      <c r="D6" s="2">
        <f t="shared" si="0"/>
        <v>22723.61</v>
      </c>
      <c r="E6" s="19">
        <f t="shared" si="1"/>
        <v>11942.39</v>
      </c>
      <c r="F6" s="2">
        <f t="shared" ref="F6:F39" si="6">G5</f>
        <v>955390.93</v>
      </c>
      <c r="G6" s="2">
        <f t="shared" ref="G6:G59" si="7">F6-D6</f>
        <v>932667.32000000007</v>
      </c>
      <c r="H6" s="14">
        <f t="shared" si="2"/>
        <v>11778.792287671231</v>
      </c>
      <c r="I6" s="16">
        <f t="shared" si="3"/>
        <v>-163.59771232876847</v>
      </c>
    </row>
    <row r="7" spans="1:10" x14ac:dyDescent="0.25">
      <c r="A7" s="54">
        <v>41978</v>
      </c>
      <c r="B7" s="1">
        <f t="shared" si="4"/>
        <v>30</v>
      </c>
      <c r="C7" s="4">
        <f t="shared" si="5"/>
        <v>34666</v>
      </c>
      <c r="D7" s="2">
        <f t="shared" si="0"/>
        <v>23007.66</v>
      </c>
      <c r="E7" s="19">
        <f t="shared" si="1"/>
        <v>11658.34</v>
      </c>
      <c r="F7" s="2">
        <f t="shared" si="6"/>
        <v>932667.32000000007</v>
      </c>
      <c r="G7" s="2">
        <f t="shared" si="7"/>
        <v>909659.66</v>
      </c>
      <c r="H7" s="14">
        <f t="shared" si="2"/>
        <v>11498.638191780821</v>
      </c>
      <c r="I7" s="16">
        <f t="shared" si="3"/>
        <v>-159.70180821917893</v>
      </c>
    </row>
    <row r="8" spans="1:10" x14ac:dyDescent="0.25">
      <c r="A8" s="54">
        <v>42009</v>
      </c>
      <c r="B8" s="1">
        <f t="shared" si="4"/>
        <v>30</v>
      </c>
      <c r="C8" s="4">
        <f t="shared" si="5"/>
        <v>34666</v>
      </c>
      <c r="D8" s="2">
        <f t="shared" si="0"/>
        <v>23295.25</v>
      </c>
      <c r="E8" s="19">
        <f t="shared" si="1"/>
        <v>11370.75</v>
      </c>
      <c r="F8" s="2">
        <f t="shared" si="6"/>
        <v>909659.66</v>
      </c>
      <c r="G8" s="2">
        <f t="shared" si="7"/>
        <v>886364.41</v>
      </c>
      <c r="H8" s="14">
        <f t="shared" si="2"/>
        <v>11214.98210958904</v>
      </c>
      <c r="I8" s="16">
        <f t="shared" si="3"/>
        <v>-155.76789041095981</v>
      </c>
    </row>
    <row r="9" spans="1:10" x14ac:dyDescent="0.25">
      <c r="A9" s="54">
        <v>42040</v>
      </c>
      <c r="B9" s="1">
        <f t="shared" si="4"/>
        <v>30</v>
      </c>
      <c r="C9" s="4">
        <f t="shared" si="5"/>
        <v>34666</v>
      </c>
      <c r="D9" s="2">
        <f t="shared" si="0"/>
        <v>23586.440000000002</v>
      </c>
      <c r="E9" s="19">
        <f t="shared" si="1"/>
        <v>11079.56</v>
      </c>
      <c r="F9" s="2">
        <f t="shared" si="6"/>
        <v>886364.41</v>
      </c>
      <c r="G9" s="2">
        <f t="shared" si="7"/>
        <v>862777.97</v>
      </c>
      <c r="H9" s="14">
        <f t="shared" si="2"/>
        <v>10927.780397260272</v>
      </c>
      <c r="I9" s="16">
        <f t="shared" si="3"/>
        <v>-151.77960273972712</v>
      </c>
    </row>
    <row r="10" spans="1:10" x14ac:dyDescent="0.25">
      <c r="A10" s="54">
        <v>42068</v>
      </c>
      <c r="B10" s="1">
        <f t="shared" si="4"/>
        <v>30</v>
      </c>
      <c r="C10" s="4">
        <f t="shared" si="5"/>
        <v>34666</v>
      </c>
      <c r="D10" s="2">
        <f t="shared" si="0"/>
        <v>23881.279999999999</v>
      </c>
      <c r="E10" s="19">
        <f t="shared" si="1"/>
        <v>10784.72</v>
      </c>
      <c r="F10" s="2">
        <f t="shared" si="6"/>
        <v>862777.97</v>
      </c>
      <c r="G10" s="2">
        <f t="shared" si="7"/>
        <v>838896.69</v>
      </c>
      <c r="H10" s="14">
        <f t="shared" si="2"/>
        <v>10636.988671232875</v>
      </c>
      <c r="I10" s="16">
        <f t="shared" si="3"/>
        <v>-147.73132876712407</v>
      </c>
    </row>
    <row r="11" spans="1:10" x14ac:dyDescent="0.25">
      <c r="A11" s="54">
        <v>42099</v>
      </c>
      <c r="B11" s="1">
        <f t="shared" si="4"/>
        <v>30</v>
      </c>
      <c r="C11" s="4">
        <f t="shared" si="5"/>
        <v>34666</v>
      </c>
      <c r="D11" s="2">
        <f t="shared" si="0"/>
        <v>24179.79</v>
      </c>
      <c r="E11" s="19">
        <f t="shared" si="1"/>
        <v>10486.21</v>
      </c>
      <c r="F11" s="2">
        <f t="shared" si="6"/>
        <v>838896.69</v>
      </c>
      <c r="G11" s="2">
        <f t="shared" si="7"/>
        <v>814716.89999999991</v>
      </c>
      <c r="H11" s="14">
        <f t="shared" si="2"/>
        <v>10342.561931506849</v>
      </c>
      <c r="I11" s="16">
        <f t="shared" si="3"/>
        <v>-143.64806849315028</v>
      </c>
    </row>
    <row r="12" spans="1:10" x14ac:dyDescent="0.25">
      <c r="A12" s="54">
        <v>42129</v>
      </c>
      <c r="B12" s="1">
        <f t="shared" si="4"/>
        <v>30</v>
      </c>
      <c r="C12" s="4">
        <f t="shared" si="5"/>
        <v>34666</v>
      </c>
      <c r="D12" s="2">
        <f t="shared" si="0"/>
        <v>24482.04</v>
      </c>
      <c r="E12" s="19">
        <f t="shared" si="1"/>
        <v>10183.959999999999</v>
      </c>
      <c r="F12" s="2">
        <f t="shared" si="6"/>
        <v>814716.89999999991</v>
      </c>
      <c r="G12" s="2">
        <f t="shared" si="7"/>
        <v>790234.85999999987</v>
      </c>
      <c r="H12" s="14">
        <f t="shared" si="2"/>
        <v>10044.454931506847</v>
      </c>
      <c r="I12" s="16">
        <f t="shared" si="3"/>
        <v>-139.50506849315207</v>
      </c>
    </row>
    <row r="13" spans="1:10" x14ac:dyDescent="0.25">
      <c r="A13" s="54">
        <v>42160</v>
      </c>
      <c r="B13" s="1">
        <f t="shared" si="4"/>
        <v>30</v>
      </c>
      <c r="C13" s="4">
        <f t="shared" si="5"/>
        <v>34666</v>
      </c>
      <c r="D13" s="2">
        <f t="shared" si="0"/>
        <v>24788.059999999998</v>
      </c>
      <c r="E13" s="19">
        <f t="shared" si="1"/>
        <v>9877.94</v>
      </c>
      <c r="F13" s="2">
        <f t="shared" si="6"/>
        <v>790234.85999999987</v>
      </c>
      <c r="G13" s="2">
        <f t="shared" si="7"/>
        <v>765446.79999999981</v>
      </c>
      <c r="H13" s="14">
        <f t="shared" si="2"/>
        <v>9742.621561643833</v>
      </c>
      <c r="I13" s="16">
        <f t="shared" si="3"/>
        <v>-135.31843835616746</v>
      </c>
    </row>
    <row r="14" spans="1:10" x14ac:dyDescent="0.25">
      <c r="A14" s="54">
        <v>42190</v>
      </c>
      <c r="B14" s="1">
        <f t="shared" si="4"/>
        <v>30</v>
      </c>
      <c r="C14" s="4">
        <f t="shared" si="5"/>
        <v>34666</v>
      </c>
      <c r="D14" s="2">
        <f t="shared" si="0"/>
        <v>25097.91</v>
      </c>
      <c r="E14" s="19">
        <f t="shared" si="1"/>
        <v>9568.09</v>
      </c>
      <c r="F14" s="2">
        <f t="shared" si="6"/>
        <v>765446.79999999981</v>
      </c>
      <c r="G14" s="2">
        <f t="shared" si="7"/>
        <v>740348.88999999978</v>
      </c>
      <c r="H14" s="14">
        <f t="shared" si="2"/>
        <v>9437.015342465751</v>
      </c>
      <c r="I14" s="16">
        <f t="shared" si="3"/>
        <v>-131.07465753424913</v>
      </c>
    </row>
    <row r="15" spans="1:10" x14ac:dyDescent="0.25">
      <c r="A15" s="54">
        <v>42221</v>
      </c>
      <c r="B15" s="1">
        <f t="shared" si="4"/>
        <v>30</v>
      </c>
      <c r="C15" s="4">
        <f t="shared" si="5"/>
        <v>34666</v>
      </c>
      <c r="D15" s="2">
        <f t="shared" si="0"/>
        <v>25411.64</v>
      </c>
      <c r="E15" s="19">
        <f t="shared" si="1"/>
        <v>9254.36</v>
      </c>
      <c r="F15" s="2">
        <f t="shared" si="6"/>
        <v>740348.88999999978</v>
      </c>
      <c r="G15" s="2">
        <f t="shared" si="7"/>
        <v>714937.24999999977</v>
      </c>
      <c r="H15" s="14">
        <f t="shared" si="2"/>
        <v>9127.5890547945182</v>
      </c>
      <c r="I15" s="16">
        <f t="shared" si="3"/>
        <v>-126.77094520548235</v>
      </c>
    </row>
    <row r="16" spans="1:10" x14ac:dyDescent="0.25">
      <c r="A16" s="54">
        <v>42252</v>
      </c>
      <c r="B16" s="1">
        <f t="shared" si="4"/>
        <v>30</v>
      </c>
      <c r="C16" s="4">
        <f t="shared" si="5"/>
        <v>34666</v>
      </c>
      <c r="D16" s="2">
        <f t="shared" si="0"/>
        <v>25729.279999999999</v>
      </c>
      <c r="E16" s="19">
        <f t="shared" si="1"/>
        <v>8936.7199999999993</v>
      </c>
      <c r="F16" s="2">
        <f t="shared" si="6"/>
        <v>714937.24999999977</v>
      </c>
      <c r="G16" s="2">
        <f t="shared" si="7"/>
        <v>689207.96999999974</v>
      </c>
      <c r="H16" s="14">
        <f t="shared" si="2"/>
        <v>8814.2948630136962</v>
      </c>
      <c r="I16" s="16">
        <f t="shared" si="3"/>
        <v>-122.42513698630319</v>
      </c>
    </row>
    <row r="17" spans="1:9" x14ac:dyDescent="0.25">
      <c r="A17" s="54">
        <v>42282</v>
      </c>
      <c r="B17" s="1">
        <f t="shared" si="4"/>
        <v>30</v>
      </c>
      <c r="C17" s="4">
        <f t="shared" si="5"/>
        <v>34666</v>
      </c>
      <c r="D17" s="2">
        <f t="shared" si="0"/>
        <v>26050.9</v>
      </c>
      <c r="E17" s="19">
        <f t="shared" si="1"/>
        <v>8615.1</v>
      </c>
      <c r="F17" s="2">
        <f t="shared" si="6"/>
        <v>689207.96999999974</v>
      </c>
      <c r="G17" s="2">
        <f t="shared" si="7"/>
        <v>663157.06999999972</v>
      </c>
      <c r="H17" s="14">
        <f t="shared" si="2"/>
        <v>8497.0845616438328</v>
      </c>
      <c r="I17" s="16">
        <f t="shared" si="3"/>
        <v>-118.01543835616758</v>
      </c>
    </row>
    <row r="18" spans="1:9" x14ac:dyDescent="0.25">
      <c r="A18" s="54">
        <v>42313</v>
      </c>
      <c r="B18" s="1">
        <f t="shared" si="4"/>
        <v>30</v>
      </c>
      <c r="C18" s="4">
        <f t="shared" si="5"/>
        <v>34666</v>
      </c>
      <c r="D18" s="2">
        <f t="shared" si="0"/>
        <v>26376.54</v>
      </c>
      <c r="E18" s="19">
        <f t="shared" si="1"/>
        <v>8289.4599999999991</v>
      </c>
      <c r="F18" s="2">
        <f t="shared" si="6"/>
        <v>663157.06999999972</v>
      </c>
      <c r="G18" s="2">
        <f t="shared" si="7"/>
        <v>636780.52999999968</v>
      </c>
      <c r="H18" s="14">
        <f t="shared" si="2"/>
        <v>8175.9090821917771</v>
      </c>
      <c r="I18" s="16">
        <f t="shared" si="3"/>
        <v>-113.55091780822204</v>
      </c>
    </row>
    <row r="19" spans="1:9" x14ac:dyDescent="0.25">
      <c r="A19" s="54">
        <v>42343</v>
      </c>
      <c r="B19" s="1">
        <f t="shared" si="4"/>
        <v>30</v>
      </c>
      <c r="C19" s="4">
        <f t="shared" si="5"/>
        <v>34666</v>
      </c>
      <c r="D19" s="2">
        <f t="shared" si="0"/>
        <v>26706.239999999998</v>
      </c>
      <c r="E19" s="19">
        <f t="shared" si="1"/>
        <v>7959.76</v>
      </c>
      <c r="F19" s="2">
        <f t="shared" si="6"/>
        <v>636780.52999999968</v>
      </c>
      <c r="G19" s="2">
        <f t="shared" si="7"/>
        <v>610074.28999999969</v>
      </c>
      <c r="H19" s="14">
        <f t="shared" si="2"/>
        <v>7850.7188630136943</v>
      </c>
      <c r="I19" s="16">
        <f t="shared" si="3"/>
        <v>-109.0411369863059</v>
      </c>
    </row>
    <row r="20" spans="1:9" x14ac:dyDescent="0.25">
      <c r="A20" s="54">
        <v>42374</v>
      </c>
      <c r="B20" s="1">
        <f t="shared" si="4"/>
        <v>30</v>
      </c>
      <c r="C20" s="4">
        <f t="shared" si="5"/>
        <v>34666</v>
      </c>
      <c r="D20" s="2">
        <f t="shared" si="0"/>
        <v>27040.07</v>
      </c>
      <c r="E20" s="19">
        <f t="shared" si="1"/>
        <v>7625.93</v>
      </c>
      <c r="F20" s="2">
        <f t="shared" si="6"/>
        <v>610074.28999999969</v>
      </c>
      <c r="G20" s="2">
        <f t="shared" si="7"/>
        <v>583034.21999999974</v>
      </c>
      <c r="H20" s="14">
        <f t="shared" si="2"/>
        <v>7521.4638493150642</v>
      </c>
      <c r="I20" s="16">
        <f t="shared" si="3"/>
        <v>-104.46615068493611</v>
      </c>
    </row>
    <row r="21" spans="1:9" x14ac:dyDescent="0.25">
      <c r="A21" s="54">
        <v>42405</v>
      </c>
      <c r="B21" s="1">
        <f t="shared" si="4"/>
        <v>30</v>
      </c>
      <c r="C21" s="4">
        <f t="shared" si="5"/>
        <v>34666</v>
      </c>
      <c r="D21" s="2">
        <f t="shared" si="0"/>
        <v>27378.07</v>
      </c>
      <c r="E21" s="19">
        <f t="shared" si="1"/>
        <v>7287.93</v>
      </c>
      <c r="F21" s="2">
        <f t="shared" si="6"/>
        <v>583034.21999999974</v>
      </c>
      <c r="G21" s="2">
        <f t="shared" si="7"/>
        <v>555656.14999999979</v>
      </c>
      <c r="H21" s="14">
        <f t="shared" si="2"/>
        <v>7188.0931232876683</v>
      </c>
      <c r="I21" s="16">
        <f t="shared" si="3"/>
        <v>-99.836876712332014</v>
      </c>
    </row>
    <row r="22" spans="1:9" x14ac:dyDescent="0.25">
      <c r="A22" s="54">
        <v>42434</v>
      </c>
      <c r="B22" s="1">
        <f t="shared" si="4"/>
        <v>30</v>
      </c>
      <c r="C22" s="4">
        <f t="shared" si="5"/>
        <v>34666</v>
      </c>
      <c r="D22" s="2">
        <f t="shared" si="0"/>
        <v>27720.3</v>
      </c>
      <c r="E22" s="19">
        <f t="shared" si="1"/>
        <v>6945.7</v>
      </c>
      <c r="F22" s="2">
        <f t="shared" si="6"/>
        <v>555656.14999999979</v>
      </c>
      <c r="G22" s="2">
        <f t="shared" si="7"/>
        <v>527935.84999999974</v>
      </c>
      <c r="H22" s="14">
        <f t="shared" si="2"/>
        <v>6850.5552739726008</v>
      </c>
      <c r="I22" s="16">
        <f t="shared" si="3"/>
        <v>-95.144726027398974</v>
      </c>
    </row>
    <row r="23" spans="1:9" x14ac:dyDescent="0.25">
      <c r="A23" s="54">
        <v>42465</v>
      </c>
      <c r="B23" s="1">
        <f t="shared" si="4"/>
        <v>30</v>
      </c>
      <c r="C23" s="4">
        <f t="shared" si="5"/>
        <v>34666</v>
      </c>
      <c r="D23" s="2">
        <f t="shared" si="0"/>
        <v>28066.799999999999</v>
      </c>
      <c r="E23" s="19">
        <f t="shared" si="1"/>
        <v>6599.2</v>
      </c>
      <c r="F23" s="2">
        <f t="shared" si="6"/>
        <v>527935.84999999974</v>
      </c>
      <c r="G23" s="2">
        <f t="shared" si="7"/>
        <v>499869.04999999976</v>
      </c>
      <c r="H23" s="14">
        <f t="shared" si="2"/>
        <v>6508.7981506849283</v>
      </c>
      <c r="I23" s="16">
        <f t="shared" si="3"/>
        <v>-90.401849315071559</v>
      </c>
    </row>
    <row r="24" spans="1:9" x14ac:dyDescent="0.25">
      <c r="A24" s="54">
        <v>42495</v>
      </c>
      <c r="B24" s="1">
        <f t="shared" si="4"/>
        <v>30</v>
      </c>
      <c r="C24" s="4">
        <f t="shared" si="5"/>
        <v>34666</v>
      </c>
      <c r="D24" s="2">
        <f t="shared" si="0"/>
        <v>28417.64</v>
      </c>
      <c r="E24" s="19">
        <f t="shared" si="1"/>
        <v>6248.36</v>
      </c>
      <c r="F24" s="2">
        <f t="shared" si="6"/>
        <v>499869.04999999976</v>
      </c>
      <c r="G24" s="2">
        <f t="shared" si="7"/>
        <v>471451.40999999974</v>
      </c>
      <c r="H24" s="14">
        <f t="shared" si="2"/>
        <v>6162.7691095890377</v>
      </c>
      <c r="I24" s="16">
        <f t="shared" si="3"/>
        <v>-85.590890410961947</v>
      </c>
    </row>
    <row r="25" spans="1:9" x14ac:dyDescent="0.25">
      <c r="A25" s="54">
        <v>42526</v>
      </c>
      <c r="B25" s="1">
        <f t="shared" si="4"/>
        <v>30</v>
      </c>
      <c r="C25" s="4">
        <f t="shared" si="5"/>
        <v>34666</v>
      </c>
      <c r="D25" s="2">
        <f t="shared" si="0"/>
        <v>28772.86</v>
      </c>
      <c r="E25" s="19">
        <f t="shared" si="1"/>
        <v>5893.14</v>
      </c>
      <c r="F25" s="2">
        <f t="shared" si="6"/>
        <v>471451.40999999974</v>
      </c>
      <c r="G25" s="2">
        <f t="shared" si="7"/>
        <v>442678.54999999976</v>
      </c>
      <c r="H25" s="14">
        <f t="shared" si="2"/>
        <v>5812.4146438356129</v>
      </c>
      <c r="I25" s="16">
        <f t="shared" si="3"/>
        <v>-80.725356164387449</v>
      </c>
    </row>
    <row r="26" spans="1:9" x14ac:dyDescent="0.25">
      <c r="A26" s="54">
        <v>42556</v>
      </c>
      <c r="B26" s="1">
        <f t="shared" si="4"/>
        <v>30</v>
      </c>
      <c r="C26" s="4">
        <f t="shared" si="5"/>
        <v>34666</v>
      </c>
      <c r="D26" s="2">
        <f t="shared" si="0"/>
        <v>29132.52</v>
      </c>
      <c r="E26" s="19">
        <f t="shared" si="1"/>
        <v>5533.48</v>
      </c>
      <c r="F26" s="2">
        <f t="shared" si="6"/>
        <v>442678.54999999976</v>
      </c>
      <c r="G26" s="2">
        <f t="shared" si="7"/>
        <v>413546.02999999974</v>
      </c>
      <c r="H26" s="14">
        <f t="shared" si="2"/>
        <v>5457.6807534246536</v>
      </c>
      <c r="I26" s="16">
        <f t="shared" si="3"/>
        <v>-75.799246575345933</v>
      </c>
    </row>
    <row r="27" spans="1:9" x14ac:dyDescent="0.25">
      <c r="A27" s="54">
        <v>42587</v>
      </c>
      <c r="B27" s="1">
        <f t="shared" si="4"/>
        <v>30</v>
      </c>
      <c r="C27" s="4">
        <f t="shared" si="5"/>
        <v>34666</v>
      </c>
      <c r="D27" s="2">
        <f t="shared" si="0"/>
        <v>29496.67</v>
      </c>
      <c r="E27" s="19">
        <f t="shared" si="1"/>
        <v>5169.33</v>
      </c>
      <c r="F27" s="2">
        <f t="shared" si="6"/>
        <v>413546.02999999974</v>
      </c>
      <c r="G27" s="2">
        <f t="shared" si="7"/>
        <v>384049.35999999975</v>
      </c>
      <c r="H27" s="14">
        <f t="shared" si="2"/>
        <v>5098.5126986301339</v>
      </c>
      <c r="I27" s="16">
        <f t="shared" si="3"/>
        <v>-70.817301369866072</v>
      </c>
    </row>
    <row r="28" spans="1:9" x14ac:dyDescent="0.25">
      <c r="A28" s="54">
        <v>42618</v>
      </c>
      <c r="B28" s="1">
        <f t="shared" si="4"/>
        <v>30</v>
      </c>
      <c r="C28" s="4">
        <f t="shared" si="5"/>
        <v>34666</v>
      </c>
      <c r="D28" s="2">
        <f t="shared" si="0"/>
        <v>29865.38</v>
      </c>
      <c r="E28" s="19">
        <f t="shared" si="1"/>
        <v>4800.62</v>
      </c>
      <c r="F28" s="2">
        <f t="shared" si="6"/>
        <v>384049.35999999975</v>
      </c>
      <c r="G28" s="2">
        <f t="shared" si="7"/>
        <v>354183.97999999975</v>
      </c>
      <c r="H28" s="14">
        <f t="shared" si="2"/>
        <v>4734.855123287668</v>
      </c>
      <c r="I28" s="16">
        <f t="shared" si="3"/>
        <v>-65.764876712331898</v>
      </c>
    </row>
    <row r="29" spans="1:9" x14ac:dyDescent="0.25">
      <c r="A29" s="54">
        <v>42648</v>
      </c>
      <c r="B29" s="1">
        <f t="shared" si="4"/>
        <v>30</v>
      </c>
      <c r="C29" s="4">
        <f t="shared" si="5"/>
        <v>34666</v>
      </c>
      <c r="D29" s="2">
        <f t="shared" si="0"/>
        <v>30238.7</v>
      </c>
      <c r="E29" s="19">
        <f t="shared" si="1"/>
        <v>4427.3</v>
      </c>
      <c r="F29" s="2">
        <f t="shared" si="6"/>
        <v>354183.97999999975</v>
      </c>
      <c r="G29" s="2">
        <f t="shared" si="7"/>
        <v>323945.27999999974</v>
      </c>
      <c r="H29" s="14">
        <f t="shared" si="2"/>
        <v>4366.6518082191751</v>
      </c>
      <c r="I29" s="16">
        <f t="shared" si="3"/>
        <v>-60.648191780825073</v>
      </c>
    </row>
    <row r="30" spans="1:9" x14ac:dyDescent="0.25">
      <c r="A30" s="54">
        <v>42679</v>
      </c>
      <c r="B30" s="1">
        <f t="shared" si="4"/>
        <v>30</v>
      </c>
      <c r="C30" s="4">
        <f t="shared" si="5"/>
        <v>34666</v>
      </c>
      <c r="D30" s="2">
        <f t="shared" si="0"/>
        <v>30616.68</v>
      </c>
      <c r="E30" s="19">
        <f t="shared" si="1"/>
        <v>4049.32</v>
      </c>
      <c r="F30" s="2">
        <f t="shared" si="6"/>
        <v>323945.27999999974</v>
      </c>
      <c r="G30" s="2">
        <f t="shared" si="7"/>
        <v>293328.59999999974</v>
      </c>
      <c r="H30" s="14">
        <f t="shared" si="2"/>
        <v>3993.8459178082162</v>
      </c>
      <c r="I30" s="16">
        <f t="shared" si="3"/>
        <v>-55.474082191783964</v>
      </c>
    </row>
    <row r="31" spans="1:9" x14ac:dyDescent="0.25">
      <c r="A31" s="54">
        <v>42709</v>
      </c>
      <c r="B31" s="1">
        <f t="shared" si="4"/>
        <v>30</v>
      </c>
      <c r="C31" s="4">
        <f t="shared" si="5"/>
        <v>34666</v>
      </c>
      <c r="D31" s="2">
        <f t="shared" si="0"/>
        <v>30999.39</v>
      </c>
      <c r="E31" s="19">
        <f t="shared" si="1"/>
        <v>3666.61</v>
      </c>
      <c r="F31" s="2">
        <f t="shared" si="6"/>
        <v>293328.59999999974</v>
      </c>
      <c r="G31" s="2">
        <f t="shared" si="7"/>
        <v>262329.20999999973</v>
      </c>
      <c r="H31" s="14">
        <f t="shared" si="2"/>
        <v>3616.3799999999965</v>
      </c>
      <c r="I31" s="16">
        <f t="shared" si="3"/>
        <v>-50.230000000003656</v>
      </c>
    </row>
    <row r="32" spans="1:9" x14ac:dyDescent="0.25">
      <c r="A32" s="54">
        <v>42740</v>
      </c>
      <c r="B32" s="1">
        <f t="shared" si="4"/>
        <v>30</v>
      </c>
      <c r="C32" s="4">
        <f t="shared" si="5"/>
        <v>34666</v>
      </c>
      <c r="D32" s="2">
        <f t="shared" si="0"/>
        <v>31386.880000000001</v>
      </c>
      <c r="E32" s="19">
        <f t="shared" si="1"/>
        <v>3279.12</v>
      </c>
      <c r="F32" s="2">
        <f t="shared" si="6"/>
        <v>262329.20999999973</v>
      </c>
      <c r="G32" s="2">
        <f t="shared" si="7"/>
        <v>230942.32999999973</v>
      </c>
      <c r="H32" s="14">
        <f t="shared" si="2"/>
        <v>3234.1957397260244</v>
      </c>
      <c r="I32" s="16">
        <f t="shared" si="3"/>
        <v>-44.924260273975506</v>
      </c>
    </row>
    <row r="33" spans="1:9" x14ac:dyDescent="0.25">
      <c r="A33" s="54">
        <v>42771</v>
      </c>
      <c r="B33" s="1">
        <f t="shared" si="4"/>
        <v>30</v>
      </c>
      <c r="C33" s="4">
        <f t="shared" si="5"/>
        <v>34666</v>
      </c>
      <c r="D33" s="2">
        <f t="shared" si="0"/>
        <v>31779.22</v>
      </c>
      <c r="E33" s="19">
        <f t="shared" si="1"/>
        <v>2886.78</v>
      </c>
      <c r="F33" s="2">
        <f t="shared" si="6"/>
        <v>230942.32999999973</v>
      </c>
      <c r="G33" s="2">
        <f t="shared" si="7"/>
        <v>199163.10999999972</v>
      </c>
      <c r="H33" s="14">
        <f t="shared" si="2"/>
        <v>2847.234205479449</v>
      </c>
      <c r="I33" s="16">
        <f t="shared" si="3"/>
        <v>-39.545794520551226</v>
      </c>
    </row>
    <row r="34" spans="1:9" x14ac:dyDescent="0.25">
      <c r="A34" s="54">
        <v>42799</v>
      </c>
      <c r="B34" s="1">
        <f t="shared" si="4"/>
        <v>30</v>
      </c>
      <c r="C34" s="4">
        <f t="shared" si="5"/>
        <v>34666</v>
      </c>
      <c r="D34" s="2">
        <f t="shared" si="0"/>
        <v>32176.46</v>
      </c>
      <c r="E34" s="19">
        <f t="shared" si="1"/>
        <v>2489.54</v>
      </c>
      <c r="F34" s="2">
        <f t="shared" si="6"/>
        <v>199163.10999999972</v>
      </c>
      <c r="G34" s="2">
        <f t="shared" si="7"/>
        <v>166986.64999999973</v>
      </c>
      <c r="H34" s="14"/>
      <c r="I34" s="16"/>
    </row>
    <row r="35" spans="1:9" x14ac:dyDescent="0.25">
      <c r="A35" s="54">
        <v>42830</v>
      </c>
      <c r="B35" s="1">
        <f t="shared" si="4"/>
        <v>30</v>
      </c>
      <c r="C35" s="4">
        <f t="shared" si="5"/>
        <v>34666</v>
      </c>
      <c r="D35" s="2">
        <f t="shared" si="0"/>
        <v>32578.67</v>
      </c>
      <c r="E35" s="19">
        <f t="shared" si="1"/>
        <v>2087.33</v>
      </c>
      <c r="F35" s="2">
        <f t="shared" si="6"/>
        <v>166986.64999999973</v>
      </c>
      <c r="G35" s="2">
        <f t="shared" si="7"/>
        <v>134407.97999999975</v>
      </c>
      <c r="H35" s="14"/>
      <c r="I35" s="16"/>
    </row>
    <row r="36" spans="1:9" x14ac:dyDescent="0.25">
      <c r="A36" s="54">
        <v>42860</v>
      </c>
      <c r="B36" s="1">
        <f t="shared" si="4"/>
        <v>30</v>
      </c>
      <c r="C36" s="4">
        <f t="shared" si="5"/>
        <v>34666</v>
      </c>
      <c r="D36" s="2">
        <f t="shared" si="0"/>
        <v>32985.9</v>
      </c>
      <c r="E36" s="19">
        <f t="shared" si="1"/>
        <v>1680.1</v>
      </c>
      <c r="F36" s="2">
        <f t="shared" si="6"/>
        <v>134407.97999999975</v>
      </c>
      <c r="G36" s="2">
        <f t="shared" si="7"/>
        <v>101422.07999999975</v>
      </c>
      <c r="H36" s="14"/>
      <c r="I36" s="16"/>
    </row>
    <row r="37" spans="1:9" x14ac:dyDescent="0.25">
      <c r="A37" s="54">
        <v>42891</v>
      </c>
      <c r="B37" s="1">
        <f t="shared" si="4"/>
        <v>30</v>
      </c>
      <c r="C37" s="4">
        <f t="shared" si="5"/>
        <v>34666</v>
      </c>
      <c r="D37" s="2">
        <f t="shared" si="0"/>
        <v>33398.22</v>
      </c>
      <c r="E37" s="19">
        <f t="shared" si="1"/>
        <v>1267.78</v>
      </c>
      <c r="F37" s="2">
        <f t="shared" si="6"/>
        <v>101422.07999999975</v>
      </c>
      <c r="G37" s="2">
        <f t="shared" si="7"/>
        <v>68023.859999999753</v>
      </c>
      <c r="H37" s="14"/>
      <c r="I37" s="16"/>
    </row>
    <row r="38" spans="1:9" x14ac:dyDescent="0.25">
      <c r="A38" s="54">
        <v>42921</v>
      </c>
      <c r="B38" s="1">
        <f t="shared" si="4"/>
        <v>30</v>
      </c>
      <c r="C38" s="4">
        <f t="shared" si="5"/>
        <v>34666</v>
      </c>
      <c r="D38" s="2">
        <f t="shared" si="0"/>
        <v>33815.699999999997</v>
      </c>
      <c r="E38" s="19">
        <f t="shared" si="1"/>
        <v>850.3</v>
      </c>
      <c r="F38" s="2">
        <f t="shared" si="6"/>
        <v>68023.859999999753</v>
      </c>
      <c r="G38" s="2">
        <f t="shared" si="7"/>
        <v>34208.159999999756</v>
      </c>
      <c r="H38" s="14"/>
      <c r="I38" s="16"/>
    </row>
    <row r="39" spans="1:9" x14ac:dyDescent="0.25">
      <c r="A39" s="54">
        <v>42952</v>
      </c>
      <c r="B39" s="1">
        <f t="shared" si="4"/>
        <v>30</v>
      </c>
      <c r="C39" s="4">
        <f t="shared" si="5"/>
        <v>34666</v>
      </c>
      <c r="D39" s="2">
        <f t="shared" si="0"/>
        <v>34208.159999999756</v>
      </c>
      <c r="E39" s="19">
        <v>457.84000000024537</v>
      </c>
      <c r="F39" s="2">
        <f t="shared" si="6"/>
        <v>34208.159999999756</v>
      </c>
      <c r="G39" s="2">
        <f t="shared" si="7"/>
        <v>0</v>
      </c>
      <c r="H39" s="14"/>
      <c r="I39" s="16"/>
    </row>
    <row r="40" spans="1:9" x14ac:dyDescent="0.25">
      <c r="A40" s="56">
        <v>42374</v>
      </c>
      <c r="B40" s="1">
        <f>DAYS360(A19,A20,TRUE)</f>
        <v>30</v>
      </c>
      <c r="C40" s="4">
        <f t="shared" ref="C40:C59" si="8">$F$1</f>
        <v>33362</v>
      </c>
      <c r="D40" s="2">
        <f t="shared" si="0"/>
        <v>26075</v>
      </c>
      <c r="E40" s="19">
        <f>ROUND(((F40*$B$2*D2/360)+(F40*$J$1*F2/360)),2)</f>
        <v>7287</v>
      </c>
      <c r="F40" s="2">
        <f>G19</f>
        <v>610074.28999999969</v>
      </c>
      <c r="G40" s="2">
        <f t="shared" si="7"/>
        <v>583999.28999999969</v>
      </c>
      <c r="H40" s="14"/>
      <c r="I40" s="16"/>
    </row>
    <row r="41" spans="1:9" x14ac:dyDescent="0.25">
      <c r="A41" s="56">
        <v>42405</v>
      </c>
      <c r="B41" s="1">
        <f t="shared" si="4"/>
        <v>30</v>
      </c>
      <c r="C41" s="4">
        <f t="shared" si="8"/>
        <v>33362</v>
      </c>
      <c r="D41" s="2">
        <f t="shared" si="0"/>
        <v>28495.34</v>
      </c>
      <c r="E41" s="19">
        <f>ROUND(F41*$J$1*B41/360,2)</f>
        <v>4866.66</v>
      </c>
      <c r="F41" s="2">
        <f>G40</f>
        <v>583999.28999999969</v>
      </c>
      <c r="G41" s="2">
        <f t="shared" si="7"/>
        <v>555503.94999999972</v>
      </c>
      <c r="H41" s="14"/>
      <c r="I41" s="16"/>
    </row>
    <row r="42" spans="1:9" x14ac:dyDescent="0.25">
      <c r="A42" s="56">
        <v>42434</v>
      </c>
      <c r="B42" s="1">
        <f t="shared" si="4"/>
        <v>30</v>
      </c>
      <c r="C42" s="4">
        <f t="shared" si="8"/>
        <v>33362</v>
      </c>
      <c r="D42" s="2">
        <f t="shared" si="0"/>
        <v>28732.799999999999</v>
      </c>
      <c r="E42" s="19">
        <f t="shared" ref="E42:E58" si="9">ROUND(F42*$J$1*B42/360,2)</f>
        <v>4629.2</v>
      </c>
      <c r="F42" s="2">
        <f>G41</f>
        <v>555503.94999999972</v>
      </c>
      <c r="G42" s="2">
        <f t="shared" si="7"/>
        <v>526771.14999999967</v>
      </c>
      <c r="H42" s="14"/>
      <c r="I42" s="16"/>
    </row>
    <row r="43" spans="1:9" x14ac:dyDescent="0.25">
      <c r="A43" s="56">
        <v>42465</v>
      </c>
      <c r="B43" s="1">
        <f t="shared" si="4"/>
        <v>30</v>
      </c>
      <c r="C43" s="4">
        <f t="shared" si="8"/>
        <v>33362</v>
      </c>
      <c r="D43" s="2">
        <f t="shared" si="0"/>
        <v>28972.239999999998</v>
      </c>
      <c r="E43" s="19">
        <f t="shared" si="9"/>
        <v>4389.76</v>
      </c>
      <c r="F43" s="2">
        <f t="shared" ref="F43:F59" si="10">G42</f>
        <v>526771.14999999967</v>
      </c>
      <c r="G43" s="2">
        <f t="shared" si="7"/>
        <v>497798.90999999968</v>
      </c>
      <c r="H43" s="14"/>
      <c r="I43" s="16"/>
    </row>
    <row r="44" spans="1:9" x14ac:dyDescent="0.25">
      <c r="A44" s="56">
        <v>42495</v>
      </c>
      <c r="B44" s="1">
        <f t="shared" si="4"/>
        <v>30</v>
      </c>
      <c r="C44" s="4">
        <f t="shared" si="8"/>
        <v>33362</v>
      </c>
      <c r="D44" s="2">
        <f t="shared" si="0"/>
        <v>29213.68</v>
      </c>
      <c r="E44" s="19">
        <f t="shared" si="9"/>
        <v>4148.32</v>
      </c>
      <c r="F44" s="2">
        <f t="shared" si="10"/>
        <v>497798.90999999968</v>
      </c>
      <c r="G44" s="2">
        <f t="shared" si="7"/>
        <v>468585.22999999969</v>
      </c>
      <c r="H44" s="14"/>
      <c r="I44" s="16"/>
    </row>
    <row r="45" spans="1:9" x14ac:dyDescent="0.25">
      <c r="A45" s="56">
        <v>42526</v>
      </c>
      <c r="B45" s="1">
        <f t="shared" si="4"/>
        <v>30</v>
      </c>
      <c r="C45" s="4">
        <f t="shared" si="8"/>
        <v>33362</v>
      </c>
      <c r="D45" s="2">
        <f t="shared" si="0"/>
        <v>29457.119999999999</v>
      </c>
      <c r="E45" s="19">
        <f t="shared" si="9"/>
        <v>3904.88</v>
      </c>
      <c r="F45" s="2">
        <f t="shared" si="10"/>
        <v>468585.22999999969</v>
      </c>
      <c r="G45" s="2">
        <f t="shared" si="7"/>
        <v>439128.10999999969</v>
      </c>
      <c r="H45" s="14"/>
      <c r="I45" s="16"/>
    </row>
    <row r="46" spans="1:9" x14ac:dyDescent="0.25">
      <c r="A46" s="56">
        <v>42556</v>
      </c>
      <c r="B46" s="1">
        <f t="shared" si="4"/>
        <v>30</v>
      </c>
      <c r="C46" s="4">
        <f t="shared" si="8"/>
        <v>33362</v>
      </c>
      <c r="D46" s="2">
        <f t="shared" si="0"/>
        <v>29702.6</v>
      </c>
      <c r="E46" s="19">
        <f t="shared" si="9"/>
        <v>3659.4</v>
      </c>
      <c r="F46" s="2">
        <f t="shared" si="10"/>
        <v>439128.10999999969</v>
      </c>
      <c r="G46" s="2">
        <f t="shared" si="7"/>
        <v>409425.50999999972</v>
      </c>
      <c r="H46" s="14"/>
      <c r="I46" s="16"/>
    </row>
    <row r="47" spans="1:9" x14ac:dyDescent="0.25">
      <c r="A47" s="56">
        <v>42587</v>
      </c>
      <c r="B47" s="1">
        <f t="shared" si="4"/>
        <v>30</v>
      </c>
      <c r="C47" s="4">
        <f t="shared" si="8"/>
        <v>33362</v>
      </c>
      <c r="D47" s="2">
        <f t="shared" si="0"/>
        <v>29950.12</v>
      </c>
      <c r="E47" s="19">
        <f t="shared" si="9"/>
        <v>3411.88</v>
      </c>
      <c r="F47" s="2">
        <f t="shared" si="10"/>
        <v>409425.50999999972</v>
      </c>
      <c r="G47" s="2">
        <f t="shared" si="7"/>
        <v>379475.38999999972</v>
      </c>
      <c r="H47" s="14"/>
      <c r="I47" s="16"/>
    </row>
    <row r="48" spans="1:9" x14ac:dyDescent="0.25">
      <c r="A48" s="56">
        <v>42618</v>
      </c>
      <c r="B48" s="1">
        <f t="shared" si="4"/>
        <v>30</v>
      </c>
      <c r="C48" s="4">
        <f t="shared" si="8"/>
        <v>33362</v>
      </c>
      <c r="D48" s="2">
        <f t="shared" si="0"/>
        <v>30199.71</v>
      </c>
      <c r="E48" s="19">
        <f t="shared" si="9"/>
        <v>3162.29</v>
      </c>
      <c r="F48" s="2">
        <f t="shared" si="10"/>
        <v>379475.38999999972</v>
      </c>
      <c r="G48" s="2">
        <f t="shared" si="7"/>
        <v>349275.6799999997</v>
      </c>
    </row>
    <row r="49" spans="1:7" x14ac:dyDescent="0.25">
      <c r="A49" s="56">
        <v>42648</v>
      </c>
      <c r="B49" s="1">
        <f t="shared" si="4"/>
        <v>30</v>
      </c>
      <c r="C49" s="4">
        <f t="shared" si="8"/>
        <v>33362</v>
      </c>
      <c r="D49" s="2">
        <f t="shared" si="0"/>
        <v>30451.37</v>
      </c>
      <c r="E49" s="19">
        <f t="shared" si="9"/>
        <v>2910.63</v>
      </c>
      <c r="F49" s="2">
        <f t="shared" si="10"/>
        <v>349275.6799999997</v>
      </c>
      <c r="G49" s="2">
        <f t="shared" si="7"/>
        <v>318824.30999999971</v>
      </c>
    </row>
    <row r="50" spans="1:7" x14ac:dyDescent="0.25">
      <c r="A50" s="56">
        <v>42679</v>
      </c>
      <c r="B50" s="1">
        <f t="shared" si="4"/>
        <v>30</v>
      </c>
      <c r="C50" s="4">
        <f t="shared" si="8"/>
        <v>33362</v>
      </c>
      <c r="D50" s="2">
        <f t="shared" si="0"/>
        <v>30705.13</v>
      </c>
      <c r="E50" s="19">
        <f t="shared" si="9"/>
        <v>2656.87</v>
      </c>
      <c r="F50" s="2">
        <f t="shared" si="10"/>
        <v>318824.30999999971</v>
      </c>
      <c r="G50" s="2">
        <f t="shared" si="7"/>
        <v>288119.1799999997</v>
      </c>
    </row>
    <row r="51" spans="1:7" x14ac:dyDescent="0.25">
      <c r="A51" s="56">
        <v>42709</v>
      </c>
      <c r="B51" s="1">
        <f t="shared" si="4"/>
        <v>30</v>
      </c>
      <c r="C51" s="4">
        <f t="shared" si="8"/>
        <v>33362</v>
      </c>
      <c r="D51" s="2">
        <f t="shared" si="0"/>
        <v>30961.010000000002</v>
      </c>
      <c r="E51" s="19">
        <f t="shared" si="9"/>
        <v>2400.9899999999998</v>
      </c>
      <c r="F51" s="2">
        <f t="shared" si="10"/>
        <v>288119.1799999997</v>
      </c>
      <c r="G51" s="2">
        <f t="shared" si="7"/>
        <v>257158.16999999969</v>
      </c>
    </row>
    <row r="52" spans="1:7" x14ac:dyDescent="0.25">
      <c r="A52" s="56">
        <v>42740</v>
      </c>
      <c r="B52" s="1">
        <f t="shared" si="4"/>
        <v>30</v>
      </c>
      <c r="C52" s="4">
        <f t="shared" si="8"/>
        <v>33362</v>
      </c>
      <c r="D52" s="2">
        <f t="shared" si="0"/>
        <v>31219.02</v>
      </c>
      <c r="E52" s="19">
        <f t="shared" si="9"/>
        <v>2142.98</v>
      </c>
      <c r="F52" s="2">
        <f t="shared" si="10"/>
        <v>257158.16999999969</v>
      </c>
      <c r="G52" s="2">
        <f t="shared" si="7"/>
        <v>225939.1499999997</v>
      </c>
    </row>
    <row r="53" spans="1:7" x14ac:dyDescent="0.25">
      <c r="A53" s="56">
        <v>42771</v>
      </c>
      <c r="B53" s="1">
        <f t="shared" si="4"/>
        <v>30</v>
      </c>
      <c r="C53" s="4">
        <f t="shared" si="8"/>
        <v>33362</v>
      </c>
      <c r="D53" s="2">
        <f t="shared" si="0"/>
        <v>31479.17</v>
      </c>
      <c r="E53" s="19">
        <f t="shared" si="9"/>
        <v>1882.83</v>
      </c>
      <c r="F53" s="2">
        <f t="shared" si="10"/>
        <v>225939.1499999997</v>
      </c>
      <c r="G53" s="2">
        <f t="shared" si="7"/>
        <v>194459.97999999969</v>
      </c>
    </row>
    <row r="54" spans="1:7" x14ac:dyDescent="0.25">
      <c r="A54" s="56">
        <v>42799</v>
      </c>
      <c r="B54" s="1">
        <f t="shared" si="4"/>
        <v>30</v>
      </c>
      <c r="C54" s="4">
        <f t="shared" si="8"/>
        <v>33362</v>
      </c>
      <c r="D54" s="2">
        <f t="shared" si="0"/>
        <v>31741.5</v>
      </c>
      <c r="E54" s="19">
        <f t="shared" si="9"/>
        <v>1620.5</v>
      </c>
      <c r="F54" s="2">
        <f t="shared" si="10"/>
        <v>194459.97999999969</v>
      </c>
      <c r="G54" s="2">
        <f t="shared" si="7"/>
        <v>162718.47999999969</v>
      </c>
    </row>
    <row r="55" spans="1:7" x14ac:dyDescent="0.25">
      <c r="A55" s="56">
        <v>42830</v>
      </c>
      <c r="B55" s="1">
        <f t="shared" si="4"/>
        <v>30</v>
      </c>
      <c r="C55" s="4">
        <f t="shared" si="8"/>
        <v>33362</v>
      </c>
      <c r="D55" s="2">
        <f t="shared" si="0"/>
        <v>32006.01</v>
      </c>
      <c r="E55" s="19">
        <f t="shared" si="9"/>
        <v>1355.99</v>
      </c>
      <c r="F55" s="2">
        <f t="shared" si="10"/>
        <v>162718.47999999969</v>
      </c>
      <c r="G55" s="2">
        <f t="shared" si="7"/>
        <v>130712.4699999997</v>
      </c>
    </row>
    <row r="56" spans="1:7" x14ac:dyDescent="0.25">
      <c r="A56" s="56">
        <v>42860</v>
      </c>
      <c r="B56" s="1">
        <f t="shared" si="4"/>
        <v>30</v>
      </c>
      <c r="C56" s="4">
        <f t="shared" si="8"/>
        <v>33362</v>
      </c>
      <c r="D56" s="2">
        <f t="shared" si="0"/>
        <v>32272.73</v>
      </c>
      <c r="E56" s="19">
        <f t="shared" si="9"/>
        <v>1089.27</v>
      </c>
      <c r="F56" s="2">
        <f t="shared" si="10"/>
        <v>130712.4699999997</v>
      </c>
      <c r="G56" s="2">
        <f t="shared" si="7"/>
        <v>98439.7399999997</v>
      </c>
    </row>
    <row r="57" spans="1:7" x14ac:dyDescent="0.25">
      <c r="A57" s="56">
        <v>42891</v>
      </c>
      <c r="B57" s="1">
        <f t="shared" si="4"/>
        <v>30</v>
      </c>
      <c r="C57" s="4">
        <f t="shared" si="8"/>
        <v>33362</v>
      </c>
      <c r="D57" s="2">
        <f t="shared" si="0"/>
        <v>32541.67</v>
      </c>
      <c r="E57" s="19">
        <f t="shared" si="9"/>
        <v>820.33</v>
      </c>
      <c r="F57" s="2">
        <f t="shared" si="10"/>
        <v>98439.7399999997</v>
      </c>
      <c r="G57" s="2">
        <f t="shared" si="7"/>
        <v>65898.069999999701</v>
      </c>
    </row>
    <row r="58" spans="1:7" x14ac:dyDescent="0.25">
      <c r="A58" s="56">
        <v>42921</v>
      </c>
      <c r="B58" s="1">
        <f t="shared" si="4"/>
        <v>30</v>
      </c>
      <c r="C58" s="4">
        <f t="shared" si="8"/>
        <v>33362</v>
      </c>
      <c r="D58" s="2">
        <f t="shared" si="0"/>
        <v>32812.85</v>
      </c>
      <c r="E58" s="19">
        <f t="shared" si="9"/>
        <v>549.15</v>
      </c>
      <c r="F58" s="2">
        <f t="shared" si="10"/>
        <v>65898.069999999701</v>
      </c>
      <c r="G58" s="2">
        <f t="shared" si="7"/>
        <v>33085.219999999703</v>
      </c>
    </row>
    <row r="59" spans="1:7" x14ac:dyDescent="0.25">
      <c r="A59" s="56">
        <v>42952</v>
      </c>
      <c r="B59" s="1">
        <f t="shared" si="4"/>
        <v>30</v>
      </c>
      <c r="C59" s="4">
        <f t="shared" si="8"/>
        <v>33362</v>
      </c>
      <c r="D59" s="2">
        <f t="shared" si="0"/>
        <v>33085.219999999703</v>
      </c>
      <c r="E59" s="19">
        <v>276.78000000029863</v>
      </c>
      <c r="F59" s="2">
        <f t="shared" si="10"/>
        <v>33085.219999999703</v>
      </c>
      <c r="G59" s="2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B8ADA7-7D6A-4DAE-90C7-78E09634B4F6}">
  <dimension ref="A1:R5"/>
  <sheetViews>
    <sheetView workbookViewId="0">
      <selection activeCell="R2" sqref="R2:R4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57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70</v>
      </c>
      <c r="D2" s="8" t="s">
        <v>71</v>
      </c>
      <c r="E2" s="8" t="s">
        <v>23</v>
      </c>
      <c r="F2" s="8" t="s">
        <v>41</v>
      </c>
      <c r="G2" s="9" t="s">
        <v>24</v>
      </c>
      <c r="H2" s="9" t="s">
        <v>72</v>
      </c>
      <c r="I2" s="9" t="s">
        <v>0</v>
      </c>
      <c r="J2" s="9" t="s">
        <v>9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44</v>
      </c>
      <c r="P2" s="20" t="s">
        <v>21</v>
      </c>
      <c r="Q2" s="20" t="s">
        <v>79</v>
      </c>
      <c r="R2" s="50" t="s">
        <v>118</v>
      </c>
    </row>
    <row r="3" spans="1:18" x14ac:dyDescent="0.25">
      <c r="A3" s="12" t="s">
        <v>0</v>
      </c>
      <c r="B3" s="7" t="s">
        <v>9</v>
      </c>
      <c r="C3" s="7" t="s">
        <v>70</v>
      </c>
      <c r="D3" s="8" t="s">
        <v>71</v>
      </c>
      <c r="E3" s="8" t="s">
        <v>23</v>
      </c>
      <c r="F3" s="8" t="s">
        <v>41</v>
      </c>
      <c r="G3" s="9" t="s">
        <v>24</v>
      </c>
      <c r="H3" s="9" t="s">
        <v>72</v>
      </c>
      <c r="I3" s="9" t="s">
        <v>0</v>
      </c>
      <c r="J3" s="9" t="s">
        <v>9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44</v>
      </c>
      <c r="P3" s="20" t="s">
        <v>21</v>
      </c>
      <c r="Q3" s="20" t="s">
        <v>79</v>
      </c>
      <c r="R3" s="50" t="s">
        <v>119</v>
      </c>
    </row>
    <row r="4" spans="1:18" x14ac:dyDescent="0.25">
      <c r="A4" s="12" t="s">
        <v>0</v>
      </c>
      <c r="B4" s="7" t="s">
        <v>9</v>
      </c>
      <c r="C4" s="7" t="s">
        <v>73</v>
      </c>
      <c r="D4" s="8" t="s">
        <v>71</v>
      </c>
      <c r="E4" s="8" t="s">
        <v>23</v>
      </c>
      <c r="F4" s="8" t="s">
        <v>41</v>
      </c>
      <c r="G4" s="9" t="s">
        <v>24</v>
      </c>
      <c r="H4" s="9" t="s">
        <v>42</v>
      </c>
      <c r="I4" s="9" t="s">
        <v>0</v>
      </c>
      <c r="J4" s="9" t="s">
        <v>9</v>
      </c>
      <c r="K4" s="9" t="s">
        <v>25</v>
      </c>
      <c r="L4" s="9" t="s">
        <v>26</v>
      </c>
      <c r="M4" s="9" t="s">
        <v>27</v>
      </c>
      <c r="N4" s="20" t="s">
        <v>29</v>
      </c>
      <c r="O4" s="20" t="s">
        <v>74</v>
      </c>
      <c r="P4" s="20" t="s">
        <v>21</v>
      </c>
      <c r="Q4" s="20" t="s">
        <v>79</v>
      </c>
      <c r="R4" s="50" t="s">
        <v>120</v>
      </c>
    </row>
    <row r="5" spans="1:18" x14ac:dyDescent="0.25">
      <c r="A5" s="12" t="s">
        <v>0</v>
      </c>
      <c r="B5" s="7" t="s">
        <v>9</v>
      </c>
      <c r="C5" s="7" t="s">
        <v>73</v>
      </c>
      <c r="D5" s="8" t="s">
        <v>71</v>
      </c>
      <c r="E5" s="8" t="s">
        <v>23</v>
      </c>
      <c r="F5" s="8" t="s">
        <v>41</v>
      </c>
      <c r="G5" s="9" t="s">
        <v>24</v>
      </c>
      <c r="H5" s="9" t="s">
        <v>42</v>
      </c>
      <c r="I5" s="9" t="s">
        <v>0</v>
      </c>
      <c r="J5" s="9" t="s">
        <v>9</v>
      </c>
      <c r="K5" s="9" t="s">
        <v>31</v>
      </c>
      <c r="L5" s="9" t="s">
        <v>26</v>
      </c>
      <c r="M5" s="9" t="s">
        <v>27</v>
      </c>
      <c r="N5" s="20" t="s">
        <v>29</v>
      </c>
      <c r="O5" s="20" t="s">
        <v>74</v>
      </c>
      <c r="P5" s="20" t="s">
        <v>21</v>
      </c>
      <c r="Q5" s="20" t="s">
        <v>79</v>
      </c>
      <c r="R5" s="50" t="s">
        <v>121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C6EA9A6-BB43-4EFF-8FE5-616469ABF007}">
  <dimension ref="A1:J475"/>
  <sheetViews>
    <sheetView zoomScale="85" zoomScaleNormal="90" workbookViewId="0">
      <pane ySplit="3" topLeftCell="A465" activePane="bottomLeft" state="frozen"/>
      <selection activeCell="R3" sqref="R3"/>
      <selection pane="bottomLeft" activeCell="A476" sqref="A476:XFD479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4.71093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ROUNDUP(13176689.9488057,0)</f>
        <v>13176690</v>
      </c>
      <c r="E1" s="25" t="s">
        <v>51</v>
      </c>
      <c r="F1" s="24">
        <f>ROUNDUP(16940597.3181793,0)</f>
        <v>16940598</v>
      </c>
      <c r="G1" s="28" t="s">
        <v>52</v>
      </c>
      <c r="H1" s="26">
        <v>42160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H1-A20</f>
        <v>-183</v>
      </c>
      <c r="E2" t="s">
        <v>59</v>
      </c>
      <c r="F2">
        <f>A41-H1</f>
        <v>823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41856</v>
      </c>
      <c r="B4" s="60">
        <f>_xlfn.DAYS(A4,B1)</f>
        <v>3</v>
      </c>
      <c r="C4" s="67" t="s">
        <v>15</v>
      </c>
      <c r="D4" s="67" t="s">
        <v>15</v>
      </c>
      <c r="E4" s="62">
        <f>ROUND(F4*$B$2*B4/365,2)</f>
        <v>1232876.71</v>
      </c>
      <c r="F4" s="66">
        <v>999999999</v>
      </c>
      <c r="G4" s="66">
        <v>999999999</v>
      </c>
      <c r="H4" s="65"/>
      <c r="I4" s="65"/>
    </row>
    <row r="5" spans="1:10" x14ac:dyDescent="0.25">
      <c r="A5" s="36">
        <v>41887</v>
      </c>
      <c r="B5" s="60">
        <f>_xlfn.DAYS(A5,A4)</f>
        <v>31</v>
      </c>
      <c r="C5" s="4">
        <f>$D$1</f>
        <v>13176690</v>
      </c>
      <c r="D5" s="61">
        <f t="shared" ref="D5:D22" si="0">C5-E5</f>
        <v>436963.99000000022</v>
      </c>
      <c r="E5" s="62">
        <f>ROUND(F5*$B$2*B5/365,2)</f>
        <v>12739726.01</v>
      </c>
      <c r="F5" s="66">
        <v>999999999</v>
      </c>
      <c r="G5" s="61">
        <f>F5-D5</f>
        <v>999563035.00999999</v>
      </c>
      <c r="H5" s="63">
        <f>F5*$B$2*B5/365</f>
        <v>12739726.014657533</v>
      </c>
      <c r="I5" s="64">
        <f>H5-E5</f>
        <v>4.6575330197811127E-3</v>
      </c>
    </row>
    <row r="6" spans="1:10" x14ac:dyDescent="0.25">
      <c r="A6" s="36">
        <v>41917</v>
      </c>
      <c r="B6" s="1">
        <f>_xlfn.DAYS(A6,A5)</f>
        <v>30</v>
      </c>
      <c r="C6" s="4">
        <f>$D$1</f>
        <v>13176690</v>
      </c>
      <c r="D6" s="2">
        <f t="shared" si="0"/>
        <v>853310.11999999918</v>
      </c>
      <c r="E6" s="19">
        <f>ROUND(F6*$B$2*B6/365,2)</f>
        <v>12323379.880000001</v>
      </c>
      <c r="F6" s="2">
        <f>G5</f>
        <v>999563035.00999999</v>
      </c>
      <c r="G6" s="2">
        <f>F6-D6</f>
        <v>998709724.88999999</v>
      </c>
      <c r="H6" s="14">
        <f t="shared" ref="H6:H22" si="1">F6*$B$2*B6/365</f>
        <v>12323379.883684929</v>
      </c>
      <c r="I6" s="16">
        <f t="shared" ref="I6:I22" si="2">H6-E6</f>
        <v>3.6849286407232285E-3</v>
      </c>
    </row>
    <row r="7" spans="1:10" x14ac:dyDescent="0.25">
      <c r="A7" s="36">
        <v>41948</v>
      </c>
      <c r="B7" s="1">
        <f t="shared" ref="B7:B70" si="3">_xlfn.DAYS(A7,A6)</f>
        <v>31</v>
      </c>
      <c r="C7" s="4">
        <f t="shared" ref="C7:C70" si="4">$D$1</f>
        <v>13176690</v>
      </c>
      <c r="D7" s="2">
        <f t="shared" si="0"/>
        <v>453401.72000000067</v>
      </c>
      <c r="E7" s="19">
        <f t="shared" ref="E7:E22" si="5">ROUND(F7*$B$2*B7/365,2)</f>
        <v>12723288.279999999</v>
      </c>
      <c r="F7" s="2">
        <f t="shared" ref="F7:F22" si="6">G6</f>
        <v>998709724.88999999</v>
      </c>
      <c r="G7" s="2">
        <f t="shared" ref="G7:G22" si="7">F7-D7</f>
        <v>998256323.16999996</v>
      </c>
      <c r="H7" s="14">
        <f t="shared" si="1"/>
        <v>12723288.275995892</v>
      </c>
      <c r="I7" s="16">
        <f t="shared" si="2"/>
        <v>-4.0041077882051468E-3</v>
      </c>
    </row>
    <row r="8" spans="1:10" x14ac:dyDescent="0.25">
      <c r="A8" s="36">
        <v>41978</v>
      </c>
      <c r="B8" s="1">
        <f t="shared" si="3"/>
        <v>30</v>
      </c>
      <c r="C8" s="4">
        <f t="shared" si="4"/>
        <v>13176690</v>
      </c>
      <c r="D8" s="2">
        <f t="shared" si="0"/>
        <v>869420.25999999978</v>
      </c>
      <c r="E8" s="19">
        <f t="shared" si="5"/>
        <v>12307269.74</v>
      </c>
      <c r="F8" s="2">
        <f t="shared" si="6"/>
        <v>998256323.16999996</v>
      </c>
      <c r="G8" s="2">
        <f t="shared" si="7"/>
        <v>997386902.90999997</v>
      </c>
      <c r="H8" s="14">
        <f t="shared" si="1"/>
        <v>12307269.737712327</v>
      </c>
      <c r="I8" s="16">
        <f t="shared" si="2"/>
        <v>-2.287672832608223E-3</v>
      </c>
    </row>
    <row r="9" spans="1:10" x14ac:dyDescent="0.25">
      <c r="A9" s="36">
        <v>42009</v>
      </c>
      <c r="B9" s="1">
        <f t="shared" si="3"/>
        <v>31</v>
      </c>
      <c r="C9" s="4">
        <f t="shared" si="4"/>
        <v>13176690</v>
      </c>
      <c r="D9" s="2">
        <f t="shared" si="0"/>
        <v>470254.1099999994</v>
      </c>
      <c r="E9" s="19">
        <f t="shared" si="5"/>
        <v>12706435.890000001</v>
      </c>
      <c r="F9" s="2">
        <f t="shared" si="6"/>
        <v>997386902.90999997</v>
      </c>
      <c r="G9" s="2">
        <f t="shared" si="7"/>
        <v>996916648.79999995</v>
      </c>
      <c r="H9" s="14">
        <f t="shared" si="1"/>
        <v>12706435.88638767</v>
      </c>
      <c r="I9" s="16">
        <f t="shared" si="2"/>
        <v>-3.6123301833868027E-3</v>
      </c>
    </row>
    <row r="10" spans="1:10" x14ac:dyDescent="0.25">
      <c r="A10" s="36">
        <v>42040</v>
      </c>
      <c r="B10" s="1">
        <f t="shared" si="3"/>
        <v>31</v>
      </c>
      <c r="C10" s="4">
        <f t="shared" si="4"/>
        <v>13176690</v>
      </c>
      <c r="D10" s="2">
        <f t="shared" si="0"/>
        <v>476245.01999999955</v>
      </c>
      <c r="E10" s="19">
        <f t="shared" si="5"/>
        <v>12700444.98</v>
      </c>
      <c r="F10" s="2">
        <f t="shared" si="6"/>
        <v>996916648.79999995</v>
      </c>
      <c r="G10" s="2">
        <f t="shared" si="7"/>
        <v>996440403.77999997</v>
      </c>
      <c r="H10" s="14">
        <f t="shared" si="1"/>
        <v>12700444.977863014</v>
      </c>
      <c r="I10" s="16">
        <f t="shared" si="2"/>
        <v>-2.1369867026805878E-3</v>
      </c>
    </row>
    <row r="11" spans="1:10" x14ac:dyDescent="0.25">
      <c r="A11" s="36">
        <v>42068</v>
      </c>
      <c r="B11" s="1">
        <f t="shared" si="3"/>
        <v>28</v>
      </c>
      <c r="C11" s="4">
        <f t="shared" si="4"/>
        <v>13176690</v>
      </c>
      <c r="D11" s="2">
        <f t="shared" si="0"/>
        <v>1710800.42</v>
      </c>
      <c r="E11" s="19">
        <f t="shared" si="5"/>
        <v>11465889.58</v>
      </c>
      <c r="F11" s="2">
        <f t="shared" si="6"/>
        <v>996440403.77999997</v>
      </c>
      <c r="G11" s="2">
        <f t="shared" si="7"/>
        <v>994729603.36000001</v>
      </c>
      <c r="H11" s="14">
        <f t="shared" si="1"/>
        <v>11465889.577742465</v>
      </c>
      <c r="I11" s="16">
        <f t="shared" si="2"/>
        <v>-2.2575352340936661E-3</v>
      </c>
    </row>
    <row r="12" spans="1:10" x14ac:dyDescent="0.25">
      <c r="A12" s="36">
        <v>42099</v>
      </c>
      <c r="B12" s="1">
        <f t="shared" si="3"/>
        <v>31</v>
      </c>
      <c r="C12" s="4">
        <f t="shared" si="4"/>
        <v>13176690</v>
      </c>
      <c r="D12" s="2">
        <f t="shared" si="0"/>
        <v>504107.38000000082</v>
      </c>
      <c r="E12" s="19">
        <f t="shared" si="5"/>
        <v>12672582.619999999</v>
      </c>
      <c r="F12" s="2">
        <f t="shared" si="6"/>
        <v>994729603.36000001</v>
      </c>
      <c r="G12" s="2">
        <f t="shared" si="7"/>
        <v>994225495.98000002</v>
      </c>
      <c r="H12" s="14">
        <f t="shared" si="1"/>
        <v>12672582.618147947</v>
      </c>
      <c r="I12" s="16">
        <f t="shared" si="2"/>
        <v>-1.8520522862672806E-3</v>
      </c>
    </row>
    <row r="13" spans="1:10" x14ac:dyDescent="0.25">
      <c r="A13" s="36">
        <v>42129</v>
      </c>
      <c r="B13" s="1">
        <f t="shared" si="3"/>
        <v>30</v>
      </c>
      <c r="C13" s="4">
        <f t="shared" si="4"/>
        <v>13176690</v>
      </c>
      <c r="D13" s="2">
        <f t="shared" si="0"/>
        <v>919115.3900000006</v>
      </c>
      <c r="E13" s="19">
        <f t="shared" si="5"/>
        <v>12257574.609999999</v>
      </c>
      <c r="F13" s="2">
        <f t="shared" si="6"/>
        <v>994225495.98000002</v>
      </c>
      <c r="G13" s="2">
        <f t="shared" si="7"/>
        <v>993306380.59000003</v>
      </c>
      <c r="H13" s="14">
        <f t="shared" si="1"/>
        <v>12257574.607972601</v>
      </c>
      <c r="I13" s="16">
        <f t="shared" si="2"/>
        <v>-2.0273979753255844E-3</v>
      </c>
    </row>
    <row r="14" spans="1:10" x14ac:dyDescent="0.25">
      <c r="A14" s="36">
        <v>42160</v>
      </c>
      <c r="B14" s="1">
        <f t="shared" si="3"/>
        <v>31</v>
      </c>
      <c r="C14" s="4">
        <f t="shared" si="4"/>
        <v>13176690</v>
      </c>
      <c r="D14" s="2">
        <f t="shared" si="0"/>
        <v>522238.84999999963</v>
      </c>
      <c r="E14" s="19">
        <f t="shared" si="5"/>
        <v>12654451.15</v>
      </c>
      <c r="F14" s="2">
        <f t="shared" si="6"/>
        <v>993306380.59000003</v>
      </c>
      <c r="G14" s="2">
        <f t="shared" si="7"/>
        <v>992784141.74000001</v>
      </c>
      <c r="H14" s="14">
        <f t="shared" si="1"/>
        <v>12654451.149982192</v>
      </c>
      <c r="I14" s="16">
        <f t="shared" si="2"/>
        <v>-1.780875027179718E-5</v>
      </c>
    </row>
    <row r="15" spans="1:10" x14ac:dyDescent="0.25">
      <c r="A15" s="36">
        <v>42190</v>
      </c>
      <c r="B15" s="1">
        <f t="shared" si="3"/>
        <v>30</v>
      </c>
      <c r="C15" s="4">
        <f t="shared" si="4"/>
        <v>13176690</v>
      </c>
      <c r="D15" s="2">
        <f t="shared" si="0"/>
        <v>936885.50999999978</v>
      </c>
      <c r="E15" s="19">
        <f t="shared" si="5"/>
        <v>12239804.49</v>
      </c>
      <c r="F15" s="2">
        <f t="shared" si="6"/>
        <v>992784141.74000001</v>
      </c>
      <c r="G15" s="2">
        <f t="shared" si="7"/>
        <v>991847256.23000002</v>
      </c>
      <c r="H15" s="14">
        <f t="shared" si="1"/>
        <v>12239804.487205479</v>
      </c>
      <c r="I15" s="16">
        <f t="shared" si="2"/>
        <v>-2.7945209294557571E-3</v>
      </c>
    </row>
    <row r="16" spans="1:10" x14ac:dyDescent="0.25">
      <c r="A16" s="36">
        <v>42221</v>
      </c>
      <c r="B16" s="1">
        <f t="shared" si="3"/>
        <v>31</v>
      </c>
      <c r="C16" s="4">
        <f t="shared" si="4"/>
        <v>13176690</v>
      </c>
      <c r="D16" s="2">
        <f t="shared" si="0"/>
        <v>540827.68999999948</v>
      </c>
      <c r="E16" s="19">
        <f t="shared" si="5"/>
        <v>12635862.310000001</v>
      </c>
      <c r="F16" s="2">
        <f t="shared" si="6"/>
        <v>991847256.23000002</v>
      </c>
      <c r="G16" s="2">
        <f t="shared" si="7"/>
        <v>991306428.53999996</v>
      </c>
      <c r="H16" s="14">
        <f t="shared" si="1"/>
        <v>12635862.305395892</v>
      </c>
      <c r="I16" s="16">
        <f t="shared" si="2"/>
        <v>-4.6041086316108704E-3</v>
      </c>
    </row>
    <row r="17" spans="1:9" x14ac:dyDescent="0.25">
      <c r="A17" s="36">
        <v>42252</v>
      </c>
      <c r="B17" s="1">
        <f t="shared" si="3"/>
        <v>31</v>
      </c>
      <c r="C17" s="4">
        <f t="shared" si="4"/>
        <v>13176690</v>
      </c>
      <c r="D17" s="2">
        <f t="shared" si="0"/>
        <v>547717.68999999948</v>
      </c>
      <c r="E17" s="19">
        <f t="shared" si="5"/>
        <v>12628972.310000001</v>
      </c>
      <c r="F17" s="2">
        <f t="shared" si="6"/>
        <v>991306428.53999996</v>
      </c>
      <c r="G17" s="2">
        <f t="shared" si="7"/>
        <v>990758710.8499999</v>
      </c>
      <c r="H17" s="14">
        <f t="shared" si="1"/>
        <v>12628972.308797259</v>
      </c>
      <c r="I17" s="16">
        <f t="shared" si="2"/>
        <v>-1.2027416378259659E-3</v>
      </c>
    </row>
    <row r="18" spans="1:9" x14ac:dyDescent="0.25">
      <c r="A18" s="36">
        <v>42282</v>
      </c>
      <c r="B18" s="1">
        <f t="shared" si="3"/>
        <v>30</v>
      </c>
      <c r="C18" s="4">
        <f t="shared" si="4"/>
        <v>13176690</v>
      </c>
      <c r="D18" s="2">
        <f t="shared" si="0"/>
        <v>961856.58000000007</v>
      </c>
      <c r="E18" s="19">
        <f t="shared" si="5"/>
        <v>12214833.42</v>
      </c>
      <c r="F18" s="2">
        <f t="shared" si="6"/>
        <v>990758710.8499999</v>
      </c>
      <c r="G18" s="2">
        <f t="shared" si="7"/>
        <v>989796854.26999986</v>
      </c>
      <c r="H18" s="14">
        <f t="shared" si="1"/>
        <v>12214833.421438353</v>
      </c>
      <c r="I18" s="16">
        <f t="shared" si="2"/>
        <v>1.4383532106876373E-3</v>
      </c>
    </row>
    <row r="19" spans="1:9" x14ac:dyDescent="0.25">
      <c r="A19" s="36">
        <v>42313</v>
      </c>
      <c r="B19" s="1">
        <f t="shared" si="3"/>
        <v>31</v>
      </c>
      <c r="C19" s="4">
        <f t="shared" si="4"/>
        <v>13176690</v>
      </c>
      <c r="D19" s="2">
        <f t="shared" si="0"/>
        <v>566949.25</v>
      </c>
      <c r="E19" s="19">
        <f t="shared" si="5"/>
        <v>12609740.75</v>
      </c>
      <c r="F19" s="2">
        <f t="shared" si="6"/>
        <v>989796854.26999986</v>
      </c>
      <c r="G19" s="2">
        <f t="shared" si="7"/>
        <v>989229905.01999986</v>
      </c>
      <c r="H19" s="14">
        <f t="shared" si="1"/>
        <v>12609740.74617945</v>
      </c>
      <c r="I19" s="16">
        <f t="shared" si="2"/>
        <v>-3.8205496966838837E-3</v>
      </c>
    </row>
    <row r="20" spans="1:9" x14ac:dyDescent="0.25">
      <c r="A20" s="36">
        <v>42343</v>
      </c>
      <c r="B20" s="1">
        <f t="shared" si="3"/>
        <v>30</v>
      </c>
      <c r="C20" s="4">
        <f t="shared" si="4"/>
        <v>13176690</v>
      </c>
      <c r="D20" s="2">
        <f t="shared" si="0"/>
        <v>980704.86999999918</v>
      </c>
      <c r="E20" s="19">
        <f t="shared" si="5"/>
        <v>12195985.130000001</v>
      </c>
      <c r="F20" s="2">
        <f t="shared" si="6"/>
        <v>989229905.01999986</v>
      </c>
      <c r="G20" s="2">
        <f t="shared" si="7"/>
        <v>988249200.14999986</v>
      </c>
      <c r="H20" s="14">
        <f t="shared" si="1"/>
        <v>12195985.130383559</v>
      </c>
      <c r="I20" s="16">
        <f t="shared" si="2"/>
        <v>3.835577517747879E-4</v>
      </c>
    </row>
    <row r="21" spans="1:9" x14ac:dyDescent="0.25">
      <c r="A21" s="36">
        <v>42374</v>
      </c>
      <c r="B21" s="1">
        <f t="shared" si="3"/>
        <v>31</v>
      </c>
      <c r="C21" s="4">
        <f t="shared" si="4"/>
        <v>13176690</v>
      </c>
      <c r="D21" s="2">
        <f t="shared" si="0"/>
        <v>586665.93999999948</v>
      </c>
      <c r="E21" s="19">
        <f t="shared" si="5"/>
        <v>12590024.060000001</v>
      </c>
      <c r="F21" s="2">
        <f t="shared" si="6"/>
        <v>988249200.14999986</v>
      </c>
      <c r="G21" s="2">
        <f t="shared" si="7"/>
        <v>987662534.2099998</v>
      </c>
      <c r="H21" s="14">
        <f t="shared" si="1"/>
        <v>12590024.056705477</v>
      </c>
      <c r="I21" s="16">
        <f t="shared" si="2"/>
        <v>-3.2945238053798676E-3</v>
      </c>
    </row>
    <row r="22" spans="1:9" x14ac:dyDescent="0.25">
      <c r="A22" s="36">
        <v>42405</v>
      </c>
      <c r="B22" s="1">
        <f t="shared" si="3"/>
        <v>31</v>
      </c>
      <c r="C22" s="4">
        <f t="shared" si="4"/>
        <v>13176690</v>
      </c>
      <c r="D22" s="2">
        <f t="shared" si="0"/>
        <v>594139.91000000015</v>
      </c>
      <c r="E22" s="19">
        <f t="shared" si="5"/>
        <v>12582550.09</v>
      </c>
      <c r="F22" s="2">
        <f t="shared" si="6"/>
        <v>987662534.2099998</v>
      </c>
      <c r="G22" s="2">
        <f t="shared" si="7"/>
        <v>987068394.29999983</v>
      </c>
      <c r="H22" s="14">
        <f t="shared" si="1"/>
        <v>12582550.093360271</v>
      </c>
      <c r="I22" s="16">
        <f t="shared" si="2"/>
        <v>3.3602714538574219E-3</v>
      </c>
    </row>
    <row r="23" spans="1:9" x14ac:dyDescent="0.25">
      <c r="A23" s="36">
        <v>42434</v>
      </c>
      <c r="B23" s="1">
        <f t="shared" si="3"/>
        <v>29</v>
      </c>
      <c r="C23" s="4">
        <f t="shared" si="4"/>
        <v>13176690</v>
      </c>
      <c r="D23" s="2">
        <f t="shared" ref="D23:D35" si="8">C23-E23</f>
        <v>1412998.1799999997</v>
      </c>
      <c r="E23" s="19">
        <f t="shared" ref="E23:E35" si="9">ROUND(F23*$B$2*B23/365,2)</f>
        <v>11763691.82</v>
      </c>
      <c r="F23" s="2">
        <f t="shared" ref="F23:F35" si="10">G22</f>
        <v>987068394.29999983</v>
      </c>
      <c r="G23" s="2">
        <f t="shared" ref="G23:G35" si="11">F23-D23</f>
        <v>985655396.11999989</v>
      </c>
      <c r="H23" s="14">
        <f t="shared" ref="H23:H35" si="12">F23*$B$2*B23/365</f>
        <v>11763691.822479451</v>
      </c>
      <c r="I23" s="16">
        <f t="shared" ref="I23:I35" si="13">H23-E23</f>
        <v>2.4794507771730423E-3</v>
      </c>
    </row>
    <row r="24" spans="1:9" x14ac:dyDescent="0.25">
      <c r="A24" s="36">
        <v>42465</v>
      </c>
      <c r="B24" s="1">
        <f t="shared" si="3"/>
        <v>31</v>
      </c>
      <c r="C24" s="4">
        <f t="shared" si="4"/>
        <v>13176690</v>
      </c>
      <c r="D24" s="2">
        <f t="shared" si="8"/>
        <v>619710.30000000075</v>
      </c>
      <c r="E24" s="19">
        <f t="shared" si="9"/>
        <v>12556979.699999999</v>
      </c>
      <c r="F24" s="2">
        <f t="shared" si="10"/>
        <v>985655396.11999989</v>
      </c>
      <c r="G24" s="2">
        <f t="shared" si="11"/>
        <v>985035685.81999993</v>
      </c>
      <c r="H24" s="14">
        <f t="shared" si="12"/>
        <v>12556979.703994518</v>
      </c>
      <c r="I24" s="16">
        <f t="shared" si="13"/>
        <v>3.9945188909769058E-3</v>
      </c>
    </row>
    <row r="25" spans="1:9" x14ac:dyDescent="0.25">
      <c r="A25" s="36">
        <v>42495</v>
      </c>
      <c r="B25" s="1">
        <f t="shared" si="3"/>
        <v>30</v>
      </c>
      <c r="C25" s="4">
        <f t="shared" si="4"/>
        <v>13176690</v>
      </c>
      <c r="D25" s="2">
        <f t="shared" si="8"/>
        <v>1032414.4199999999</v>
      </c>
      <c r="E25" s="19">
        <f t="shared" si="9"/>
        <v>12144275.58</v>
      </c>
      <c r="F25" s="2">
        <f t="shared" si="10"/>
        <v>985035685.81999993</v>
      </c>
      <c r="G25" s="2">
        <f t="shared" si="11"/>
        <v>984003271.39999998</v>
      </c>
      <c r="H25" s="14">
        <f t="shared" si="12"/>
        <v>12144275.578602739</v>
      </c>
      <c r="I25" s="16">
        <f t="shared" si="13"/>
        <v>-1.3972613960504532E-3</v>
      </c>
    </row>
    <row r="26" spans="1:9" x14ac:dyDescent="0.25">
      <c r="A26" s="36">
        <v>42526</v>
      </c>
      <c r="B26" s="1">
        <f t="shared" si="3"/>
        <v>31</v>
      </c>
      <c r="C26" s="4">
        <f t="shared" si="4"/>
        <v>13176690</v>
      </c>
      <c r="D26" s="2">
        <f t="shared" si="8"/>
        <v>640757.91000000015</v>
      </c>
      <c r="E26" s="19">
        <f t="shared" si="9"/>
        <v>12535932.09</v>
      </c>
      <c r="F26" s="2">
        <f t="shared" si="10"/>
        <v>984003271.39999998</v>
      </c>
      <c r="G26" s="2">
        <f t="shared" si="11"/>
        <v>983362513.49000001</v>
      </c>
      <c r="H26" s="14">
        <f t="shared" si="12"/>
        <v>12535932.087698627</v>
      </c>
      <c r="I26" s="16">
        <f t="shared" si="13"/>
        <v>-2.3013725876808167E-3</v>
      </c>
    </row>
    <row r="27" spans="1:9" x14ac:dyDescent="0.25">
      <c r="A27" s="36">
        <v>42556</v>
      </c>
      <c r="B27" s="1">
        <f t="shared" si="3"/>
        <v>30</v>
      </c>
      <c r="C27" s="4">
        <f t="shared" si="4"/>
        <v>13176690</v>
      </c>
      <c r="D27" s="2">
        <f t="shared" si="8"/>
        <v>1053042.5700000003</v>
      </c>
      <c r="E27" s="19">
        <f t="shared" si="9"/>
        <v>12123647.43</v>
      </c>
      <c r="F27" s="2">
        <f t="shared" si="10"/>
        <v>983362513.49000001</v>
      </c>
      <c r="G27" s="2">
        <f t="shared" si="11"/>
        <v>982309470.91999996</v>
      </c>
      <c r="H27" s="14">
        <f t="shared" si="12"/>
        <v>12123647.42658904</v>
      </c>
      <c r="I27" s="16">
        <f t="shared" si="13"/>
        <v>-3.4109596163034439E-3</v>
      </c>
    </row>
    <row r="28" spans="1:9" x14ac:dyDescent="0.25">
      <c r="A28" s="36">
        <v>42587</v>
      </c>
      <c r="B28" s="1">
        <f t="shared" si="3"/>
        <v>31</v>
      </c>
      <c r="C28" s="4">
        <f t="shared" si="4"/>
        <v>13176690</v>
      </c>
      <c r="D28" s="2">
        <f t="shared" si="8"/>
        <v>662336.47000000067</v>
      </c>
      <c r="E28" s="19">
        <f t="shared" si="9"/>
        <v>12514353.529999999</v>
      </c>
      <c r="F28" s="2">
        <f t="shared" si="10"/>
        <v>982309470.91999996</v>
      </c>
      <c r="G28" s="2">
        <f t="shared" si="11"/>
        <v>981647134.44999993</v>
      </c>
      <c r="H28" s="14">
        <f t="shared" si="12"/>
        <v>12514353.533638356</v>
      </c>
      <c r="I28" s="16">
        <f t="shared" si="13"/>
        <v>3.6383569240570068E-3</v>
      </c>
    </row>
    <row r="29" spans="1:9" x14ac:dyDescent="0.25">
      <c r="A29" s="36">
        <v>42618</v>
      </c>
      <c r="B29" s="1">
        <f t="shared" si="3"/>
        <v>31</v>
      </c>
      <c r="C29" s="4">
        <f t="shared" si="4"/>
        <v>13176690</v>
      </c>
      <c r="D29" s="2">
        <f t="shared" si="8"/>
        <v>670774.44999999925</v>
      </c>
      <c r="E29" s="19">
        <f t="shared" si="9"/>
        <v>12505915.550000001</v>
      </c>
      <c r="F29" s="2">
        <f t="shared" si="10"/>
        <v>981647134.44999993</v>
      </c>
      <c r="G29" s="2">
        <f t="shared" si="11"/>
        <v>980976359.99999988</v>
      </c>
      <c r="H29" s="14">
        <f t="shared" si="12"/>
        <v>12505915.548472604</v>
      </c>
      <c r="I29" s="16">
        <f t="shared" si="13"/>
        <v>-1.5273969620466232E-3</v>
      </c>
    </row>
    <row r="30" spans="1:9" x14ac:dyDescent="0.25">
      <c r="A30" s="36">
        <v>42648</v>
      </c>
      <c r="B30" s="1">
        <f t="shared" si="3"/>
        <v>30</v>
      </c>
      <c r="C30" s="4">
        <f t="shared" si="4"/>
        <v>13176690</v>
      </c>
      <c r="D30" s="2">
        <f t="shared" si="8"/>
        <v>1082460.9000000004</v>
      </c>
      <c r="E30" s="19">
        <f t="shared" si="9"/>
        <v>12094229.1</v>
      </c>
      <c r="F30" s="2">
        <f t="shared" si="10"/>
        <v>980976359.99999988</v>
      </c>
      <c r="G30" s="2">
        <f t="shared" si="11"/>
        <v>979893899.0999999</v>
      </c>
      <c r="H30" s="14">
        <f t="shared" si="12"/>
        <v>12094229.095890408</v>
      </c>
      <c r="I30" s="16">
        <f t="shared" si="13"/>
        <v>-4.1095912456512451E-3</v>
      </c>
    </row>
    <row r="31" spans="1:9" x14ac:dyDescent="0.25">
      <c r="A31" s="36">
        <v>42679</v>
      </c>
      <c r="B31" s="1">
        <f t="shared" si="3"/>
        <v>31</v>
      </c>
      <c r="C31" s="4">
        <f t="shared" si="4"/>
        <v>13176690</v>
      </c>
      <c r="D31" s="2">
        <f t="shared" si="8"/>
        <v>693110.18999999948</v>
      </c>
      <c r="E31" s="19">
        <f t="shared" si="9"/>
        <v>12483579.810000001</v>
      </c>
      <c r="F31" s="2">
        <f t="shared" si="10"/>
        <v>979893899.0999999</v>
      </c>
      <c r="G31" s="2">
        <f t="shared" si="11"/>
        <v>979200788.90999985</v>
      </c>
      <c r="H31" s="14">
        <f t="shared" si="12"/>
        <v>12483579.810452053</v>
      </c>
      <c r="I31" s="16">
        <f t="shared" si="13"/>
        <v>4.5205280184745789E-4</v>
      </c>
    </row>
    <row r="32" spans="1:9" x14ac:dyDescent="0.25">
      <c r="A32" s="36">
        <v>42709</v>
      </c>
      <c r="B32" s="1">
        <f t="shared" si="3"/>
        <v>30</v>
      </c>
      <c r="C32" s="4">
        <f t="shared" si="4"/>
        <v>13176690</v>
      </c>
      <c r="D32" s="2">
        <f t="shared" si="8"/>
        <v>1104351.5099999998</v>
      </c>
      <c r="E32" s="19">
        <f t="shared" si="9"/>
        <v>12072338.49</v>
      </c>
      <c r="F32" s="2">
        <f t="shared" si="10"/>
        <v>979200788.90999985</v>
      </c>
      <c r="G32" s="2">
        <f t="shared" si="11"/>
        <v>978096437.39999986</v>
      </c>
      <c r="H32" s="14">
        <f t="shared" si="12"/>
        <v>12072338.493410954</v>
      </c>
      <c r="I32" s="16">
        <f t="shared" si="13"/>
        <v>3.4109540283679962E-3</v>
      </c>
    </row>
    <row r="33" spans="1:9" x14ac:dyDescent="0.25">
      <c r="A33" s="36">
        <v>42740</v>
      </c>
      <c r="B33" s="1">
        <f t="shared" si="3"/>
        <v>31</v>
      </c>
      <c r="C33" s="4">
        <f t="shared" si="4"/>
        <v>13176690</v>
      </c>
      <c r="D33" s="2">
        <f t="shared" si="8"/>
        <v>716009.3599999994</v>
      </c>
      <c r="E33" s="19">
        <f t="shared" si="9"/>
        <v>12460680.640000001</v>
      </c>
      <c r="F33" s="2">
        <f t="shared" si="10"/>
        <v>978096437.39999986</v>
      </c>
      <c r="G33" s="2">
        <f t="shared" si="11"/>
        <v>977380428.03999984</v>
      </c>
      <c r="H33" s="14">
        <f t="shared" si="12"/>
        <v>12460680.640849315</v>
      </c>
      <c r="I33" s="16">
        <f t="shared" si="13"/>
        <v>8.4931403398513794E-4</v>
      </c>
    </row>
    <row r="34" spans="1:9" x14ac:dyDescent="0.25">
      <c r="A34" s="36">
        <v>42771</v>
      </c>
      <c r="B34" s="1">
        <f t="shared" si="3"/>
        <v>31</v>
      </c>
      <c r="C34" s="4">
        <f t="shared" si="4"/>
        <v>13176690</v>
      </c>
      <c r="D34" s="2">
        <f t="shared" si="8"/>
        <v>725131.11999999918</v>
      </c>
      <c r="E34" s="19">
        <f t="shared" si="9"/>
        <v>12451558.880000001</v>
      </c>
      <c r="F34" s="2">
        <f t="shared" si="10"/>
        <v>977380428.03999984</v>
      </c>
      <c r="G34" s="2">
        <f t="shared" si="11"/>
        <v>976655296.91999984</v>
      </c>
      <c r="H34" s="14">
        <f t="shared" si="12"/>
        <v>12451558.87776986</v>
      </c>
      <c r="I34" s="16">
        <f t="shared" si="13"/>
        <v>-2.2301413118839264E-3</v>
      </c>
    </row>
    <row r="35" spans="1:9" x14ac:dyDescent="0.25">
      <c r="A35" s="36">
        <v>42799</v>
      </c>
      <c r="B35" s="1">
        <f t="shared" si="3"/>
        <v>28</v>
      </c>
      <c r="C35" s="4">
        <f t="shared" si="4"/>
        <v>13176690</v>
      </c>
      <c r="D35" s="2">
        <f t="shared" si="8"/>
        <v>1938464.67</v>
      </c>
      <c r="E35" s="19">
        <f t="shared" si="9"/>
        <v>11238225.33</v>
      </c>
      <c r="F35" s="2">
        <f t="shared" si="10"/>
        <v>976655296.91999984</v>
      </c>
      <c r="G35" s="2">
        <f t="shared" si="11"/>
        <v>974716832.24999988</v>
      </c>
      <c r="H35" s="14">
        <f t="shared" si="12"/>
        <v>11238225.334421914</v>
      </c>
      <c r="I35" s="16">
        <f t="shared" si="13"/>
        <v>4.4219139963388443E-3</v>
      </c>
    </row>
    <row r="36" spans="1:9" x14ac:dyDescent="0.25">
      <c r="A36" s="36">
        <v>42830</v>
      </c>
      <c r="B36" s="1">
        <f t="shared" si="3"/>
        <v>31</v>
      </c>
      <c r="C36" s="4">
        <f t="shared" si="4"/>
        <v>13176690</v>
      </c>
      <c r="D36" s="2">
        <f t="shared" ref="D36:D74" si="14">C36-E36</f>
        <v>759064.59999999963</v>
      </c>
      <c r="E36" s="19">
        <f t="shared" ref="E36:E74" si="15">ROUND(F36*$B$2*B36/365,2)</f>
        <v>12417625.4</v>
      </c>
      <c r="F36" s="2">
        <f t="shared" ref="F36:F74" si="16">G35</f>
        <v>974716832.24999988</v>
      </c>
      <c r="G36" s="2">
        <f t="shared" ref="G36:G74" si="17">F36-D36</f>
        <v>973957767.64999986</v>
      </c>
      <c r="H36" s="14">
        <f t="shared" ref="H36:H74" si="18">F36*$B$2*B36/365</f>
        <v>12417625.397157533</v>
      </c>
      <c r="I36" s="16">
        <f t="shared" ref="I36:I74" si="19">H36-E36</f>
        <v>-2.8424672782421112E-3</v>
      </c>
    </row>
    <row r="37" spans="1:9" x14ac:dyDescent="0.25">
      <c r="A37" s="36">
        <v>42860</v>
      </c>
      <c r="B37" s="1">
        <f t="shared" si="3"/>
        <v>30</v>
      </c>
      <c r="C37" s="4">
        <f t="shared" si="4"/>
        <v>13176690</v>
      </c>
      <c r="D37" s="2">
        <f t="shared" si="14"/>
        <v>1168991.4900000002</v>
      </c>
      <c r="E37" s="19">
        <f t="shared" si="15"/>
        <v>12007698.51</v>
      </c>
      <c r="F37" s="2">
        <f t="shared" si="16"/>
        <v>973957767.64999986</v>
      </c>
      <c r="G37" s="2">
        <f t="shared" si="17"/>
        <v>972788776.15999985</v>
      </c>
      <c r="H37" s="14">
        <f t="shared" si="18"/>
        <v>12007698.50527397</v>
      </c>
      <c r="I37" s="16">
        <f t="shared" si="19"/>
        <v>-4.7260299324989319E-3</v>
      </c>
    </row>
    <row r="38" spans="1:9" x14ac:dyDescent="0.25">
      <c r="A38" s="36">
        <v>42891</v>
      </c>
      <c r="B38" s="1">
        <f t="shared" si="3"/>
        <v>31</v>
      </c>
      <c r="C38" s="4">
        <f t="shared" si="4"/>
        <v>13176690</v>
      </c>
      <c r="D38" s="2">
        <f t="shared" si="14"/>
        <v>783627.50999999978</v>
      </c>
      <c r="E38" s="19">
        <f t="shared" si="15"/>
        <v>12393062.49</v>
      </c>
      <c r="F38" s="2">
        <f t="shared" si="16"/>
        <v>972788776.15999985</v>
      </c>
      <c r="G38" s="2">
        <f t="shared" si="17"/>
        <v>972005148.64999986</v>
      </c>
      <c r="H38" s="14">
        <f t="shared" si="18"/>
        <v>12393062.490805477</v>
      </c>
      <c r="I38" s="16">
        <f t="shared" si="19"/>
        <v>8.0547668039798737E-4</v>
      </c>
    </row>
    <row r="39" spans="1:9" x14ac:dyDescent="0.25">
      <c r="A39" s="36">
        <v>42921</v>
      </c>
      <c r="B39" s="1">
        <f t="shared" si="3"/>
        <v>30</v>
      </c>
      <c r="C39" s="4">
        <f t="shared" si="4"/>
        <v>13176690</v>
      </c>
      <c r="D39" s="2">
        <f t="shared" si="14"/>
        <v>1193064.8800000008</v>
      </c>
      <c r="E39" s="19">
        <f t="shared" si="15"/>
        <v>11983625.119999999</v>
      </c>
      <c r="F39" s="2">
        <f t="shared" si="16"/>
        <v>972005148.64999986</v>
      </c>
      <c r="G39" s="2">
        <f t="shared" si="17"/>
        <v>970812083.76999986</v>
      </c>
      <c r="H39" s="14">
        <f t="shared" si="18"/>
        <v>11983625.120342463</v>
      </c>
      <c r="I39" s="16">
        <f t="shared" si="19"/>
        <v>3.4246407449245453E-4</v>
      </c>
    </row>
    <row r="40" spans="1:9" x14ac:dyDescent="0.25">
      <c r="A40" s="36">
        <v>42952</v>
      </c>
      <c r="B40" s="1">
        <f t="shared" si="3"/>
        <v>31</v>
      </c>
      <c r="C40" s="4">
        <f t="shared" si="4"/>
        <v>13176690</v>
      </c>
      <c r="D40" s="2">
        <f t="shared" si="14"/>
        <v>808810.02999999933</v>
      </c>
      <c r="E40" s="19">
        <f t="shared" si="15"/>
        <v>12367879.970000001</v>
      </c>
      <c r="F40" s="2">
        <f t="shared" si="16"/>
        <v>970812083.76999986</v>
      </c>
      <c r="G40" s="2">
        <f t="shared" si="17"/>
        <v>970003273.73999989</v>
      </c>
      <c r="H40" s="14">
        <f t="shared" si="18"/>
        <v>12367879.971316434</v>
      </c>
      <c r="I40" s="16">
        <f t="shared" si="19"/>
        <v>1.316433772444725E-3</v>
      </c>
    </row>
    <row r="41" spans="1:9" x14ac:dyDescent="0.25">
      <c r="A41" s="36">
        <v>42983</v>
      </c>
      <c r="B41" s="1">
        <f t="shared" si="3"/>
        <v>31</v>
      </c>
      <c r="C41" s="4">
        <f t="shared" si="4"/>
        <v>13176690</v>
      </c>
      <c r="D41" s="2">
        <f t="shared" si="14"/>
        <v>819114.05000000075</v>
      </c>
      <c r="E41" s="19">
        <f t="shared" si="15"/>
        <v>12357575.949999999</v>
      </c>
      <c r="F41" s="2">
        <f t="shared" si="16"/>
        <v>970003273.73999989</v>
      </c>
      <c r="G41" s="2">
        <f t="shared" si="17"/>
        <v>969184159.68999994</v>
      </c>
      <c r="H41" s="14">
        <f t="shared" si="18"/>
        <v>12357575.953126026</v>
      </c>
      <c r="I41" s="16">
        <f t="shared" si="19"/>
        <v>3.1260270625352859E-3</v>
      </c>
    </row>
    <row r="42" spans="1:9" x14ac:dyDescent="0.25">
      <c r="A42" s="36">
        <v>43013</v>
      </c>
      <c r="B42" s="1">
        <f t="shared" si="3"/>
        <v>30</v>
      </c>
      <c r="C42" s="4">
        <f t="shared" si="4"/>
        <v>13176690</v>
      </c>
      <c r="D42" s="2">
        <f t="shared" si="14"/>
        <v>1227844.1999999993</v>
      </c>
      <c r="E42" s="19">
        <f t="shared" si="15"/>
        <v>11948845.800000001</v>
      </c>
      <c r="F42" s="2">
        <f t="shared" si="16"/>
        <v>969184159.68999994</v>
      </c>
      <c r="G42" s="2">
        <f t="shared" si="17"/>
        <v>967956315.48999989</v>
      </c>
      <c r="H42" s="14">
        <f t="shared" si="18"/>
        <v>11948845.804397259</v>
      </c>
      <c r="I42" s="16">
        <f t="shared" si="19"/>
        <v>4.3972581624984741E-3</v>
      </c>
    </row>
    <row r="43" spans="1:9" x14ac:dyDescent="0.25">
      <c r="A43" s="36">
        <v>43044</v>
      </c>
      <c r="B43" s="1">
        <f t="shared" si="3"/>
        <v>31</v>
      </c>
      <c r="C43" s="4">
        <f t="shared" si="4"/>
        <v>13176690</v>
      </c>
      <c r="D43" s="2">
        <f t="shared" si="14"/>
        <v>845191.73000000045</v>
      </c>
      <c r="E43" s="19">
        <f t="shared" si="15"/>
        <v>12331498.27</v>
      </c>
      <c r="F43" s="2">
        <f t="shared" si="16"/>
        <v>967956315.48999989</v>
      </c>
      <c r="G43" s="2">
        <f t="shared" si="17"/>
        <v>967111123.75999987</v>
      </c>
      <c r="H43" s="14">
        <f t="shared" si="18"/>
        <v>12331498.265831506</v>
      </c>
      <c r="I43" s="16">
        <f t="shared" si="19"/>
        <v>-4.1684936732053757E-3</v>
      </c>
    </row>
    <row r="44" spans="1:9" x14ac:dyDescent="0.25">
      <c r="A44" s="36">
        <v>43074</v>
      </c>
      <c r="B44" s="1">
        <f t="shared" si="3"/>
        <v>30</v>
      </c>
      <c r="C44" s="4">
        <f t="shared" si="4"/>
        <v>13176690</v>
      </c>
      <c r="D44" s="2">
        <f t="shared" si="14"/>
        <v>1253402.17</v>
      </c>
      <c r="E44" s="19">
        <f t="shared" si="15"/>
        <v>11923287.83</v>
      </c>
      <c r="F44" s="2">
        <f t="shared" si="16"/>
        <v>967111123.75999987</v>
      </c>
      <c r="G44" s="2">
        <f t="shared" si="17"/>
        <v>965857721.58999991</v>
      </c>
      <c r="H44" s="14">
        <f t="shared" si="18"/>
        <v>11923287.82717808</v>
      </c>
      <c r="I44" s="16">
        <f t="shared" si="19"/>
        <v>-2.8219204396009445E-3</v>
      </c>
    </row>
    <row r="45" spans="1:9" x14ac:dyDescent="0.25">
      <c r="A45" s="36">
        <v>43105</v>
      </c>
      <c r="B45" s="1">
        <f t="shared" si="3"/>
        <v>31</v>
      </c>
      <c r="C45" s="4">
        <f t="shared" si="4"/>
        <v>13176690</v>
      </c>
      <c r="D45" s="2">
        <f t="shared" si="14"/>
        <v>871927.25</v>
      </c>
      <c r="E45" s="19">
        <f t="shared" si="15"/>
        <v>12304762.75</v>
      </c>
      <c r="F45" s="2">
        <f t="shared" si="16"/>
        <v>965857721.58999991</v>
      </c>
      <c r="G45" s="2">
        <f t="shared" si="17"/>
        <v>964985794.33999991</v>
      </c>
      <c r="H45" s="14">
        <f t="shared" si="18"/>
        <v>12304762.754502738</v>
      </c>
      <c r="I45" s="16">
        <f t="shared" si="19"/>
        <v>4.502737894654274E-3</v>
      </c>
    </row>
    <row r="46" spans="1:9" x14ac:dyDescent="0.25">
      <c r="A46" s="36">
        <v>43136</v>
      </c>
      <c r="B46" s="1">
        <f t="shared" si="3"/>
        <v>31</v>
      </c>
      <c r="C46" s="4">
        <f t="shared" si="4"/>
        <v>13176690</v>
      </c>
      <c r="D46" s="2">
        <f t="shared" si="14"/>
        <v>883035.3599999994</v>
      </c>
      <c r="E46" s="19">
        <f t="shared" si="15"/>
        <v>12293654.640000001</v>
      </c>
      <c r="F46" s="2">
        <f t="shared" si="16"/>
        <v>964985794.33999991</v>
      </c>
      <c r="G46" s="2">
        <f t="shared" si="17"/>
        <v>964102758.9799999</v>
      </c>
      <c r="H46" s="14">
        <f t="shared" si="18"/>
        <v>12293654.640221918</v>
      </c>
      <c r="I46" s="16">
        <f t="shared" si="19"/>
        <v>2.2191740572452545E-4</v>
      </c>
    </row>
    <row r="47" spans="1:9" x14ac:dyDescent="0.25">
      <c r="A47" s="36">
        <v>43164</v>
      </c>
      <c r="B47" s="1">
        <f t="shared" si="3"/>
        <v>28</v>
      </c>
      <c r="C47" s="4">
        <f t="shared" si="4"/>
        <v>13176690</v>
      </c>
      <c r="D47" s="2">
        <f t="shared" si="14"/>
        <v>2082904.83</v>
      </c>
      <c r="E47" s="19">
        <f t="shared" si="15"/>
        <v>11093785.17</v>
      </c>
      <c r="F47" s="2">
        <f t="shared" si="16"/>
        <v>964102758.9799999</v>
      </c>
      <c r="G47" s="2">
        <f t="shared" si="17"/>
        <v>962019854.14999986</v>
      </c>
      <c r="H47" s="14">
        <f t="shared" si="18"/>
        <v>11093785.171824655</v>
      </c>
      <c r="I47" s="16">
        <f t="shared" si="19"/>
        <v>1.8246546387672424E-3</v>
      </c>
    </row>
    <row r="48" spans="1:9" x14ac:dyDescent="0.25">
      <c r="A48" s="36">
        <v>43195</v>
      </c>
      <c r="B48" s="1">
        <f t="shared" si="3"/>
        <v>31</v>
      </c>
      <c r="C48" s="4">
        <f t="shared" si="4"/>
        <v>13176690</v>
      </c>
      <c r="D48" s="2">
        <f t="shared" si="14"/>
        <v>920820.63000000082</v>
      </c>
      <c r="E48" s="19">
        <f t="shared" si="15"/>
        <v>12255869.369999999</v>
      </c>
      <c r="F48" s="2">
        <f t="shared" si="16"/>
        <v>962019854.14999986</v>
      </c>
      <c r="G48" s="2">
        <f t="shared" si="17"/>
        <v>961099033.51999986</v>
      </c>
      <c r="H48" s="14">
        <f t="shared" si="18"/>
        <v>12255869.374787668</v>
      </c>
      <c r="I48" s="16">
        <f t="shared" si="19"/>
        <v>4.7876685857772827E-3</v>
      </c>
    </row>
    <row r="49" spans="1:9" x14ac:dyDescent="0.25">
      <c r="A49" s="36">
        <v>43225</v>
      </c>
      <c r="B49" s="1">
        <f t="shared" si="3"/>
        <v>30</v>
      </c>
      <c r="C49" s="4">
        <f t="shared" si="4"/>
        <v>13176690</v>
      </c>
      <c r="D49" s="2">
        <f t="shared" si="14"/>
        <v>1327523.83</v>
      </c>
      <c r="E49" s="19">
        <f t="shared" si="15"/>
        <v>11849166.17</v>
      </c>
      <c r="F49" s="2">
        <f t="shared" si="16"/>
        <v>961099033.51999986</v>
      </c>
      <c r="G49" s="2">
        <f t="shared" si="17"/>
        <v>959771509.68999982</v>
      </c>
      <c r="H49" s="14">
        <f t="shared" si="18"/>
        <v>11849166.166684929</v>
      </c>
      <c r="I49" s="16">
        <f t="shared" si="19"/>
        <v>-3.3150706440210342E-3</v>
      </c>
    </row>
    <row r="50" spans="1:9" x14ac:dyDescent="0.25">
      <c r="A50" s="36">
        <v>43256</v>
      </c>
      <c r="B50" s="1">
        <f t="shared" si="3"/>
        <v>31</v>
      </c>
      <c r="C50" s="4">
        <f t="shared" si="4"/>
        <v>13176690</v>
      </c>
      <c r="D50" s="2">
        <f t="shared" si="14"/>
        <v>949463.91999999993</v>
      </c>
      <c r="E50" s="19">
        <f t="shared" si="15"/>
        <v>12227226.08</v>
      </c>
      <c r="F50" s="2">
        <f t="shared" si="16"/>
        <v>959771509.68999982</v>
      </c>
      <c r="G50" s="2">
        <f t="shared" si="17"/>
        <v>958822045.76999986</v>
      </c>
      <c r="H50" s="14">
        <f t="shared" si="18"/>
        <v>12227226.082352053</v>
      </c>
      <c r="I50" s="16">
        <f t="shared" si="19"/>
        <v>2.3520532995462418E-3</v>
      </c>
    </row>
    <row r="51" spans="1:9" x14ac:dyDescent="0.25">
      <c r="A51" s="36">
        <v>43286</v>
      </c>
      <c r="B51" s="1">
        <f t="shared" si="3"/>
        <v>30</v>
      </c>
      <c r="C51" s="4">
        <f t="shared" si="4"/>
        <v>13176690</v>
      </c>
      <c r="D51" s="2">
        <f t="shared" si="14"/>
        <v>1355596.2899999991</v>
      </c>
      <c r="E51" s="19">
        <f t="shared" si="15"/>
        <v>11821093.710000001</v>
      </c>
      <c r="F51" s="2">
        <f t="shared" si="16"/>
        <v>958822045.76999986</v>
      </c>
      <c r="G51" s="2">
        <f t="shared" si="17"/>
        <v>957466449.4799999</v>
      </c>
      <c r="H51" s="14">
        <f t="shared" si="18"/>
        <v>11821093.7149726</v>
      </c>
      <c r="I51" s="16">
        <f t="shared" si="19"/>
        <v>4.9725994467735291E-3</v>
      </c>
    </row>
    <row r="52" spans="1:9" x14ac:dyDescent="0.25">
      <c r="A52" s="36">
        <v>43317</v>
      </c>
      <c r="B52" s="1">
        <f t="shared" si="3"/>
        <v>31</v>
      </c>
      <c r="C52" s="4">
        <f t="shared" si="4"/>
        <v>13176690</v>
      </c>
      <c r="D52" s="2">
        <f t="shared" si="14"/>
        <v>978829.75</v>
      </c>
      <c r="E52" s="19">
        <f t="shared" si="15"/>
        <v>12197860.25</v>
      </c>
      <c r="F52" s="2">
        <f t="shared" si="16"/>
        <v>957466449.4799999</v>
      </c>
      <c r="G52" s="2">
        <f t="shared" si="17"/>
        <v>956487619.7299999</v>
      </c>
      <c r="H52" s="14">
        <f t="shared" si="18"/>
        <v>12197860.2468</v>
      </c>
      <c r="I52" s="16">
        <f t="shared" si="19"/>
        <v>-3.2000001519918442E-3</v>
      </c>
    </row>
    <row r="53" spans="1:9" x14ac:dyDescent="0.25">
      <c r="A53" s="36">
        <v>43348</v>
      </c>
      <c r="B53" s="1">
        <f t="shared" si="3"/>
        <v>31</v>
      </c>
      <c r="C53" s="4">
        <f t="shared" si="4"/>
        <v>13176690</v>
      </c>
      <c r="D53" s="2">
        <f t="shared" si="14"/>
        <v>991299.77999999933</v>
      </c>
      <c r="E53" s="19">
        <f t="shared" si="15"/>
        <v>12185390.220000001</v>
      </c>
      <c r="F53" s="2">
        <f t="shared" si="16"/>
        <v>956487619.7299999</v>
      </c>
      <c r="G53" s="2">
        <f t="shared" si="17"/>
        <v>955496319.94999993</v>
      </c>
      <c r="H53" s="14">
        <f t="shared" si="18"/>
        <v>12185390.223957531</v>
      </c>
      <c r="I53" s="16">
        <f t="shared" si="19"/>
        <v>3.9575304836034775E-3</v>
      </c>
    </row>
    <row r="54" spans="1:9" x14ac:dyDescent="0.25">
      <c r="A54" s="36">
        <v>43378</v>
      </c>
      <c r="B54" s="1">
        <f t="shared" si="3"/>
        <v>30</v>
      </c>
      <c r="C54" s="4">
        <f t="shared" si="4"/>
        <v>13176690</v>
      </c>
      <c r="D54" s="2">
        <f t="shared" si="14"/>
        <v>1396598.3800000008</v>
      </c>
      <c r="E54" s="19">
        <f t="shared" si="15"/>
        <v>11780091.619999999</v>
      </c>
      <c r="F54" s="2">
        <f t="shared" si="16"/>
        <v>955496319.94999993</v>
      </c>
      <c r="G54" s="2">
        <f t="shared" si="17"/>
        <v>954099721.56999993</v>
      </c>
      <c r="H54" s="14">
        <f t="shared" si="18"/>
        <v>11780091.615821917</v>
      </c>
      <c r="I54" s="16">
        <f t="shared" si="19"/>
        <v>-4.1780825704336166E-3</v>
      </c>
    </row>
    <row r="55" spans="1:9" x14ac:dyDescent="0.25">
      <c r="A55" s="36">
        <v>43409</v>
      </c>
      <c r="B55" s="1">
        <f t="shared" si="3"/>
        <v>31</v>
      </c>
      <c r="C55" s="4">
        <f t="shared" si="4"/>
        <v>13176690</v>
      </c>
      <c r="D55" s="2">
        <f t="shared" si="14"/>
        <v>1021720.9399999995</v>
      </c>
      <c r="E55" s="19">
        <f t="shared" si="15"/>
        <v>12154969.060000001</v>
      </c>
      <c r="F55" s="2">
        <f t="shared" si="16"/>
        <v>954099721.56999993</v>
      </c>
      <c r="G55" s="2">
        <f t="shared" si="17"/>
        <v>953078000.62999988</v>
      </c>
      <c r="H55" s="14">
        <f t="shared" si="18"/>
        <v>12154969.055617806</v>
      </c>
      <c r="I55" s="16">
        <f t="shared" si="19"/>
        <v>-4.3821949511766434E-3</v>
      </c>
    </row>
    <row r="56" spans="1:9" x14ac:dyDescent="0.25">
      <c r="A56" s="36">
        <v>43439</v>
      </c>
      <c r="B56" s="1">
        <f t="shared" si="3"/>
        <v>30</v>
      </c>
      <c r="C56" s="4">
        <f t="shared" si="4"/>
        <v>13176690</v>
      </c>
      <c r="D56" s="2">
        <f t="shared" si="14"/>
        <v>1426413.2799999993</v>
      </c>
      <c r="E56" s="19">
        <f t="shared" si="15"/>
        <v>11750276.720000001</v>
      </c>
      <c r="F56" s="2">
        <f t="shared" si="16"/>
        <v>953078000.62999988</v>
      </c>
      <c r="G56" s="2">
        <f t="shared" si="17"/>
        <v>951651587.3499999</v>
      </c>
      <c r="H56" s="14">
        <f t="shared" si="18"/>
        <v>11750276.720095888</v>
      </c>
      <c r="I56" s="16">
        <f t="shared" si="19"/>
        <v>9.5887109637260437E-5</v>
      </c>
    </row>
    <row r="57" spans="1:9" x14ac:dyDescent="0.25">
      <c r="A57" s="36">
        <v>43470</v>
      </c>
      <c r="B57" s="1">
        <f t="shared" si="3"/>
        <v>31</v>
      </c>
      <c r="C57" s="4">
        <f t="shared" si="4"/>
        <v>13176690</v>
      </c>
      <c r="D57" s="2">
        <f t="shared" si="14"/>
        <v>1052909.5</v>
      </c>
      <c r="E57" s="19">
        <f t="shared" si="15"/>
        <v>12123780.5</v>
      </c>
      <c r="F57" s="2">
        <f t="shared" si="16"/>
        <v>951651587.3499999</v>
      </c>
      <c r="G57" s="2">
        <f t="shared" si="17"/>
        <v>950598677.8499999</v>
      </c>
      <c r="H57" s="14">
        <f t="shared" si="18"/>
        <v>12123780.496376712</v>
      </c>
      <c r="I57" s="16">
        <f t="shared" si="19"/>
        <v>-3.6232881247997284E-3</v>
      </c>
    </row>
    <row r="58" spans="1:9" x14ac:dyDescent="0.25">
      <c r="A58" s="36">
        <v>43501</v>
      </c>
      <c r="B58" s="1">
        <f t="shared" si="3"/>
        <v>31</v>
      </c>
      <c r="C58" s="4">
        <f t="shared" si="4"/>
        <v>13176690</v>
      </c>
      <c r="D58" s="2">
        <f t="shared" si="14"/>
        <v>1066323.2799999993</v>
      </c>
      <c r="E58" s="19">
        <f t="shared" si="15"/>
        <v>12110366.720000001</v>
      </c>
      <c r="F58" s="2">
        <f t="shared" si="16"/>
        <v>950598677.8499999</v>
      </c>
      <c r="G58" s="2">
        <f t="shared" si="17"/>
        <v>949532354.56999993</v>
      </c>
      <c r="H58" s="14">
        <f t="shared" si="18"/>
        <v>12110366.717815068</v>
      </c>
      <c r="I58" s="16">
        <f t="shared" si="19"/>
        <v>-2.1849330514669418E-3</v>
      </c>
    </row>
    <row r="59" spans="1:9" x14ac:dyDescent="0.25">
      <c r="A59" s="36">
        <v>43529</v>
      </c>
      <c r="B59" s="1">
        <f t="shared" si="3"/>
        <v>28</v>
      </c>
      <c r="C59" s="4">
        <f t="shared" si="4"/>
        <v>13176690</v>
      </c>
      <c r="D59" s="2">
        <f t="shared" si="14"/>
        <v>2250564.2799999993</v>
      </c>
      <c r="E59" s="19">
        <f t="shared" si="15"/>
        <v>10926125.720000001</v>
      </c>
      <c r="F59" s="2">
        <f t="shared" si="16"/>
        <v>949532354.56999993</v>
      </c>
      <c r="G59" s="2">
        <f t="shared" si="17"/>
        <v>947281790.28999996</v>
      </c>
      <c r="H59" s="14">
        <f t="shared" si="18"/>
        <v>10926125.723819178</v>
      </c>
      <c r="I59" s="16">
        <f t="shared" si="19"/>
        <v>3.8191769272089005E-3</v>
      </c>
    </row>
    <row r="60" spans="1:9" x14ac:dyDescent="0.25">
      <c r="A60" s="36">
        <v>43560</v>
      </c>
      <c r="B60" s="1">
        <f t="shared" si="3"/>
        <v>31</v>
      </c>
      <c r="C60" s="4">
        <f t="shared" si="4"/>
        <v>13176690</v>
      </c>
      <c r="D60" s="2">
        <f t="shared" si="14"/>
        <v>1108579.5199999996</v>
      </c>
      <c r="E60" s="19">
        <f t="shared" si="15"/>
        <v>12068110.48</v>
      </c>
      <c r="F60" s="2">
        <f t="shared" si="16"/>
        <v>947281790.28999996</v>
      </c>
      <c r="G60" s="2">
        <f t="shared" si="17"/>
        <v>946173210.76999998</v>
      </c>
      <c r="H60" s="14">
        <f t="shared" si="18"/>
        <v>12068110.479036985</v>
      </c>
      <c r="I60" s="16">
        <f t="shared" si="19"/>
        <v>-9.6301548182964325E-4</v>
      </c>
    </row>
    <row r="61" spans="1:9" x14ac:dyDescent="0.25">
      <c r="A61" s="36">
        <v>43590</v>
      </c>
      <c r="B61" s="1">
        <f t="shared" si="3"/>
        <v>30</v>
      </c>
      <c r="C61" s="4">
        <f t="shared" si="4"/>
        <v>13176690</v>
      </c>
      <c r="D61" s="2">
        <f t="shared" si="14"/>
        <v>1511540.83</v>
      </c>
      <c r="E61" s="19">
        <f t="shared" si="15"/>
        <v>11665149.17</v>
      </c>
      <c r="F61" s="2">
        <f t="shared" si="16"/>
        <v>946173210.76999998</v>
      </c>
      <c r="G61" s="2">
        <f t="shared" si="17"/>
        <v>944661669.93999994</v>
      </c>
      <c r="H61" s="14">
        <f t="shared" si="18"/>
        <v>11665149.173876712</v>
      </c>
      <c r="I61" s="16">
        <f t="shared" si="19"/>
        <v>3.8767121732234955E-3</v>
      </c>
    </row>
    <row r="62" spans="1:9" x14ac:dyDescent="0.25">
      <c r="A62" s="36">
        <v>43621</v>
      </c>
      <c r="B62" s="1">
        <f t="shared" si="3"/>
        <v>31</v>
      </c>
      <c r="C62" s="4">
        <f t="shared" si="4"/>
        <v>13176690</v>
      </c>
      <c r="D62" s="2">
        <f t="shared" si="14"/>
        <v>1141959.1400000006</v>
      </c>
      <c r="E62" s="19">
        <f t="shared" si="15"/>
        <v>12034730.859999999</v>
      </c>
      <c r="F62" s="2">
        <f t="shared" si="16"/>
        <v>944661669.93999994</v>
      </c>
      <c r="G62" s="2">
        <f t="shared" si="17"/>
        <v>943519710.79999995</v>
      </c>
      <c r="H62" s="14">
        <f t="shared" si="18"/>
        <v>12034730.863619177</v>
      </c>
      <c r="I62" s="16">
        <f t="shared" si="19"/>
        <v>3.6191772669553757E-3</v>
      </c>
    </row>
    <row r="63" spans="1:9" x14ac:dyDescent="0.25">
      <c r="A63" s="36">
        <v>43651</v>
      </c>
      <c r="B63" s="1">
        <f t="shared" si="3"/>
        <v>30</v>
      </c>
      <c r="C63" s="4">
        <f t="shared" si="4"/>
        <v>13176690</v>
      </c>
      <c r="D63" s="2">
        <f t="shared" si="14"/>
        <v>1544255.2100000009</v>
      </c>
      <c r="E63" s="19">
        <f t="shared" si="15"/>
        <v>11632434.789999999</v>
      </c>
      <c r="F63" s="2">
        <f t="shared" si="16"/>
        <v>943519710.79999995</v>
      </c>
      <c r="G63" s="2">
        <f t="shared" si="17"/>
        <v>941975455.58999991</v>
      </c>
      <c r="H63" s="14">
        <f t="shared" si="18"/>
        <v>11632434.790684929</v>
      </c>
      <c r="I63" s="16">
        <f t="shared" si="19"/>
        <v>6.8493001163005829E-4</v>
      </c>
    </row>
    <row r="64" spans="1:9" x14ac:dyDescent="0.25">
      <c r="A64" s="36">
        <v>43682</v>
      </c>
      <c r="B64" s="1">
        <f t="shared" si="3"/>
        <v>31</v>
      </c>
      <c r="C64" s="4">
        <f t="shared" si="4"/>
        <v>13176690</v>
      </c>
      <c r="D64" s="2">
        <f t="shared" si="14"/>
        <v>1176180.7699999996</v>
      </c>
      <c r="E64" s="19">
        <f t="shared" si="15"/>
        <v>12000509.23</v>
      </c>
      <c r="F64" s="2">
        <f t="shared" si="16"/>
        <v>941975455.58999991</v>
      </c>
      <c r="G64" s="2">
        <f t="shared" si="17"/>
        <v>940799274.81999993</v>
      </c>
      <c r="H64" s="14">
        <f t="shared" si="18"/>
        <v>12000509.228749314</v>
      </c>
      <c r="I64" s="16">
        <f t="shared" si="19"/>
        <v>-1.2506861239671707E-3</v>
      </c>
    </row>
    <row r="65" spans="1:9" x14ac:dyDescent="0.25">
      <c r="A65" s="36">
        <v>43713</v>
      </c>
      <c r="B65" s="1">
        <f t="shared" si="3"/>
        <v>31</v>
      </c>
      <c r="C65" s="4">
        <f t="shared" si="4"/>
        <v>13176690</v>
      </c>
      <c r="D65" s="2">
        <f t="shared" si="14"/>
        <v>1191164.9900000002</v>
      </c>
      <c r="E65" s="19">
        <f t="shared" si="15"/>
        <v>11985525.01</v>
      </c>
      <c r="F65" s="2">
        <f t="shared" si="16"/>
        <v>940799274.81999993</v>
      </c>
      <c r="G65" s="2">
        <f t="shared" si="17"/>
        <v>939608109.82999992</v>
      </c>
      <c r="H65" s="14">
        <f t="shared" si="18"/>
        <v>11985525.007980822</v>
      </c>
      <c r="I65" s="16">
        <f t="shared" si="19"/>
        <v>-2.0191781222820282E-3</v>
      </c>
    </row>
    <row r="66" spans="1:9" x14ac:dyDescent="0.25">
      <c r="A66" s="36">
        <v>43743</v>
      </c>
      <c r="B66" s="1">
        <f t="shared" si="3"/>
        <v>30</v>
      </c>
      <c r="C66" s="4">
        <f t="shared" si="4"/>
        <v>13176690</v>
      </c>
      <c r="D66" s="2">
        <f t="shared" si="14"/>
        <v>1592480.4299999997</v>
      </c>
      <c r="E66" s="19">
        <f t="shared" si="15"/>
        <v>11584209.57</v>
      </c>
      <c r="F66" s="2">
        <f t="shared" si="16"/>
        <v>939608109.82999992</v>
      </c>
      <c r="G66" s="2">
        <f t="shared" si="17"/>
        <v>938015629.39999998</v>
      </c>
      <c r="H66" s="14">
        <f t="shared" si="18"/>
        <v>11584209.573246572</v>
      </c>
      <c r="I66" s="16">
        <f t="shared" si="19"/>
        <v>3.2465718686580658E-3</v>
      </c>
    </row>
    <row r="67" spans="1:9" x14ac:dyDescent="0.25">
      <c r="A67" s="36">
        <v>43774</v>
      </c>
      <c r="B67" s="1">
        <f t="shared" si="3"/>
        <v>31</v>
      </c>
      <c r="C67" s="4">
        <f t="shared" si="4"/>
        <v>13176690</v>
      </c>
      <c r="D67" s="2">
        <f t="shared" si="14"/>
        <v>1226627.8699999992</v>
      </c>
      <c r="E67" s="19">
        <f t="shared" si="15"/>
        <v>11950062.130000001</v>
      </c>
      <c r="F67" s="2">
        <f t="shared" si="16"/>
        <v>938015629.39999998</v>
      </c>
      <c r="G67" s="2">
        <f t="shared" si="17"/>
        <v>936789001.52999997</v>
      </c>
      <c r="H67" s="14">
        <f t="shared" si="18"/>
        <v>11950062.127972603</v>
      </c>
      <c r="I67" s="16">
        <f t="shared" si="19"/>
        <v>-2.0273979753255844E-3</v>
      </c>
    </row>
    <row r="68" spans="1:9" x14ac:dyDescent="0.25">
      <c r="A68" s="36">
        <v>43804</v>
      </c>
      <c r="B68" s="1">
        <f t="shared" si="3"/>
        <v>30</v>
      </c>
      <c r="C68" s="4">
        <f t="shared" si="4"/>
        <v>13176690</v>
      </c>
      <c r="D68" s="2">
        <f t="shared" si="14"/>
        <v>1627236.5600000005</v>
      </c>
      <c r="E68" s="19">
        <f t="shared" si="15"/>
        <v>11549453.439999999</v>
      </c>
      <c r="F68" s="2">
        <f t="shared" si="16"/>
        <v>936789001.52999997</v>
      </c>
      <c r="G68" s="2">
        <f t="shared" si="17"/>
        <v>935161764.97000003</v>
      </c>
      <c r="H68" s="14">
        <f t="shared" si="18"/>
        <v>11549453.443520548</v>
      </c>
      <c r="I68" s="16">
        <f t="shared" si="19"/>
        <v>3.5205483436584473E-3</v>
      </c>
    </row>
    <row r="69" spans="1:9" x14ac:dyDescent="0.25">
      <c r="A69" s="36">
        <v>43835</v>
      </c>
      <c r="B69" s="1">
        <f t="shared" si="3"/>
        <v>31</v>
      </c>
      <c r="C69" s="4">
        <f t="shared" si="4"/>
        <v>13176690</v>
      </c>
      <c r="D69" s="2">
        <f t="shared" si="14"/>
        <v>1262985.3200000003</v>
      </c>
      <c r="E69" s="19">
        <f t="shared" si="15"/>
        <v>11913704.68</v>
      </c>
      <c r="F69" s="2">
        <f t="shared" si="16"/>
        <v>935161764.97000003</v>
      </c>
      <c r="G69" s="2">
        <f t="shared" si="17"/>
        <v>933898779.64999998</v>
      </c>
      <c r="H69" s="14">
        <f t="shared" si="18"/>
        <v>11913704.67701507</v>
      </c>
      <c r="I69" s="16">
        <f t="shared" si="19"/>
        <v>-2.9849298298358917E-3</v>
      </c>
    </row>
    <row r="70" spans="1:9" x14ac:dyDescent="0.25">
      <c r="A70" s="36">
        <v>43866</v>
      </c>
      <c r="B70" s="1">
        <f t="shared" si="3"/>
        <v>31</v>
      </c>
      <c r="C70" s="4">
        <f t="shared" si="4"/>
        <v>13176690</v>
      </c>
      <c r="D70" s="2">
        <f t="shared" si="14"/>
        <v>1279075.4100000001</v>
      </c>
      <c r="E70" s="19">
        <f t="shared" si="15"/>
        <v>11897614.59</v>
      </c>
      <c r="F70" s="2">
        <f t="shared" si="16"/>
        <v>933898779.64999998</v>
      </c>
      <c r="G70" s="2">
        <f t="shared" si="17"/>
        <v>932619704.24000001</v>
      </c>
      <c r="H70" s="14">
        <f t="shared" si="18"/>
        <v>11897614.590061642</v>
      </c>
      <c r="I70" s="16">
        <f t="shared" si="19"/>
        <v>6.1642378568649292E-5</v>
      </c>
    </row>
    <row r="71" spans="1:9" x14ac:dyDescent="0.25">
      <c r="A71" s="36">
        <v>43895</v>
      </c>
      <c r="B71" s="1">
        <f t="shared" ref="B71:B134" si="20">_xlfn.DAYS(A71,A70)</f>
        <v>29</v>
      </c>
      <c r="C71" s="4">
        <f t="shared" ref="C71:C134" si="21">$D$1</f>
        <v>13176690</v>
      </c>
      <c r="D71" s="2">
        <f t="shared" si="14"/>
        <v>2061907.2200000007</v>
      </c>
      <c r="E71" s="19">
        <f t="shared" si="15"/>
        <v>11114782.779999999</v>
      </c>
      <c r="F71" s="2">
        <f t="shared" si="16"/>
        <v>932619704.24000001</v>
      </c>
      <c r="G71" s="2">
        <f t="shared" si="17"/>
        <v>930557797.01999998</v>
      </c>
      <c r="H71" s="14">
        <f t="shared" si="18"/>
        <v>11114782.776558904</v>
      </c>
      <c r="I71" s="16">
        <f t="shared" si="19"/>
        <v>-3.4410953521728516E-3</v>
      </c>
    </row>
    <row r="72" spans="1:9" x14ac:dyDescent="0.25">
      <c r="A72" s="36">
        <v>43926</v>
      </c>
      <c r="B72" s="1">
        <f t="shared" si="20"/>
        <v>31</v>
      </c>
      <c r="C72" s="4">
        <f t="shared" si="21"/>
        <v>13176690</v>
      </c>
      <c r="D72" s="2">
        <f t="shared" si="14"/>
        <v>1321638.6099999994</v>
      </c>
      <c r="E72" s="19">
        <f t="shared" si="15"/>
        <v>11855051.390000001</v>
      </c>
      <c r="F72" s="2">
        <f t="shared" si="16"/>
        <v>930557797.01999998</v>
      </c>
      <c r="G72" s="2">
        <f t="shared" si="17"/>
        <v>929236158.40999997</v>
      </c>
      <c r="H72" s="14">
        <f t="shared" si="18"/>
        <v>11855051.38669315</v>
      </c>
      <c r="I72" s="16">
        <f t="shared" si="19"/>
        <v>-3.306850790977478E-3</v>
      </c>
    </row>
    <row r="73" spans="1:9" x14ac:dyDescent="0.25">
      <c r="A73" s="36">
        <v>43956</v>
      </c>
      <c r="B73" s="1">
        <f t="shared" si="20"/>
        <v>30</v>
      </c>
      <c r="C73" s="4">
        <f t="shared" si="21"/>
        <v>13176690</v>
      </c>
      <c r="D73" s="2">
        <f t="shared" si="14"/>
        <v>1720353.8000000007</v>
      </c>
      <c r="E73" s="19">
        <f t="shared" si="15"/>
        <v>11456336.199999999</v>
      </c>
      <c r="F73" s="2">
        <f t="shared" si="16"/>
        <v>929236158.40999997</v>
      </c>
      <c r="G73" s="2">
        <f t="shared" si="17"/>
        <v>927515804.61000001</v>
      </c>
      <c r="H73" s="14">
        <f t="shared" si="18"/>
        <v>11456336.199575344</v>
      </c>
      <c r="I73" s="16">
        <f t="shared" si="19"/>
        <v>-4.2465515434741974E-4</v>
      </c>
    </row>
    <row r="74" spans="1:9" x14ac:dyDescent="0.25">
      <c r="A74" s="36">
        <v>43987</v>
      </c>
      <c r="B74" s="1">
        <f t="shared" si="20"/>
        <v>31</v>
      </c>
      <c r="C74" s="4">
        <f t="shared" si="21"/>
        <v>13176690</v>
      </c>
      <c r="D74" s="2">
        <f t="shared" si="14"/>
        <v>1360392.7599999998</v>
      </c>
      <c r="E74" s="19">
        <f t="shared" si="15"/>
        <v>11816297.24</v>
      </c>
      <c r="F74" s="2">
        <f t="shared" si="16"/>
        <v>927515804.61000001</v>
      </c>
      <c r="G74" s="2">
        <f t="shared" si="17"/>
        <v>926155411.85000002</v>
      </c>
      <c r="H74" s="14">
        <f t="shared" si="18"/>
        <v>11816297.236812331</v>
      </c>
      <c r="I74" s="16">
        <f t="shared" si="19"/>
        <v>-3.1876694411039352E-3</v>
      </c>
    </row>
    <row r="75" spans="1:9" x14ac:dyDescent="0.25">
      <c r="A75" s="36">
        <v>44017</v>
      </c>
      <c r="B75" s="1">
        <f t="shared" si="20"/>
        <v>30</v>
      </c>
      <c r="C75" s="4">
        <f t="shared" si="21"/>
        <v>13176690</v>
      </c>
      <c r="D75" s="2">
        <f t="shared" ref="D75:D138" si="22">C75-E75</f>
        <v>1758335.6099999994</v>
      </c>
      <c r="E75" s="19">
        <f t="shared" ref="E75:E138" si="23">ROUND(F75*$B$2*B75/365,2)</f>
        <v>11418354.390000001</v>
      </c>
      <c r="F75" s="2">
        <f t="shared" ref="F75:F138" si="24">G74</f>
        <v>926155411.85000002</v>
      </c>
      <c r="G75" s="2">
        <f t="shared" ref="G75:G138" si="25">F75-D75</f>
        <v>924397076.24000001</v>
      </c>
      <c r="H75" s="14">
        <f t="shared" ref="H75:H138" si="26">F75*$B$2*B75/365</f>
        <v>11418354.392671233</v>
      </c>
      <c r="I75" s="16">
        <f t="shared" ref="I75:I138" si="27">H75-E75</f>
        <v>2.6712324470281601E-3</v>
      </c>
    </row>
    <row r="76" spans="1:9" x14ac:dyDescent="0.25">
      <c r="A76" s="36">
        <v>44048</v>
      </c>
      <c r="B76" s="1">
        <f t="shared" si="20"/>
        <v>31</v>
      </c>
      <c r="C76" s="4">
        <f t="shared" si="21"/>
        <v>13176690</v>
      </c>
      <c r="D76" s="2">
        <f t="shared" si="22"/>
        <v>1400124.5099999998</v>
      </c>
      <c r="E76" s="19">
        <f t="shared" si="23"/>
        <v>11776565.49</v>
      </c>
      <c r="F76" s="2">
        <f t="shared" si="24"/>
        <v>924397076.24000001</v>
      </c>
      <c r="G76" s="2">
        <f t="shared" si="25"/>
        <v>922996951.73000002</v>
      </c>
      <c r="H76" s="14">
        <f t="shared" si="26"/>
        <v>11776565.491824657</v>
      </c>
      <c r="I76" s="16">
        <f t="shared" si="27"/>
        <v>1.8246565014123917E-3</v>
      </c>
    </row>
    <row r="77" spans="1:9" x14ac:dyDescent="0.25">
      <c r="A77" s="36">
        <v>44079</v>
      </c>
      <c r="B77" s="1">
        <f t="shared" si="20"/>
        <v>31</v>
      </c>
      <c r="C77" s="4">
        <f t="shared" si="21"/>
        <v>13176690</v>
      </c>
      <c r="D77" s="2">
        <f t="shared" si="22"/>
        <v>1417961.7100000009</v>
      </c>
      <c r="E77" s="19">
        <f t="shared" si="23"/>
        <v>11758728.289999999</v>
      </c>
      <c r="F77" s="2">
        <f t="shared" si="24"/>
        <v>922996951.73000002</v>
      </c>
      <c r="G77" s="2">
        <f t="shared" si="25"/>
        <v>921578990.01999998</v>
      </c>
      <c r="H77" s="14">
        <f t="shared" si="26"/>
        <v>11758728.289163014</v>
      </c>
      <c r="I77" s="16">
        <f t="shared" si="27"/>
        <v>-8.3698518574237823E-4</v>
      </c>
    </row>
    <row r="78" spans="1:9" x14ac:dyDescent="0.25">
      <c r="A78" s="36">
        <v>44109</v>
      </c>
      <c r="B78" s="1">
        <f t="shared" si="20"/>
        <v>30</v>
      </c>
      <c r="C78" s="4">
        <f t="shared" si="21"/>
        <v>13176690</v>
      </c>
      <c r="D78" s="2">
        <f t="shared" si="22"/>
        <v>1814757.25</v>
      </c>
      <c r="E78" s="19">
        <f t="shared" si="23"/>
        <v>11361932.75</v>
      </c>
      <c r="F78" s="2">
        <f t="shared" si="24"/>
        <v>921578990.01999998</v>
      </c>
      <c r="G78" s="2">
        <f t="shared" si="25"/>
        <v>919764232.76999998</v>
      </c>
      <c r="H78" s="14">
        <f t="shared" si="26"/>
        <v>11361932.753671233</v>
      </c>
      <c r="I78" s="16">
        <f t="shared" si="27"/>
        <v>3.6712326109409332E-3</v>
      </c>
    </row>
    <row r="79" spans="1:9" x14ac:dyDescent="0.25">
      <c r="A79" s="36">
        <v>44140</v>
      </c>
      <c r="B79" s="1">
        <f t="shared" si="20"/>
        <v>31</v>
      </c>
      <c r="C79" s="4">
        <f t="shared" si="21"/>
        <v>13176690</v>
      </c>
      <c r="D79" s="2">
        <f t="shared" si="22"/>
        <v>1459145.6600000001</v>
      </c>
      <c r="E79" s="19">
        <f t="shared" si="23"/>
        <v>11717544.34</v>
      </c>
      <c r="F79" s="2">
        <f t="shared" si="24"/>
        <v>919764232.76999998</v>
      </c>
      <c r="G79" s="2">
        <f t="shared" si="25"/>
        <v>918305087.11000001</v>
      </c>
      <c r="H79" s="14">
        <f t="shared" si="26"/>
        <v>11717544.335289039</v>
      </c>
      <c r="I79" s="16">
        <f t="shared" si="27"/>
        <v>-4.7109611332416534E-3</v>
      </c>
    </row>
    <row r="80" spans="1:9" x14ac:dyDescent="0.25">
      <c r="A80" s="36">
        <v>44170</v>
      </c>
      <c r="B80" s="1">
        <f t="shared" si="20"/>
        <v>30</v>
      </c>
      <c r="C80" s="4">
        <f t="shared" si="21"/>
        <v>13176690</v>
      </c>
      <c r="D80" s="2">
        <f t="shared" si="22"/>
        <v>1855120.4299999997</v>
      </c>
      <c r="E80" s="19">
        <f t="shared" si="23"/>
        <v>11321569.57</v>
      </c>
      <c r="F80" s="2">
        <f t="shared" si="24"/>
        <v>918305087.11000001</v>
      </c>
      <c r="G80" s="2">
        <f t="shared" si="25"/>
        <v>916449966.68000007</v>
      </c>
      <c r="H80" s="14">
        <f t="shared" si="26"/>
        <v>11321569.56710959</v>
      </c>
      <c r="I80" s="16">
        <f t="shared" si="27"/>
        <v>-2.8904099017381668E-3</v>
      </c>
    </row>
    <row r="81" spans="1:9" x14ac:dyDescent="0.25">
      <c r="A81" s="36">
        <v>44201</v>
      </c>
      <c r="B81" s="1">
        <f t="shared" si="20"/>
        <v>31</v>
      </c>
      <c r="C81" s="4">
        <f t="shared" si="21"/>
        <v>13176690</v>
      </c>
      <c r="D81" s="2">
        <f t="shared" si="22"/>
        <v>1501368.5099999998</v>
      </c>
      <c r="E81" s="19">
        <f t="shared" si="23"/>
        <v>11675321.49</v>
      </c>
      <c r="F81" s="2">
        <f t="shared" si="24"/>
        <v>916449966.68000007</v>
      </c>
      <c r="G81" s="2">
        <f t="shared" si="25"/>
        <v>914948598.17000008</v>
      </c>
      <c r="H81" s="14">
        <f t="shared" si="26"/>
        <v>11675321.493320549</v>
      </c>
      <c r="I81" s="16">
        <f t="shared" si="27"/>
        <v>3.3205486834049225E-3</v>
      </c>
    </row>
    <row r="82" spans="1:9" x14ac:dyDescent="0.25">
      <c r="A82" s="36">
        <v>44232</v>
      </c>
      <c r="B82" s="1">
        <f t="shared" si="20"/>
        <v>31</v>
      </c>
      <c r="C82" s="4">
        <f t="shared" si="21"/>
        <v>13176690</v>
      </c>
      <c r="D82" s="2">
        <f t="shared" si="22"/>
        <v>1520495.5299999993</v>
      </c>
      <c r="E82" s="19">
        <f t="shared" si="23"/>
        <v>11656194.470000001</v>
      </c>
      <c r="F82" s="2">
        <f t="shared" si="24"/>
        <v>914948598.17000008</v>
      </c>
      <c r="G82" s="2">
        <f t="shared" si="25"/>
        <v>913428102.6400001</v>
      </c>
      <c r="H82" s="14">
        <f t="shared" si="26"/>
        <v>11656194.469836988</v>
      </c>
      <c r="I82" s="16">
        <f t="shared" si="27"/>
        <v>-1.6301311552524567E-4</v>
      </c>
    </row>
    <row r="83" spans="1:9" x14ac:dyDescent="0.25">
      <c r="A83" s="36">
        <v>44260</v>
      </c>
      <c r="B83" s="1">
        <f t="shared" si="20"/>
        <v>28</v>
      </c>
      <c r="C83" s="4">
        <f t="shared" si="21"/>
        <v>13176690</v>
      </c>
      <c r="D83" s="2">
        <f t="shared" si="22"/>
        <v>2666010.4600000009</v>
      </c>
      <c r="E83" s="19">
        <f t="shared" si="23"/>
        <v>10510679.539999999</v>
      </c>
      <c r="F83" s="2">
        <f t="shared" si="24"/>
        <v>913428102.6400001</v>
      </c>
      <c r="G83" s="2">
        <f t="shared" si="25"/>
        <v>910762092.18000007</v>
      </c>
      <c r="H83" s="14">
        <f t="shared" si="26"/>
        <v>10510679.537227396</v>
      </c>
      <c r="I83" s="16">
        <f t="shared" si="27"/>
        <v>-2.7726031839847565E-3</v>
      </c>
    </row>
    <row r="84" spans="1:9" x14ac:dyDescent="0.25">
      <c r="A84" s="36">
        <v>44291</v>
      </c>
      <c r="B84" s="1">
        <f t="shared" si="20"/>
        <v>31</v>
      </c>
      <c r="C84" s="4">
        <f t="shared" si="21"/>
        <v>13176690</v>
      </c>
      <c r="D84" s="2">
        <f t="shared" si="22"/>
        <v>1573830.4700000007</v>
      </c>
      <c r="E84" s="19">
        <f t="shared" si="23"/>
        <v>11602859.529999999</v>
      </c>
      <c r="F84" s="2">
        <f t="shared" si="24"/>
        <v>910762092.18000007</v>
      </c>
      <c r="G84" s="2">
        <f t="shared" si="25"/>
        <v>909188261.71000004</v>
      </c>
      <c r="H84" s="14">
        <f t="shared" si="26"/>
        <v>11602859.530512327</v>
      </c>
      <c r="I84" s="16">
        <f t="shared" si="27"/>
        <v>5.1232799887657166E-4</v>
      </c>
    </row>
    <row r="85" spans="1:9" x14ac:dyDescent="0.25">
      <c r="A85" s="36">
        <v>44321</v>
      </c>
      <c r="B85" s="1">
        <f t="shared" si="20"/>
        <v>30</v>
      </c>
      <c r="C85" s="4">
        <f t="shared" si="21"/>
        <v>13176690</v>
      </c>
      <c r="D85" s="2">
        <f t="shared" si="22"/>
        <v>1967519.6500000004</v>
      </c>
      <c r="E85" s="19">
        <f t="shared" si="23"/>
        <v>11209170.35</v>
      </c>
      <c r="F85" s="2">
        <f t="shared" si="24"/>
        <v>909188261.71000004</v>
      </c>
      <c r="G85" s="2">
        <f t="shared" si="25"/>
        <v>907220742.06000006</v>
      </c>
      <c r="H85" s="14">
        <f t="shared" si="26"/>
        <v>11209170.349849315</v>
      </c>
      <c r="I85" s="16">
        <f t="shared" si="27"/>
        <v>-1.5068426728248596E-4</v>
      </c>
    </row>
    <row r="86" spans="1:9" x14ac:dyDescent="0.25">
      <c r="A86" s="36">
        <v>44352</v>
      </c>
      <c r="B86" s="1">
        <f t="shared" si="20"/>
        <v>31</v>
      </c>
      <c r="C86" s="4">
        <f t="shared" si="21"/>
        <v>13176690</v>
      </c>
      <c r="D86" s="2">
        <f t="shared" si="22"/>
        <v>1618946.3000000007</v>
      </c>
      <c r="E86" s="19">
        <f t="shared" si="23"/>
        <v>11557743.699999999</v>
      </c>
      <c r="F86" s="2">
        <f t="shared" si="24"/>
        <v>907220742.06000006</v>
      </c>
      <c r="G86" s="2">
        <f t="shared" si="25"/>
        <v>905601795.76000011</v>
      </c>
      <c r="H86" s="14">
        <f t="shared" si="26"/>
        <v>11557743.70021644</v>
      </c>
      <c r="I86" s="16">
        <f t="shared" si="27"/>
        <v>2.1644122898578644E-4</v>
      </c>
    </row>
    <row r="87" spans="1:9" x14ac:dyDescent="0.25">
      <c r="A87" s="36">
        <v>44382</v>
      </c>
      <c r="B87" s="1">
        <f t="shared" si="20"/>
        <v>30</v>
      </c>
      <c r="C87" s="4">
        <f t="shared" si="21"/>
        <v>13176690</v>
      </c>
      <c r="D87" s="2">
        <f t="shared" si="22"/>
        <v>2011736.3499999996</v>
      </c>
      <c r="E87" s="19">
        <f t="shared" si="23"/>
        <v>11164953.65</v>
      </c>
      <c r="F87" s="2">
        <f t="shared" si="24"/>
        <v>905601795.76000011</v>
      </c>
      <c r="G87" s="2">
        <f t="shared" si="25"/>
        <v>903590059.41000009</v>
      </c>
      <c r="H87" s="14">
        <f t="shared" si="26"/>
        <v>11164953.646356165</v>
      </c>
      <c r="I87" s="16">
        <f t="shared" si="27"/>
        <v>-3.6438349634408951E-3</v>
      </c>
    </row>
    <row r="88" spans="1:9" x14ac:dyDescent="0.25">
      <c r="A88" s="36">
        <v>44413</v>
      </c>
      <c r="B88" s="1">
        <f t="shared" si="20"/>
        <v>31</v>
      </c>
      <c r="C88" s="4">
        <f t="shared" si="21"/>
        <v>13176690</v>
      </c>
      <c r="D88" s="2">
        <f t="shared" si="22"/>
        <v>1665200.1999999993</v>
      </c>
      <c r="E88" s="19">
        <f t="shared" si="23"/>
        <v>11511489.800000001</v>
      </c>
      <c r="F88" s="2">
        <f t="shared" si="24"/>
        <v>903590059.41000009</v>
      </c>
      <c r="G88" s="2">
        <f t="shared" si="25"/>
        <v>901924859.21000004</v>
      </c>
      <c r="H88" s="14">
        <f t="shared" si="26"/>
        <v>11511489.797963014</v>
      </c>
      <c r="I88" s="16">
        <f t="shared" si="27"/>
        <v>-2.0369868725538254E-3</v>
      </c>
    </row>
    <row r="89" spans="1:9" x14ac:dyDescent="0.25">
      <c r="A89" s="36">
        <v>44444</v>
      </c>
      <c r="B89" s="1">
        <f t="shared" si="20"/>
        <v>31</v>
      </c>
      <c r="C89" s="4">
        <f t="shared" si="21"/>
        <v>13176690</v>
      </c>
      <c r="D89" s="2">
        <f t="shared" si="22"/>
        <v>1686414.4000000004</v>
      </c>
      <c r="E89" s="19">
        <f t="shared" si="23"/>
        <v>11490275.6</v>
      </c>
      <c r="F89" s="2">
        <f t="shared" si="24"/>
        <v>901924859.21000004</v>
      </c>
      <c r="G89" s="2">
        <f t="shared" si="25"/>
        <v>900238444.81000006</v>
      </c>
      <c r="H89" s="14">
        <f t="shared" si="26"/>
        <v>11490275.603634246</v>
      </c>
      <c r="I89" s="16">
        <f t="shared" si="27"/>
        <v>3.6342460662126541E-3</v>
      </c>
    </row>
    <row r="90" spans="1:9" x14ac:dyDescent="0.25">
      <c r="A90" s="36">
        <v>44474</v>
      </c>
      <c r="B90" s="1">
        <f t="shared" si="20"/>
        <v>30</v>
      </c>
      <c r="C90" s="4">
        <f t="shared" si="21"/>
        <v>13176690</v>
      </c>
      <c r="D90" s="2">
        <f t="shared" si="22"/>
        <v>2077859.8599999994</v>
      </c>
      <c r="E90" s="19">
        <f t="shared" si="23"/>
        <v>11098830.140000001</v>
      </c>
      <c r="F90" s="2">
        <f t="shared" si="24"/>
        <v>900238444.81000006</v>
      </c>
      <c r="G90" s="2">
        <f t="shared" si="25"/>
        <v>898160584.95000005</v>
      </c>
      <c r="H90" s="14">
        <f t="shared" si="26"/>
        <v>11098830.141493153</v>
      </c>
      <c r="I90" s="16">
        <f t="shared" si="27"/>
        <v>1.4931522309780121E-3</v>
      </c>
    </row>
    <row r="91" spans="1:9" x14ac:dyDescent="0.25">
      <c r="A91" s="36">
        <v>44505</v>
      </c>
      <c r="B91" s="1">
        <f t="shared" si="20"/>
        <v>31</v>
      </c>
      <c r="C91" s="4">
        <f t="shared" si="21"/>
        <v>13176690</v>
      </c>
      <c r="D91" s="2">
        <f t="shared" si="22"/>
        <v>1734370.2200000007</v>
      </c>
      <c r="E91" s="19">
        <f t="shared" si="23"/>
        <v>11442319.779999999</v>
      </c>
      <c r="F91" s="2">
        <f t="shared" si="24"/>
        <v>898160584.95000005</v>
      </c>
      <c r="G91" s="2">
        <f t="shared" si="25"/>
        <v>896426214.73000002</v>
      </c>
      <c r="H91" s="14">
        <f t="shared" si="26"/>
        <v>11442319.780869864</v>
      </c>
      <c r="I91" s="16">
        <f t="shared" si="27"/>
        <v>8.6986459791660309E-4</v>
      </c>
    </row>
    <row r="92" spans="1:9" x14ac:dyDescent="0.25">
      <c r="A92" s="36">
        <v>44535</v>
      </c>
      <c r="B92" s="1">
        <f t="shared" si="20"/>
        <v>30</v>
      </c>
      <c r="C92" s="4">
        <f t="shared" si="21"/>
        <v>13176690</v>
      </c>
      <c r="D92" s="2">
        <f t="shared" si="22"/>
        <v>2124859.9600000009</v>
      </c>
      <c r="E92" s="19">
        <f t="shared" si="23"/>
        <v>11051830.039999999</v>
      </c>
      <c r="F92" s="2">
        <f t="shared" si="24"/>
        <v>896426214.73000002</v>
      </c>
      <c r="G92" s="2">
        <f t="shared" si="25"/>
        <v>894301354.76999998</v>
      </c>
      <c r="H92" s="14">
        <f t="shared" si="26"/>
        <v>11051830.044616437</v>
      </c>
      <c r="I92" s="16">
        <f t="shared" si="27"/>
        <v>4.6164374798536301E-3</v>
      </c>
    </row>
    <row r="93" spans="1:9" x14ac:dyDescent="0.25">
      <c r="A93" s="36">
        <v>44566</v>
      </c>
      <c r="B93" s="1">
        <f t="shared" si="20"/>
        <v>31</v>
      </c>
      <c r="C93" s="4">
        <f t="shared" si="21"/>
        <v>13176690</v>
      </c>
      <c r="D93" s="2">
        <f t="shared" si="22"/>
        <v>1783535.75</v>
      </c>
      <c r="E93" s="19">
        <f t="shared" si="23"/>
        <v>11393154.25</v>
      </c>
      <c r="F93" s="2">
        <f t="shared" si="24"/>
        <v>894301354.76999998</v>
      </c>
      <c r="G93" s="2">
        <f t="shared" si="25"/>
        <v>892517819.01999998</v>
      </c>
      <c r="H93" s="14">
        <f t="shared" si="26"/>
        <v>11393154.2457</v>
      </c>
      <c r="I93" s="16">
        <f t="shared" si="27"/>
        <v>-4.3000001460313797E-3</v>
      </c>
    </row>
    <row r="94" spans="1:9" x14ac:dyDescent="0.25">
      <c r="A94" s="36">
        <v>44597</v>
      </c>
      <c r="B94" s="1">
        <f t="shared" si="20"/>
        <v>31</v>
      </c>
      <c r="C94" s="4">
        <f t="shared" si="21"/>
        <v>13176690</v>
      </c>
      <c r="D94" s="2">
        <f t="shared" si="22"/>
        <v>1806257.5099999998</v>
      </c>
      <c r="E94" s="19">
        <f t="shared" si="23"/>
        <v>11370432.49</v>
      </c>
      <c r="F94" s="2">
        <f t="shared" si="24"/>
        <v>892517819.01999998</v>
      </c>
      <c r="G94" s="2">
        <f t="shared" si="25"/>
        <v>890711561.50999999</v>
      </c>
      <c r="H94" s="14">
        <f t="shared" si="26"/>
        <v>11370432.48888493</v>
      </c>
      <c r="I94" s="16">
        <f t="shared" si="27"/>
        <v>-1.1150706559419632E-3</v>
      </c>
    </row>
    <row r="95" spans="1:9" x14ac:dyDescent="0.25">
      <c r="A95" s="36">
        <v>44625</v>
      </c>
      <c r="B95" s="1">
        <f t="shared" si="20"/>
        <v>28</v>
      </c>
      <c r="C95" s="4">
        <f t="shared" si="21"/>
        <v>13176690</v>
      </c>
      <c r="D95" s="2">
        <f t="shared" si="22"/>
        <v>2927406.2799999993</v>
      </c>
      <c r="E95" s="19">
        <f t="shared" si="23"/>
        <v>10249283.720000001</v>
      </c>
      <c r="F95" s="2">
        <f t="shared" si="24"/>
        <v>890711561.50999999</v>
      </c>
      <c r="G95" s="2">
        <f t="shared" si="25"/>
        <v>887784155.23000002</v>
      </c>
      <c r="H95" s="14">
        <f t="shared" si="26"/>
        <v>10249283.721484929</v>
      </c>
      <c r="I95" s="16">
        <f t="shared" si="27"/>
        <v>1.4849286526441574E-3</v>
      </c>
    </row>
    <row r="96" spans="1:9" x14ac:dyDescent="0.25">
      <c r="A96" s="36">
        <v>44656</v>
      </c>
      <c r="B96" s="1">
        <f t="shared" si="20"/>
        <v>31</v>
      </c>
      <c r="C96" s="4">
        <f t="shared" si="21"/>
        <v>13176690</v>
      </c>
      <c r="D96" s="2">
        <f t="shared" si="22"/>
        <v>1866563.0899999999</v>
      </c>
      <c r="E96" s="19">
        <f t="shared" si="23"/>
        <v>11310126.91</v>
      </c>
      <c r="F96" s="2">
        <f t="shared" si="24"/>
        <v>887784155.23000002</v>
      </c>
      <c r="G96" s="2">
        <f t="shared" si="25"/>
        <v>885917592.13999999</v>
      </c>
      <c r="H96" s="14">
        <f t="shared" si="26"/>
        <v>11310126.90909452</v>
      </c>
      <c r="I96" s="16">
        <f t="shared" si="27"/>
        <v>-9.0548023581504822E-4</v>
      </c>
    </row>
    <row r="97" spans="1:9" x14ac:dyDescent="0.25">
      <c r="A97" s="36">
        <v>44686</v>
      </c>
      <c r="B97" s="1">
        <f t="shared" si="20"/>
        <v>30</v>
      </c>
      <c r="C97" s="4">
        <f t="shared" si="21"/>
        <v>13176690</v>
      </c>
      <c r="D97" s="2">
        <f t="shared" si="22"/>
        <v>2254418.3200000003</v>
      </c>
      <c r="E97" s="19">
        <f t="shared" si="23"/>
        <v>10922271.68</v>
      </c>
      <c r="F97" s="2">
        <f t="shared" si="24"/>
        <v>885917592.13999999</v>
      </c>
      <c r="G97" s="2">
        <f t="shared" si="25"/>
        <v>883663173.81999993</v>
      </c>
      <c r="H97" s="14">
        <f t="shared" si="26"/>
        <v>10922271.683917807</v>
      </c>
      <c r="I97" s="16">
        <f t="shared" si="27"/>
        <v>3.9178077131509781E-3</v>
      </c>
    </row>
    <row r="98" spans="1:9" x14ac:dyDescent="0.25">
      <c r="A98" s="36">
        <v>44717</v>
      </c>
      <c r="B98" s="1">
        <f t="shared" si="20"/>
        <v>31</v>
      </c>
      <c r="C98" s="4">
        <f t="shared" si="21"/>
        <v>13176690</v>
      </c>
      <c r="D98" s="2">
        <f t="shared" si="22"/>
        <v>1919063.2699999996</v>
      </c>
      <c r="E98" s="19">
        <f t="shared" si="23"/>
        <v>11257626.73</v>
      </c>
      <c r="F98" s="2">
        <f t="shared" si="24"/>
        <v>883663173.81999993</v>
      </c>
      <c r="G98" s="2">
        <f t="shared" si="25"/>
        <v>881744110.54999995</v>
      </c>
      <c r="H98" s="14">
        <f t="shared" si="26"/>
        <v>11257626.734967122</v>
      </c>
      <c r="I98" s="16">
        <f t="shared" si="27"/>
        <v>4.9671214073896408E-3</v>
      </c>
    </row>
    <row r="99" spans="1:9" x14ac:dyDescent="0.25">
      <c r="A99" s="36">
        <v>44747</v>
      </c>
      <c r="B99" s="1">
        <f t="shared" si="20"/>
        <v>30</v>
      </c>
      <c r="C99" s="4">
        <f t="shared" si="21"/>
        <v>13176690</v>
      </c>
      <c r="D99" s="2">
        <f t="shared" si="22"/>
        <v>2305872.1999999993</v>
      </c>
      <c r="E99" s="19">
        <f t="shared" si="23"/>
        <v>10870817.800000001</v>
      </c>
      <c r="F99" s="2">
        <f t="shared" si="24"/>
        <v>881744110.54999995</v>
      </c>
      <c r="G99" s="2">
        <f t="shared" si="25"/>
        <v>879438238.3499999</v>
      </c>
      <c r="H99" s="14">
        <f t="shared" si="26"/>
        <v>10870817.801301368</v>
      </c>
      <c r="I99" s="16">
        <f t="shared" si="27"/>
        <v>1.3013668358325958E-3</v>
      </c>
    </row>
    <row r="100" spans="1:9" x14ac:dyDescent="0.25">
      <c r="A100" s="36">
        <v>44778</v>
      </c>
      <c r="B100" s="1">
        <f t="shared" si="20"/>
        <v>31</v>
      </c>
      <c r="C100" s="4">
        <f t="shared" si="21"/>
        <v>13176690</v>
      </c>
      <c r="D100" s="2">
        <f t="shared" si="22"/>
        <v>1972887.7899999991</v>
      </c>
      <c r="E100" s="19">
        <f t="shared" si="23"/>
        <v>11203802.210000001</v>
      </c>
      <c r="F100" s="2">
        <f t="shared" si="24"/>
        <v>879438238.3499999</v>
      </c>
      <c r="G100" s="2">
        <f t="shared" si="25"/>
        <v>877465350.55999994</v>
      </c>
      <c r="H100" s="14">
        <f t="shared" si="26"/>
        <v>11203802.214595888</v>
      </c>
      <c r="I100" s="16">
        <f t="shared" si="27"/>
        <v>4.5958869159221649E-3</v>
      </c>
    </row>
    <row r="101" spans="1:9" x14ac:dyDescent="0.25">
      <c r="A101" s="36">
        <v>44809</v>
      </c>
      <c r="B101" s="1">
        <f t="shared" si="20"/>
        <v>31</v>
      </c>
      <c r="C101" s="4">
        <f t="shared" si="21"/>
        <v>13176690</v>
      </c>
      <c r="D101" s="2">
        <f t="shared" si="22"/>
        <v>1998021.8399999999</v>
      </c>
      <c r="E101" s="19">
        <f t="shared" si="23"/>
        <v>11178668.16</v>
      </c>
      <c r="F101" s="2">
        <f t="shared" si="24"/>
        <v>877465350.55999994</v>
      </c>
      <c r="G101" s="2">
        <f t="shared" si="25"/>
        <v>875467328.71999991</v>
      </c>
      <c r="H101" s="14">
        <f t="shared" si="26"/>
        <v>11178668.164668493</v>
      </c>
      <c r="I101" s="16">
        <f t="shared" si="27"/>
        <v>4.6684928238391876E-3</v>
      </c>
    </row>
    <row r="102" spans="1:9" x14ac:dyDescent="0.25">
      <c r="A102" s="36">
        <v>44839</v>
      </c>
      <c r="B102" s="1">
        <f t="shared" si="20"/>
        <v>30</v>
      </c>
      <c r="C102" s="4">
        <f t="shared" si="21"/>
        <v>13176690</v>
      </c>
      <c r="D102" s="2">
        <f t="shared" si="22"/>
        <v>2383257.1799999997</v>
      </c>
      <c r="E102" s="19">
        <f t="shared" si="23"/>
        <v>10793432.82</v>
      </c>
      <c r="F102" s="2">
        <f t="shared" si="24"/>
        <v>875467328.71999991</v>
      </c>
      <c r="G102" s="2">
        <f t="shared" si="25"/>
        <v>873084071.53999996</v>
      </c>
      <c r="H102" s="14">
        <f t="shared" si="26"/>
        <v>10793432.819835614</v>
      </c>
      <c r="I102" s="16">
        <f t="shared" si="27"/>
        <v>-1.6438588500022888E-4</v>
      </c>
    </row>
    <row r="103" spans="1:9" x14ac:dyDescent="0.25">
      <c r="A103" s="36">
        <v>44870</v>
      </c>
      <c r="B103" s="1">
        <f t="shared" si="20"/>
        <v>31</v>
      </c>
      <c r="C103" s="4">
        <f t="shared" si="21"/>
        <v>13176690</v>
      </c>
      <c r="D103" s="2">
        <f t="shared" si="22"/>
        <v>2053838.1300000008</v>
      </c>
      <c r="E103" s="19">
        <f t="shared" si="23"/>
        <v>11122851.869999999</v>
      </c>
      <c r="F103" s="2">
        <f t="shared" si="24"/>
        <v>873084071.53999996</v>
      </c>
      <c r="G103" s="2">
        <f t="shared" si="25"/>
        <v>871030233.40999997</v>
      </c>
      <c r="H103" s="14">
        <f t="shared" si="26"/>
        <v>11122851.87030411</v>
      </c>
      <c r="I103" s="16">
        <f t="shared" si="27"/>
        <v>3.0411034822463989E-4</v>
      </c>
    </row>
    <row r="104" spans="1:9" x14ac:dyDescent="0.25">
      <c r="A104" s="36">
        <v>44900</v>
      </c>
      <c r="B104" s="1">
        <f t="shared" si="20"/>
        <v>30</v>
      </c>
      <c r="C104" s="4">
        <f t="shared" si="21"/>
        <v>13176690</v>
      </c>
      <c r="D104" s="2">
        <f t="shared" si="22"/>
        <v>2437961.09</v>
      </c>
      <c r="E104" s="19">
        <f t="shared" si="23"/>
        <v>10738728.91</v>
      </c>
      <c r="F104" s="2">
        <f t="shared" si="24"/>
        <v>871030233.40999997</v>
      </c>
      <c r="G104" s="2">
        <f t="shared" si="25"/>
        <v>868592272.31999993</v>
      </c>
      <c r="H104" s="14">
        <f t="shared" si="26"/>
        <v>10738728.905054795</v>
      </c>
      <c r="I104" s="16">
        <f t="shared" si="27"/>
        <v>-4.9452055245637894E-3</v>
      </c>
    </row>
    <row r="105" spans="1:9" x14ac:dyDescent="0.25">
      <c r="A105" s="36">
        <v>44931</v>
      </c>
      <c r="B105" s="1">
        <f t="shared" si="20"/>
        <v>31</v>
      </c>
      <c r="C105" s="4">
        <f t="shared" si="21"/>
        <v>13176690</v>
      </c>
      <c r="D105" s="2">
        <f t="shared" si="22"/>
        <v>2111062.42</v>
      </c>
      <c r="E105" s="19">
        <f t="shared" si="23"/>
        <v>11065627.58</v>
      </c>
      <c r="F105" s="2">
        <f t="shared" si="24"/>
        <v>868592272.31999993</v>
      </c>
      <c r="G105" s="2">
        <f t="shared" si="25"/>
        <v>866481209.89999998</v>
      </c>
      <c r="H105" s="14">
        <f t="shared" si="26"/>
        <v>11065627.578871232</v>
      </c>
      <c r="I105" s="16">
        <f t="shared" si="27"/>
        <v>-1.1287685483694077E-3</v>
      </c>
    </row>
    <row r="106" spans="1:9" x14ac:dyDescent="0.25">
      <c r="A106" s="36">
        <v>44962</v>
      </c>
      <c r="B106" s="1">
        <f t="shared" si="20"/>
        <v>31</v>
      </c>
      <c r="C106" s="4">
        <f t="shared" si="21"/>
        <v>13176690</v>
      </c>
      <c r="D106" s="2">
        <f t="shared" si="22"/>
        <v>2137956.7799999993</v>
      </c>
      <c r="E106" s="19">
        <f t="shared" si="23"/>
        <v>11038733.220000001</v>
      </c>
      <c r="F106" s="2">
        <f t="shared" si="24"/>
        <v>866481209.89999998</v>
      </c>
      <c r="G106" s="2">
        <f t="shared" si="25"/>
        <v>864343253.12</v>
      </c>
      <c r="H106" s="14">
        <f t="shared" si="26"/>
        <v>11038733.222013697</v>
      </c>
      <c r="I106" s="16">
        <f t="shared" si="27"/>
        <v>2.0136963576078415E-3</v>
      </c>
    </row>
    <row r="107" spans="1:9" x14ac:dyDescent="0.25">
      <c r="A107" s="36">
        <v>44990</v>
      </c>
      <c r="B107" s="1">
        <f t="shared" si="20"/>
        <v>28</v>
      </c>
      <c r="C107" s="4">
        <f t="shared" si="21"/>
        <v>13176690</v>
      </c>
      <c r="D107" s="2">
        <f t="shared" si="22"/>
        <v>3230822.4299999997</v>
      </c>
      <c r="E107" s="19">
        <f t="shared" si="23"/>
        <v>9945867.5700000003</v>
      </c>
      <c r="F107" s="2">
        <f t="shared" si="24"/>
        <v>864343253.12</v>
      </c>
      <c r="G107" s="2">
        <f t="shared" si="25"/>
        <v>861112430.69000006</v>
      </c>
      <c r="H107" s="14">
        <f t="shared" si="26"/>
        <v>9945867.5701479446</v>
      </c>
      <c r="I107" s="16">
        <f t="shared" si="27"/>
        <v>1.4794431626796722E-4</v>
      </c>
    </row>
    <row r="108" spans="1:9" x14ac:dyDescent="0.25">
      <c r="A108" s="36">
        <v>45021</v>
      </c>
      <c r="B108" s="1">
        <f t="shared" si="20"/>
        <v>31</v>
      </c>
      <c r="C108" s="4">
        <f t="shared" si="21"/>
        <v>13176690</v>
      </c>
      <c r="D108" s="2">
        <f t="shared" si="22"/>
        <v>2206353.5500000007</v>
      </c>
      <c r="E108" s="19">
        <f t="shared" si="23"/>
        <v>10970336.449999999</v>
      </c>
      <c r="F108" s="2">
        <f t="shared" si="24"/>
        <v>861112430.69000006</v>
      </c>
      <c r="G108" s="2">
        <f t="shared" si="25"/>
        <v>858906077.1400001</v>
      </c>
      <c r="H108" s="14">
        <f t="shared" si="26"/>
        <v>10970336.445776714</v>
      </c>
      <c r="I108" s="16">
        <f t="shared" si="27"/>
        <v>-4.2232852429151535E-3</v>
      </c>
    </row>
    <row r="109" spans="1:9" x14ac:dyDescent="0.25">
      <c r="A109" s="36">
        <v>45051</v>
      </c>
      <c r="B109" s="1">
        <f t="shared" si="20"/>
        <v>30</v>
      </c>
      <c r="C109" s="4">
        <f t="shared" si="21"/>
        <v>13176690</v>
      </c>
      <c r="D109" s="2">
        <f t="shared" si="22"/>
        <v>2587436.9900000002</v>
      </c>
      <c r="E109" s="19">
        <f t="shared" si="23"/>
        <v>10589253.01</v>
      </c>
      <c r="F109" s="2">
        <f t="shared" si="24"/>
        <v>858906077.1400001</v>
      </c>
      <c r="G109" s="2">
        <f t="shared" si="25"/>
        <v>856318640.1500001</v>
      </c>
      <c r="H109" s="14">
        <f t="shared" si="26"/>
        <v>10589253.005835617</v>
      </c>
      <c r="I109" s="16">
        <f t="shared" si="27"/>
        <v>-4.1643828153610229E-3</v>
      </c>
    </row>
    <row r="110" spans="1:9" x14ac:dyDescent="0.25">
      <c r="A110" s="36">
        <v>45082</v>
      </c>
      <c r="B110" s="1">
        <f t="shared" si="20"/>
        <v>31</v>
      </c>
      <c r="C110" s="4">
        <f t="shared" si="21"/>
        <v>13176690</v>
      </c>
      <c r="D110" s="2">
        <f t="shared" si="22"/>
        <v>2267425.1300000008</v>
      </c>
      <c r="E110" s="19">
        <f t="shared" si="23"/>
        <v>10909264.869999999</v>
      </c>
      <c r="F110" s="2">
        <f t="shared" si="24"/>
        <v>856318640.1500001</v>
      </c>
      <c r="G110" s="2">
        <f t="shared" si="25"/>
        <v>854051215.0200001</v>
      </c>
      <c r="H110" s="14">
        <f t="shared" si="26"/>
        <v>10909264.867664384</v>
      </c>
      <c r="I110" s="16">
        <f t="shared" si="27"/>
        <v>-2.3356154561042786E-3</v>
      </c>
    </row>
    <row r="111" spans="1:9" x14ac:dyDescent="0.25">
      <c r="A111" s="36">
        <v>45112</v>
      </c>
      <c r="B111" s="1">
        <f t="shared" si="20"/>
        <v>30</v>
      </c>
      <c r="C111" s="4">
        <f t="shared" si="21"/>
        <v>13176690</v>
      </c>
      <c r="D111" s="2">
        <f t="shared" si="22"/>
        <v>2647291.4600000009</v>
      </c>
      <c r="E111" s="19">
        <f t="shared" si="23"/>
        <v>10529398.539999999</v>
      </c>
      <c r="F111" s="2">
        <f t="shared" si="24"/>
        <v>854051215.0200001</v>
      </c>
      <c r="G111" s="2">
        <f t="shared" si="25"/>
        <v>851403923.56000006</v>
      </c>
      <c r="H111" s="14">
        <f t="shared" si="26"/>
        <v>10529398.541342467</v>
      </c>
      <c r="I111" s="16">
        <f t="shared" si="27"/>
        <v>1.3424679636955261E-3</v>
      </c>
    </row>
    <row r="112" spans="1:9" x14ac:dyDescent="0.25">
      <c r="A112" s="36">
        <v>45143</v>
      </c>
      <c r="B112" s="1">
        <f t="shared" si="20"/>
        <v>31</v>
      </c>
      <c r="C112" s="4">
        <f t="shared" si="21"/>
        <v>13176690</v>
      </c>
      <c r="D112" s="2">
        <f t="shared" si="22"/>
        <v>2330037.2799999993</v>
      </c>
      <c r="E112" s="19">
        <f t="shared" si="23"/>
        <v>10846652.720000001</v>
      </c>
      <c r="F112" s="2">
        <f t="shared" si="24"/>
        <v>851403923.56000006</v>
      </c>
      <c r="G112" s="2">
        <f t="shared" si="25"/>
        <v>849073886.28000009</v>
      </c>
      <c r="H112" s="14">
        <f t="shared" si="26"/>
        <v>10846652.72480548</v>
      </c>
      <c r="I112" s="16">
        <f t="shared" si="27"/>
        <v>4.8054791986942291E-3</v>
      </c>
    </row>
    <row r="113" spans="1:9" x14ac:dyDescent="0.25">
      <c r="A113" s="36">
        <v>45174</v>
      </c>
      <c r="B113" s="1">
        <f t="shared" si="20"/>
        <v>31</v>
      </c>
      <c r="C113" s="4">
        <f t="shared" si="21"/>
        <v>13176690</v>
      </c>
      <c r="D113" s="2">
        <f t="shared" si="22"/>
        <v>2359721.3100000005</v>
      </c>
      <c r="E113" s="19">
        <f t="shared" si="23"/>
        <v>10816968.689999999</v>
      </c>
      <c r="F113" s="2">
        <f t="shared" si="24"/>
        <v>849073886.28000009</v>
      </c>
      <c r="G113" s="2">
        <f t="shared" si="25"/>
        <v>846714164.97000015</v>
      </c>
      <c r="H113" s="14">
        <f t="shared" si="26"/>
        <v>10816968.688224658</v>
      </c>
      <c r="I113" s="16">
        <f t="shared" si="27"/>
        <v>-1.7753411084413528E-3</v>
      </c>
    </row>
    <row r="114" spans="1:9" x14ac:dyDescent="0.25">
      <c r="A114" s="36">
        <v>45204</v>
      </c>
      <c r="B114" s="1">
        <f t="shared" si="20"/>
        <v>30</v>
      </c>
      <c r="C114" s="4">
        <f t="shared" si="21"/>
        <v>13176690</v>
      </c>
      <c r="D114" s="2">
        <f t="shared" si="22"/>
        <v>2737748.24</v>
      </c>
      <c r="E114" s="19">
        <f t="shared" si="23"/>
        <v>10438941.76</v>
      </c>
      <c r="F114" s="2">
        <f t="shared" si="24"/>
        <v>846714164.97000015</v>
      </c>
      <c r="G114" s="2">
        <f t="shared" si="25"/>
        <v>843976416.73000014</v>
      </c>
      <c r="H114" s="14">
        <f t="shared" si="26"/>
        <v>10438941.759904111</v>
      </c>
      <c r="I114" s="16">
        <f t="shared" si="27"/>
        <v>-9.5888972282409668E-5</v>
      </c>
    </row>
    <row r="115" spans="1:9" x14ac:dyDescent="0.25">
      <c r="A115" s="36">
        <v>45235</v>
      </c>
      <c r="B115" s="1">
        <f t="shared" si="20"/>
        <v>31</v>
      </c>
      <c r="C115" s="4">
        <f t="shared" si="21"/>
        <v>13176690</v>
      </c>
      <c r="D115" s="2">
        <f t="shared" si="22"/>
        <v>2424661.6799999997</v>
      </c>
      <c r="E115" s="19">
        <f t="shared" si="23"/>
        <v>10752028.32</v>
      </c>
      <c r="F115" s="2">
        <f t="shared" si="24"/>
        <v>843976416.73000014</v>
      </c>
      <c r="G115" s="2">
        <f t="shared" si="25"/>
        <v>841551755.05000019</v>
      </c>
      <c r="H115" s="14">
        <f t="shared" si="26"/>
        <v>10752028.322724659</v>
      </c>
      <c r="I115" s="16">
        <f t="shared" si="27"/>
        <v>2.7246586978435516E-3</v>
      </c>
    </row>
    <row r="116" spans="1:9" x14ac:dyDescent="0.25">
      <c r="A116" s="36">
        <v>45265</v>
      </c>
      <c r="B116" s="1">
        <f t="shared" si="20"/>
        <v>30</v>
      </c>
      <c r="C116" s="4">
        <f t="shared" si="21"/>
        <v>13176690</v>
      </c>
      <c r="D116" s="2">
        <f t="shared" si="22"/>
        <v>2801394.3900000006</v>
      </c>
      <c r="E116" s="19">
        <f t="shared" si="23"/>
        <v>10375295.609999999</v>
      </c>
      <c r="F116" s="2">
        <f t="shared" si="24"/>
        <v>841551755.05000019</v>
      </c>
      <c r="G116" s="2">
        <f t="shared" si="25"/>
        <v>838750360.66000021</v>
      </c>
      <c r="H116" s="14">
        <f t="shared" si="26"/>
        <v>10375295.610205483</v>
      </c>
      <c r="I116" s="16">
        <f t="shared" si="27"/>
        <v>2.0548328757286072E-4</v>
      </c>
    </row>
    <row r="117" spans="1:9" x14ac:dyDescent="0.25">
      <c r="A117" s="36">
        <v>45296</v>
      </c>
      <c r="B117" s="1">
        <f t="shared" si="20"/>
        <v>31</v>
      </c>
      <c r="C117" s="4">
        <f t="shared" si="21"/>
        <v>13176690</v>
      </c>
      <c r="D117" s="2">
        <f t="shared" si="22"/>
        <v>2491240.1999999993</v>
      </c>
      <c r="E117" s="19">
        <f t="shared" si="23"/>
        <v>10685449.800000001</v>
      </c>
      <c r="F117" s="2">
        <f t="shared" si="24"/>
        <v>838750360.66000021</v>
      </c>
      <c r="G117" s="2">
        <f t="shared" si="25"/>
        <v>836259120.46000016</v>
      </c>
      <c r="H117" s="14">
        <f t="shared" si="26"/>
        <v>10685449.800189042</v>
      </c>
      <c r="I117" s="16">
        <f t="shared" si="27"/>
        <v>1.8904171884059906E-4</v>
      </c>
    </row>
    <row r="118" spans="1:9" x14ac:dyDescent="0.25">
      <c r="A118" s="36">
        <v>45327</v>
      </c>
      <c r="B118" s="1">
        <f t="shared" si="20"/>
        <v>31</v>
      </c>
      <c r="C118" s="4">
        <f t="shared" si="21"/>
        <v>13176690</v>
      </c>
      <c r="D118" s="2">
        <f t="shared" si="22"/>
        <v>2522977.92</v>
      </c>
      <c r="E118" s="19">
        <f t="shared" si="23"/>
        <v>10653712.08</v>
      </c>
      <c r="F118" s="2">
        <f t="shared" si="24"/>
        <v>836259120.46000016</v>
      </c>
      <c r="G118" s="2">
        <f t="shared" si="25"/>
        <v>833736142.5400002</v>
      </c>
      <c r="H118" s="14">
        <f t="shared" si="26"/>
        <v>10653712.082572604</v>
      </c>
      <c r="I118" s="16">
        <f t="shared" si="27"/>
        <v>2.5726035237312317E-3</v>
      </c>
    </row>
    <row r="119" spans="1:9" x14ac:dyDescent="0.25">
      <c r="A119" s="36">
        <v>45356</v>
      </c>
      <c r="B119" s="1">
        <f t="shared" si="20"/>
        <v>29</v>
      </c>
      <c r="C119" s="4">
        <f t="shared" si="21"/>
        <v>13176690</v>
      </c>
      <c r="D119" s="2">
        <f t="shared" si="22"/>
        <v>3240382.5500000007</v>
      </c>
      <c r="E119" s="19">
        <f t="shared" si="23"/>
        <v>9936307.4499999993</v>
      </c>
      <c r="F119" s="2">
        <f t="shared" si="24"/>
        <v>833736142.5400002</v>
      </c>
      <c r="G119" s="2">
        <f t="shared" si="25"/>
        <v>830495759.99000025</v>
      </c>
      <c r="H119" s="14">
        <f t="shared" si="26"/>
        <v>9936307.4521890432</v>
      </c>
      <c r="I119" s="16">
        <f t="shared" si="27"/>
        <v>2.1890439093112946E-3</v>
      </c>
    </row>
    <row r="120" spans="1:9" x14ac:dyDescent="0.25">
      <c r="A120" s="36">
        <v>45387</v>
      </c>
      <c r="B120" s="1">
        <f t="shared" si="20"/>
        <v>31</v>
      </c>
      <c r="C120" s="4">
        <f t="shared" si="21"/>
        <v>13176690</v>
      </c>
      <c r="D120" s="2">
        <f t="shared" si="22"/>
        <v>2596401.5500000007</v>
      </c>
      <c r="E120" s="19">
        <f t="shared" si="23"/>
        <v>10580288.449999999</v>
      </c>
      <c r="F120" s="2">
        <f t="shared" si="24"/>
        <v>830495759.99000025</v>
      </c>
      <c r="G120" s="2">
        <f t="shared" si="25"/>
        <v>827899358.4400003</v>
      </c>
      <c r="H120" s="14">
        <f t="shared" si="26"/>
        <v>10580288.449187675</v>
      </c>
      <c r="I120" s="16">
        <f t="shared" si="27"/>
        <v>-8.1232376396656036E-4</v>
      </c>
    </row>
    <row r="121" spans="1:9" x14ac:dyDescent="0.25">
      <c r="A121" s="36">
        <v>45417</v>
      </c>
      <c r="B121" s="1">
        <f t="shared" si="20"/>
        <v>30</v>
      </c>
      <c r="C121" s="4">
        <f t="shared" si="21"/>
        <v>13176690</v>
      </c>
      <c r="D121" s="2">
        <f t="shared" si="22"/>
        <v>2969711.6099999994</v>
      </c>
      <c r="E121" s="19">
        <f t="shared" si="23"/>
        <v>10206978.390000001</v>
      </c>
      <c r="F121" s="2">
        <f t="shared" si="24"/>
        <v>827899358.4400003</v>
      </c>
      <c r="G121" s="2">
        <f t="shared" si="25"/>
        <v>824929646.83000028</v>
      </c>
      <c r="H121" s="14">
        <f t="shared" si="26"/>
        <v>10206978.39172603</v>
      </c>
      <c r="I121" s="16">
        <f t="shared" si="27"/>
        <v>1.7260294407606125E-3</v>
      </c>
    </row>
    <row r="122" spans="1:9" x14ac:dyDescent="0.25">
      <c r="A122" s="36">
        <v>45448</v>
      </c>
      <c r="B122" s="1">
        <f t="shared" si="20"/>
        <v>31</v>
      </c>
      <c r="C122" s="4">
        <f t="shared" si="21"/>
        <v>13176690</v>
      </c>
      <c r="D122" s="2">
        <f t="shared" si="22"/>
        <v>2667312.3100000005</v>
      </c>
      <c r="E122" s="19">
        <f t="shared" si="23"/>
        <v>10509377.689999999</v>
      </c>
      <c r="F122" s="2">
        <f t="shared" si="24"/>
        <v>824929646.83000028</v>
      </c>
      <c r="G122" s="2">
        <f t="shared" si="25"/>
        <v>822262334.52000034</v>
      </c>
      <c r="H122" s="14">
        <f t="shared" si="26"/>
        <v>10509377.692491785</v>
      </c>
      <c r="I122" s="16">
        <f t="shared" si="27"/>
        <v>2.4917852133512497E-3</v>
      </c>
    </row>
    <row r="123" spans="1:9" x14ac:dyDescent="0.25">
      <c r="A123" s="36">
        <v>45478</v>
      </c>
      <c r="B123" s="1">
        <f t="shared" si="20"/>
        <v>30</v>
      </c>
      <c r="C123" s="4">
        <f t="shared" si="21"/>
        <v>13176690</v>
      </c>
      <c r="D123" s="2">
        <f t="shared" si="22"/>
        <v>3039209.16</v>
      </c>
      <c r="E123" s="19">
        <f t="shared" si="23"/>
        <v>10137480.84</v>
      </c>
      <c r="F123" s="2">
        <f t="shared" si="24"/>
        <v>822262334.52000034</v>
      </c>
      <c r="G123" s="2">
        <f t="shared" si="25"/>
        <v>819223125.36000037</v>
      </c>
      <c r="H123" s="14">
        <f t="shared" si="26"/>
        <v>10137480.83654795</v>
      </c>
      <c r="I123" s="16">
        <f t="shared" si="27"/>
        <v>-3.4520495682954788E-3</v>
      </c>
    </row>
    <row r="124" spans="1:9" x14ac:dyDescent="0.25">
      <c r="A124" s="36">
        <v>45509</v>
      </c>
      <c r="B124" s="1">
        <f t="shared" si="20"/>
        <v>31</v>
      </c>
      <c r="C124" s="4">
        <f t="shared" si="21"/>
        <v>13176690</v>
      </c>
      <c r="D124" s="2">
        <f t="shared" si="22"/>
        <v>2740011.83</v>
      </c>
      <c r="E124" s="19">
        <f t="shared" si="23"/>
        <v>10436678.17</v>
      </c>
      <c r="F124" s="2">
        <f t="shared" si="24"/>
        <v>819223125.36000037</v>
      </c>
      <c r="G124" s="2">
        <f t="shared" si="25"/>
        <v>816483113.53000033</v>
      </c>
      <c r="H124" s="14">
        <f t="shared" si="26"/>
        <v>10436678.172394525</v>
      </c>
      <c r="I124" s="16">
        <f t="shared" si="27"/>
        <v>2.394525334239006E-3</v>
      </c>
    </row>
    <row r="125" spans="1:9" x14ac:dyDescent="0.25">
      <c r="A125" s="36">
        <v>45540</v>
      </c>
      <c r="B125" s="1">
        <f t="shared" si="20"/>
        <v>31</v>
      </c>
      <c r="C125" s="4">
        <f t="shared" si="21"/>
        <v>13176690</v>
      </c>
      <c r="D125" s="2">
        <f t="shared" si="22"/>
        <v>2774918.83</v>
      </c>
      <c r="E125" s="19">
        <f t="shared" si="23"/>
        <v>10401771.17</v>
      </c>
      <c r="F125" s="2">
        <f t="shared" si="24"/>
        <v>816483113.53000033</v>
      </c>
      <c r="G125" s="2">
        <f t="shared" si="25"/>
        <v>813708194.70000029</v>
      </c>
      <c r="H125" s="14">
        <f t="shared" si="26"/>
        <v>10401771.172368497</v>
      </c>
      <c r="I125" s="16">
        <f t="shared" si="27"/>
        <v>2.3684967309236526E-3</v>
      </c>
    </row>
    <row r="126" spans="1:9" x14ac:dyDescent="0.25">
      <c r="A126" s="36">
        <v>45570</v>
      </c>
      <c r="B126" s="1">
        <f t="shared" si="20"/>
        <v>30</v>
      </c>
      <c r="C126" s="4">
        <f t="shared" si="21"/>
        <v>13176690</v>
      </c>
      <c r="D126" s="2">
        <f t="shared" si="22"/>
        <v>3144671.16</v>
      </c>
      <c r="E126" s="19">
        <f t="shared" si="23"/>
        <v>10032018.84</v>
      </c>
      <c r="F126" s="2">
        <f t="shared" si="24"/>
        <v>813708194.70000029</v>
      </c>
      <c r="G126" s="2">
        <f t="shared" si="25"/>
        <v>810563523.54000032</v>
      </c>
      <c r="H126" s="14">
        <f t="shared" si="26"/>
        <v>10032018.838767128</v>
      </c>
      <c r="I126" s="16">
        <f t="shared" si="27"/>
        <v>-1.2328717857599258E-3</v>
      </c>
    </row>
    <row r="127" spans="1:9" x14ac:dyDescent="0.25">
      <c r="A127" s="36">
        <v>45601</v>
      </c>
      <c r="B127" s="1">
        <f t="shared" si="20"/>
        <v>31</v>
      </c>
      <c r="C127" s="4">
        <f t="shared" si="21"/>
        <v>13176690</v>
      </c>
      <c r="D127" s="2">
        <f t="shared" si="22"/>
        <v>2850332.7799999993</v>
      </c>
      <c r="E127" s="19">
        <f t="shared" si="23"/>
        <v>10326357.220000001</v>
      </c>
      <c r="F127" s="2">
        <f t="shared" si="24"/>
        <v>810563523.54000032</v>
      </c>
      <c r="G127" s="2">
        <f t="shared" si="25"/>
        <v>807713190.76000035</v>
      </c>
      <c r="H127" s="14">
        <f t="shared" si="26"/>
        <v>10326357.217701374</v>
      </c>
      <c r="I127" s="16">
        <f t="shared" si="27"/>
        <v>-2.2986270487308502E-3</v>
      </c>
    </row>
    <row r="128" spans="1:9" x14ac:dyDescent="0.25">
      <c r="A128" s="36">
        <v>45631</v>
      </c>
      <c r="B128" s="1">
        <f t="shared" si="20"/>
        <v>30</v>
      </c>
      <c r="C128" s="4">
        <f t="shared" si="21"/>
        <v>13176690</v>
      </c>
      <c r="D128" s="2">
        <f t="shared" si="22"/>
        <v>3218582.17</v>
      </c>
      <c r="E128" s="19">
        <f t="shared" si="23"/>
        <v>9958107.8300000001</v>
      </c>
      <c r="F128" s="2">
        <f t="shared" si="24"/>
        <v>807713190.76000035</v>
      </c>
      <c r="G128" s="2">
        <f t="shared" si="25"/>
        <v>804494608.59000039</v>
      </c>
      <c r="H128" s="14">
        <f t="shared" si="26"/>
        <v>9958107.8312876746</v>
      </c>
      <c r="I128" s="16">
        <f t="shared" si="27"/>
        <v>1.2876745313405991E-3</v>
      </c>
    </row>
    <row r="129" spans="1:9" x14ac:dyDescent="0.25">
      <c r="A129" s="36">
        <v>45662</v>
      </c>
      <c r="B129" s="1">
        <f t="shared" si="20"/>
        <v>31</v>
      </c>
      <c r="C129" s="4">
        <f t="shared" si="21"/>
        <v>13176690</v>
      </c>
      <c r="D129" s="2">
        <f t="shared" si="22"/>
        <v>2927649.0999999996</v>
      </c>
      <c r="E129" s="19">
        <f t="shared" si="23"/>
        <v>10249040.9</v>
      </c>
      <c r="F129" s="2">
        <f t="shared" si="24"/>
        <v>804494608.59000039</v>
      </c>
      <c r="G129" s="2">
        <f t="shared" si="25"/>
        <v>801566959.49000037</v>
      </c>
      <c r="H129" s="14">
        <f t="shared" si="26"/>
        <v>10249040.9039548</v>
      </c>
      <c r="I129" s="16">
        <f t="shared" si="27"/>
        <v>3.9547998458147049E-3</v>
      </c>
    </row>
    <row r="130" spans="1:9" x14ac:dyDescent="0.25">
      <c r="A130" s="36">
        <v>45693</v>
      </c>
      <c r="B130" s="1">
        <f t="shared" si="20"/>
        <v>31</v>
      </c>
      <c r="C130" s="4">
        <f t="shared" si="21"/>
        <v>13176690</v>
      </c>
      <c r="D130" s="2">
        <f t="shared" si="22"/>
        <v>2964946.5399999991</v>
      </c>
      <c r="E130" s="19">
        <f t="shared" si="23"/>
        <v>10211743.460000001</v>
      </c>
      <c r="F130" s="2">
        <f t="shared" si="24"/>
        <v>801566959.49000037</v>
      </c>
      <c r="G130" s="2">
        <f t="shared" si="25"/>
        <v>798602012.95000041</v>
      </c>
      <c r="H130" s="14">
        <f t="shared" si="26"/>
        <v>10211743.456516443</v>
      </c>
      <c r="I130" s="16">
        <f t="shared" si="27"/>
        <v>-3.4835580736398697E-3</v>
      </c>
    </row>
    <row r="131" spans="1:9" x14ac:dyDescent="0.25">
      <c r="A131" s="36">
        <v>45721</v>
      </c>
      <c r="B131" s="1">
        <f t="shared" si="20"/>
        <v>28</v>
      </c>
      <c r="C131" s="4">
        <f t="shared" si="21"/>
        <v>13176690</v>
      </c>
      <c r="D131" s="2">
        <f t="shared" si="22"/>
        <v>3987296.9700000007</v>
      </c>
      <c r="E131" s="19">
        <f t="shared" si="23"/>
        <v>9189393.0299999993</v>
      </c>
      <c r="F131" s="2">
        <f t="shared" si="24"/>
        <v>798602012.95000041</v>
      </c>
      <c r="G131" s="2">
        <f t="shared" si="25"/>
        <v>794614715.98000038</v>
      </c>
      <c r="H131" s="14">
        <f t="shared" si="26"/>
        <v>9189393.0257260315</v>
      </c>
      <c r="I131" s="16">
        <f t="shared" si="27"/>
        <v>-4.2739678174257278E-3</v>
      </c>
    </row>
    <row r="132" spans="1:9" x14ac:dyDescent="0.25">
      <c r="A132" s="36">
        <v>45752</v>
      </c>
      <c r="B132" s="1">
        <f t="shared" si="20"/>
        <v>31</v>
      </c>
      <c r="C132" s="4">
        <f t="shared" si="21"/>
        <v>13176690</v>
      </c>
      <c r="D132" s="2">
        <f t="shared" si="22"/>
        <v>3053516.2200000007</v>
      </c>
      <c r="E132" s="19">
        <f t="shared" si="23"/>
        <v>10123173.779999999</v>
      </c>
      <c r="F132" s="2">
        <f t="shared" si="24"/>
        <v>794614715.98000038</v>
      </c>
      <c r="G132" s="2">
        <f t="shared" si="25"/>
        <v>791561199.76000035</v>
      </c>
      <c r="H132" s="14">
        <f t="shared" si="26"/>
        <v>10123173.778923294</v>
      </c>
      <c r="I132" s="16">
        <f t="shared" si="27"/>
        <v>-1.0767057538032532E-3</v>
      </c>
    </row>
    <row r="133" spans="1:9" x14ac:dyDescent="0.25">
      <c r="A133" s="36">
        <v>45782</v>
      </c>
      <c r="B133" s="1">
        <f t="shared" si="20"/>
        <v>30</v>
      </c>
      <c r="C133" s="4">
        <f t="shared" si="21"/>
        <v>13176690</v>
      </c>
      <c r="D133" s="2">
        <f t="shared" si="22"/>
        <v>3417716.3000000007</v>
      </c>
      <c r="E133" s="19">
        <f t="shared" si="23"/>
        <v>9758973.6999999993</v>
      </c>
      <c r="F133" s="2">
        <f t="shared" si="24"/>
        <v>791561199.76000035</v>
      </c>
      <c r="G133" s="2">
        <f t="shared" si="25"/>
        <v>788143483.4600004</v>
      </c>
      <c r="H133" s="14">
        <f t="shared" si="26"/>
        <v>9758973.6956712361</v>
      </c>
      <c r="I133" s="16">
        <f t="shared" si="27"/>
        <v>-4.3287631124258041E-3</v>
      </c>
    </row>
    <row r="134" spans="1:9" x14ac:dyDescent="0.25">
      <c r="A134" s="36">
        <v>45813</v>
      </c>
      <c r="B134" s="1">
        <f t="shared" si="20"/>
        <v>31</v>
      </c>
      <c r="C134" s="4">
        <f t="shared" si="21"/>
        <v>13176690</v>
      </c>
      <c r="D134" s="2">
        <f t="shared" si="22"/>
        <v>3135957.9499999993</v>
      </c>
      <c r="E134" s="19">
        <f t="shared" si="23"/>
        <v>10040732.050000001</v>
      </c>
      <c r="F134" s="2">
        <f t="shared" si="24"/>
        <v>788143483.4600004</v>
      </c>
      <c r="G134" s="2">
        <f t="shared" si="25"/>
        <v>785007525.51000035</v>
      </c>
      <c r="H134" s="14">
        <f t="shared" si="26"/>
        <v>10040732.049558908</v>
      </c>
      <c r="I134" s="16">
        <f t="shared" si="27"/>
        <v>-4.4109299778938293E-4</v>
      </c>
    </row>
    <row r="135" spans="1:9" x14ac:dyDescent="0.25">
      <c r="A135" s="36">
        <v>45843</v>
      </c>
      <c r="B135" s="1">
        <f t="shared" ref="B135:B198" si="28">_xlfn.DAYS(A135,A134)</f>
        <v>30</v>
      </c>
      <c r="C135" s="4">
        <f t="shared" ref="C135:C198" si="29">$D$1</f>
        <v>13176690</v>
      </c>
      <c r="D135" s="2">
        <f t="shared" si="22"/>
        <v>3498515.0299999993</v>
      </c>
      <c r="E135" s="19">
        <f t="shared" si="23"/>
        <v>9678174.9700000007</v>
      </c>
      <c r="F135" s="2">
        <f t="shared" si="24"/>
        <v>785007525.51000035</v>
      </c>
      <c r="G135" s="2">
        <f t="shared" si="25"/>
        <v>781509010.48000038</v>
      </c>
      <c r="H135" s="14">
        <f t="shared" si="26"/>
        <v>9678174.9720411003</v>
      </c>
      <c r="I135" s="16">
        <f t="shared" si="27"/>
        <v>2.0410995930433273E-3</v>
      </c>
    </row>
    <row r="136" spans="1:9" x14ac:dyDescent="0.25">
      <c r="A136" s="36">
        <v>45874</v>
      </c>
      <c r="B136" s="1">
        <f t="shared" si="28"/>
        <v>31</v>
      </c>
      <c r="C136" s="4">
        <f t="shared" si="29"/>
        <v>13176690</v>
      </c>
      <c r="D136" s="2">
        <f t="shared" si="22"/>
        <v>3220479.3200000003</v>
      </c>
      <c r="E136" s="19">
        <f t="shared" si="23"/>
        <v>9956210.6799999997</v>
      </c>
      <c r="F136" s="2">
        <f t="shared" si="24"/>
        <v>781509010.48000038</v>
      </c>
      <c r="G136" s="2">
        <f t="shared" si="25"/>
        <v>778288531.16000032</v>
      </c>
      <c r="H136" s="14">
        <f t="shared" si="26"/>
        <v>9956210.68145754</v>
      </c>
      <c r="I136" s="16">
        <f t="shared" si="27"/>
        <v>1.4575403183698654E-3</v>
      </c>
    </row>
    <row r="137" spans="1:9" x14ac:dyDescent="0.25">
      <c r="A137" s="36">
        <v>45905</v>
      </c>
      <c r="B137" s="1">
        <f t="shared" si="28"/>
        <v>31</v>
      </c>
      <c r="C137" s="4">
        <f t="shared" si="29"/>
        <v>13176690</v>
      </c>
      <c r="D137" s="2">
        <f t="shared" si="22"/>
        <v>3261507.34</v>
      </c>
      <c r="E137" s="19">
        <f t="shared" si="23"/>
        <v>9915182.6600000001</v>
      </c>
      <c r="F137" s="2">
        <f t="shared" si="24"/>
        <v>778288531.16000032</v>
      </c>
      <c r="G137" s="2">
        <f t="shared" si="25"/>
        <v>775027023.82000029</v>
      </c>
      <c r="H137" s="14">
        <f t="shared" si="26"/>
        <v>9915182.6572438385</v>
      </c>
      <c r="I137" s="16">
        <f t="shared" si="27"/>
        <v>-2.7561616152524948E-3</v>
      </c>
    </row>
    <row r="138" spans="1:9" x14ac:dyDescent="0.25">
      <c r="A138" s="36">
        <v>45935</v>
      </c>
      <c r="B138" s="1">
        <f t="shared" si="28"/>
        <v>30</v>
      </c>
      <c r="C138" s="4">
        <f t="shared" si="29"/>
        <v>13176690</v>
      </c>
      <c r="D138" s="2">
        <f t="shared" si="22"/>
        <v>3621562.3100000005</v>
      </c>
      <c r="E138" s="19">
        <f t="shared" si="23"/>
        <v>9555127.6899999995</v>
      </c>
      <c r="F138" s="2">
        <f t="shared" si="24"/>
        <v>775027023.82000029</v>
      </c>
      <c r="G138" s="2">
        <f t="shared" si="25"/>
        <v>771405461.51000035</v>
      </c>
      <c r="H138" s="14">
        <f t="shared" si="26"/>
        <v>9555127.6909315102</v>
      </c>
      <c r="I138" s="16">
        <f t="shared" si="27"/>
        <v>9.3151070177555084E-4</v>
      </c>
    </row>
    <row r="139" spans="1:9" x14ac:dyDescent="0.25">
      <c r="A139" s="36">
        <v>45966</v>
      </c>
      <c r="B139" s="1">
        <f t="shared" si="28"/>
        <v>31</v>
      </c>
      <c r="C139" s="4">
        <f t="shared" si="29"/>
        <v>13176690</v>
      </c>
      <c r="D139" s="2">
        <f t="shared" ref="D139:D202" si="30">C139-E139</f>
        <v>3349195.76</v>
      </c>
      <c r="E139" s="19">
        <f t="shared" ref="E139:E202" si="31">ROUND(F139*$B$2*B139/365,2)</f>
        <v>9827494.2400000002</v>
      </c>
      <c r="F139" s="2">
        <f t="shared" ref="F139:F202" si="32">G138</f>
        <v>771405461.51000035</v>
      </c>
      <c r="G139" s="2">
        <f t="shared" ref="G139:G202" si="33">F139-D139</f>
        <v>768056265.75000036</v>
      </c>
      <c r="H139" s="14">
        <f t="shared" ref="H139:H202" si="34">F139*$B$2*B139/365</f>
        <v>9827494.2356753461</v>
      </c>
      <c r="I139" s="16">
        <f t="shared" ref="I139:I202" si="35">H139-E139</f>
        <v>-4.3246541172266006E-3</v>
      </c>
    </row>
    <row r="140" spans="1:9" x14ac:dyDescent="0.25">
      <c r="A140" s="36">
        <v>45996</v>
      </c>
      <c r="B140" s="1">
        <f t="shared" si="28"/>
        <v>30</v>
      </c>
      <c r="C140" s="4">
        <f t="shared" si="29"/>
        <v>13176690</v>
      </c>
      <c r="D140" s="2">
        <f t="shared" si="30"/>
        <v>3707503.16</v>
      </c>
      <c r="E140" s="19">
        <f t="shared" si="31"/>
        <v>9469186.8399999999</v>
      </c>
      <c r="F140" s="2">
        <f t="shared" si="32"/>
        <v>768056265.75000036</v>
      </c>
      <c r="G140" s="2">
        <f t="shared" si="33"/>
        <v>764348762.59000039</v>
      </c>
      <c r="H140" s="14">
        <f t="shared" si="34"/>
        <v>9469186.838013703</v>
      </c>
      <c r="I140" s="16">
        <f t="shared" si="35"/>
        <v>-1.9862968474626541E-3</v>
      </c>
    </row>
    <row r="141" spans="1:9" x14ac:dyDescent="0.25">
      <c r="A141" s="36">
        <v>46027</v>
      </c>
      <c r="B141" s="1">
        <f t="shared" si="28"/>
        <v>31</v>
      </c>
      <c r="C141" s="4">
        <f t="shared" si="29"/>
        <v>13176690</v>
      </c>
      <c r="D141" s="2">
        <f t="shared" si="30"/>
        <v>3439096.1799999997</v>
      </c>
      <c r="E141" s="19">
        <f t="shared" si="31"/>
        <v>9737593.8200000003</v>
      </c>
      <c r="F141" s="2">
        <f t="shared" si="32"/>
        <v>764348762.59000039</v>
      </c>
      <c r="G141" s="2">
        <f t="shared" si="33"/>
        <v>760909666.41000044</v>
      </c>
      <c r="H141" s="14">
        <f t="shared" si="34"/>
        <v>9737593.8247767165</v>
      </c>
      <c r="I141" s="16">
        <f t="shared" si="35"/>
        <v>4.7767162322998047E-3</v>
      </c>
    </row>
    <row r="142" spans="1:9" x14ac:dyDescent="0.25">
      <c r="A142" s="36">
        <v>46058</v>
      </c>
      <c r="B142" s="1">
        <f t="shared" si="28"/>
        <v>31</v>
      </c>
      <c r="C142" s="4">
        <f t="shared" si="29"/>
        <v>13176690</v>
      </c>
      <c r="D142" s="2">
        <f t="shared" si="30"/>
        <v>3482909.3200000003</v>
      </c>
      <c r="E142" s="19">
        <f t="shared" si="31"/>
        <v>9693780.6799999997</v>
      </c>
      <c r="F142" s="2">
        <f t="shared" si="32"/>
        <v>760909666.41000044</v>
      </c>
      <c r="G142" s="2">
        <f t="shared" si="33"/>
        <v>757426757.09000039</v>
      </c>
      <c r="H142" s="14">
        <f t="shared" si="34"/>
        <v>9693780.6816616487</v>
      </c>
      <c r="I142" s="16">
        <f t="shared" si="35"/>
        <v>1.6616489738225937E-3</v>
      </c>
    </row>
    <row r="143" spans="1:9" x14ac:dyDescent="0.25">
      <c r="A143" s="36">
        <v>46086</v>
      </c>
      <c r="B143" s="1">
        <f t="shared" si="28"/>
        <v>28</v>
      </c>
      <c r="C143" s="4">
        <f t="shared" si="29"/>
        <v>13176690</v>
      </c>
      <c r="D143" s="2">
        <f t="shared" si="30"/>
        <v>4461094.4399999995</v>
      </c>
      <c r="E143" s="19">
        <f t="shared" si="31"/>
        <v>8715595.5600000005</v>
      </c>
      <c r="F143" s="2">
        <f t="shared" si="32"/>
        <v>757426757.09000039</v>
      </c>
      <c r="G143" s="2">
        <f t="shared" si="33"/>
        <v>752965662.65000033</v>
      </c>
      <c r="H143" s="14">
        <f t="shared" si="34"/>
        <v>8715595.5610356219</v>
      </c>
      <c r="I143" s="16">
        <f t="shared" si="35"/>
        <v>1.035621389746666E-3</v>
      </c>
    </row>
    <row r="144" spans="1:9" x14ac:dyDescent="0.25">
      <c r="A144" s="36">
        <v>46117</v>
      </c>
      <c r="B144" s="1">
        <f t="shared" si="28"/>
        <v>31</v>
      </c>
      <c r="C144" s="4">
        <f t="shared" si="29"/>
        <v>13176690</v>
      </c>
      <c r="D144" s="2">
        <f t="shared" si="30"/>
        <v>3584113.75</v>
      </c>
      <c r="E144" s="19">
        <f t="shared" si="31"/>
        <v>9592576.25</v>
      </c>
      <c r="F144" s="2">
        <f t="shared" si="32"/>
        <v>752965662.65000033</v>
      </c>
      <c r="G144" s="2">
        <f t="shared" si="33"/>
        <v>749381548.90000033</v>
      </c>
      <c r="H144" s="14">
        <f t="shared" si="34"/>
        <v>9592576.2501986343</v>
      </c>
      <c r="I144" s="16">
        <f t="shared" si="35"/>
        <v>1.9863434135913849E-4</v>
      </c>
    </row>
    <row r="145" spans="1:9" x14ac:dyDescent="0.25">
      <c r="A145" s="36">
        <v>46147</v>
      </c>
      <c r="B145" s="1">
        <f t="shared" si="28"/>
        <v>30</v>
      </c>
      <c r="C145" s="4">
        <f t="shared" si="29"/>
        <v>13176690</v>
      </c>
      <c r="D145" s="2">
        <f t="shared" si="30"/>
        <v>3937739.4000000004</v>
      </c>
      <c r="E145" s="19">
        <f t="shared" si="31"/>
        <v>9238950.5999999996</v>
      </c>
      <c r="F145" s="2">
        <f t="shared" si="32"/>
        <v>749381548.90000033</v>
      </c>
      <c r="G145" s="2">
        <f t="shared" si="33"/>
        <v>745443809.50000036</v>
      </c>
      <c r="H145" s="14">
        <f t="shared" si="34"/>
        <v>9238950.6028767172</v>
      </c>
      <c r="I145" s="16">
        <f t="shared" si="35"/>
        <v>2.87671759724617E-3</v>
      </c>
    </row>
    <row r="146" spans="1:9" x14ac:dyDescent="0.25">
      <c r="A146" s="36">
        <v>46178</v>
      </c>
      <c r="B146" s="1">
        <f t="shared" si="28"/>
        <v>31</v>
      </c>
      <c r="C146" s="4">
        <f t="shared" si="29"/>
        <v>13176690</v>
      </c>
      <c r="D146" s="2">
        <f t="shared" si="30"/>
        <v>3679940.0999999996</v>
      </c>
      <c r="E146" s="19">
        <f t="shared" si="31"/>
        <v>9496749.9000000004</v>
      </c>
      <c r="F146" s="2">
        <f t="shared" si="32"/>
        <v>745443809.50000036</v>
      </c>
      <c r="G146" s="2">
        <f t="shared" si="33"/>
        <v>741763869.40000033</v>
      </c>
      <c r="H146" s="14">
        <f t="shared" si="34"/>
        <v>9496749.9018493202</v>
      </c>
      <c r="I146" s="16">
        <f t="shared" si="35"/>
        <v>1.8493197858333588E-3</v>
      </c>
    </row>
    <row r="147" spans="1:9" x14ac:dyDescent="0.25">
      <c r="A147" s="36">
        <v>46208</v>
      </c>
      <c r="B147" s="1">
        <f t="shared" si="28"/>
        <v>30</v>
      </c>
      <c r="C147" s="4">
        <f t="shared" si="29"/>
        <v>13176690</v>
      </c>
      <c r="D147" s="2">
        <f t="shared" si="30"/>
        <v>4031655.99</v>
      </c>
      <c r="E147" s="19">
        <f t="shared" si="31"/>
        <v>9145034.0099999998</v>
      </c>
      <c r="F147" s="2">
        <f t="shared" si="32"/>
        <v>741763869.40000033</v>
      </c>
      <c r="G147" s="2">
        <f t="shared" si="33"/>
        <v>737732213.41000032</v>
      </c>
      <c r="H147" s="14">
        <f t="shared" si="34"/>
        <v>9145034.0063013732</v>
      </c>
      <c r="I147" s="16">
        <f t="shared" si="35"/>
        <v>-3.6986265331506729E-3</v>
      </c>
    </row>
    <row r="148" spans="1:9" x14ac:dyDescent="0.25">
      <c r="A148" s="36">
        <v>46239</v>
      </c>
      <c r="B148" s="1">
        <f t="shared" si="28"/>
        <v>31</v>
      </c>
      <c r="C148" s="4">
        <f t="shared" si="29"/>
        <v>13176690</v>
      </c>
      <c r="D148" s="2">
        <f t="shared" si="30"/>
        <v>3778183.7200000007</v>
      </c>
      <c r="E148" s="19">
        <f t="shared" si="31"/>
        <v>9398506.2799999993</v>
      </c>
      <c r="F148" s="2">
        <f t="shared" si="32"/>
        <v>737732213.41000032</v>
      </c>
      <c r="G148" s="2">
        <f t="shared" si="33"/>
        <v>733954029.6900003</v>
      </c>
      <c r="H148" s="14">
        <f t="shared" si="34"/>
        <v>9398506.2804287709</v>
      </c>
      <c r="I148" s="16">
        <f t="shared" si="35"/>
        <v>4.2877160012722015E-4</v>
      </c>
    </row>
    <row r="149" spans="1:9" x14ac:dyDescent="0.25">
      <c r="A149" s="36">
        <v>46270</v>
      </c>
      <c r="B149" s="1">
        <f t="shared" si="28"/>
        <v>31</v>
      </c>
      <c r="C149" s="4">
        <f t="shared" si="29"/>
        <v>13176690</v>
      </c>
      <c r="D149" s="2">
        <f t="shared" si="30"/>
        <v>3826316.75</v>
      </c>
      <c r="E149" s="19">
        <f t="shared" si="31"/>
        <v>9350373.25</v>
      </c>
      <c r="F149" s="2">
        <f t="shared" si="32"/>
        <v>733954029.6900003</v>
      </c>
      <c r="G149" s="2">
        <f t="shared" si="33"/>
        <v>730127712.9400003</v>
      </c>
      <c r="H149" s="14">
        <f t="shared" si="34"/>
        <v>9350373.2549547981</v>
      </c>
      <c r="I149" s="16">
        <f t="shared" si="35"/>
        <v>4.9547981470823288E-3</v>
      </c>
    </row>
    <row r="150" spans="1:9" x14ac:dyDescent="0.25">
      <c r="A150" s="36">
        <v>46300</v>
      </c>
      <c r="B150" s="1">
        <f t="shared" si="28"/>
        <v>30</v>
      </c>
      <c r="C150" s="4">
        <f t="shared" si="29"/>
        <v>13176690</v>
      </c>
      <c r="D150" s="2">
        <f t="shared" si="30"/>
        <v>4175115.4600000009</v>
      </c>
      <c r="E150" s="19">
        <f t="shared" si="31"/>
        <v>9001574.5399999991</v>
      </c>
      <c r="F150" s="2">
        <f t="shared" si="32"/>
        <v>730127712.9400003</v>
      </c>
      <c r="G150" s="2">
        <f t="shared" si="33"/>
        <v>725952597.48000026</v>
      </c>
      <c r="H150" s="14">
        <f t="shared" si="34"/>
        <v>9001574.5430958942</v>
      </c>
      <c r="I150" s="16">
        <f t="shared" si="35"/>
        <v>3.0958950519561768E-3</v>
      </c>
    </row>
    <row r="151" spans="1:9" x14ac:dyDescent="0.25">
      <c r="A151" s="36">
        <v>46331</v>
      </c>
      <c r="B151" s="1">
        <f t="shared" si="28"/>
        <v>31</v>
      </c>
      <c r="C151" s="4">
        <f t="shared" si="29"/>
        <v>13176690</v>
      </c>
      <c r="D151" s="2">
        <f t="shared" si="30"/>
        <v>3928252.8000000007</v>
      </c>
      <c r="E151" s="19">
        <f t="shared" si="31"/>
        <v>9248437.1999999993</v>
      </c>
      <c r="F151" s="2">
        <f t="shared" si="32"/>
        <v>725952597.48000026</v>
      </c>
      <c r="G151" s="2">
        <f t="shared" si="33"/>
        <v>722024344.68000031</v>
      </c>
      <c r="H151" s="14">
        <f t="shared" si="34"/>
        <v>9248437.2007726058</v>
      </c>
      <c r="I151" s="16">
        <f t="shared" si="35"/>
        <v>7.7260658144950867E-4</v>
      </c>
    </row>
    <row r="152" spans="1:9" x14ac:dyDescent="0.25">
      <c r="A152" s="36">
        <v>46361</v>
      </c>
      <c r="B152" s="1">
        <f t="shared" si="28"/>
        <v>30</v>
      </c>
      <c r="C152" s="4">
        <f t="shared" si="29"/>
        <v>13176690</v>
      </c>
      <c r="D152" s="2">
        <f t="shared" si="30"/>
        <v>4275020</v>
      </c>
      <c r="E152" s="19">
        <f t="shared" si="31"/>
        <v>8901670</v>
      </c>
      <c r="F152" s="2">
        <f t="shared" si="32"/>
        <v>722024344.68000031</v>
      </c>
      <c r="G152" s="2">
        <f t="shared" si="33"/>
        <v>717749324.68000031</v>
      </c>
      <c r="H152" s="14">
        <f t="shared" si="34"/>
        <v>8901670.0029041115</v>
      </c>
      <c r="I152" s="16">
        <f t="shared" si="35"/>
        <v>2.9041115194559097E-3</v>
      </c>
    </row>
    <row r="153" spans="1:9" x14ac:dyDescent="0.25">
      <c r="A153" s="36">
        <v>46392</v>
      </c>
      <c r="B153" s="1">
        <f t="shared" si="28"/>
        <v>31</v>
      </c>
      <c r="C153" s="4">
        <f t="shared" si="29"/>
        <v>13176690</v>
      </c>
      <c r="D153" s="2">
        <f t="shared" si="30"/>
        <v>4032760.25</v>
      </c>
      <c r="E153" s="19">
        <f t="shared" si="31"/>
        <v>9143929.75</v>
      </c>
      <c r="F153" s="2">
        <f t="shared" si="32"/>
        <v>717749324.68000031</v>
      </c>
      <c r="G153" s="2">
        <f t="shared" si="33"/>
        <v>713716564.43000031</v>
      </c>
      <c r="H153" s="14">
        <f t="shared" si="34"/>
        <v>9143929.752772605</v>
      </c>
      <c r="I153" s="16">
        <f t="shared" si="35"/>
        <v>2.7726050466299057E-3</v>
      </c>
    </row>
    <row r="154" spans="1:9" x14ac:dyDescent="0.25">
      <c r="A154" s="36">
        <v>46423</v>
      </c>
      <c r="B154" s="1">
        <f t="shared" si="28"/>
        <v>31</v>
      </c>
      <c r="C154" s="4">
        <f t="shared" si="29"/>
        <v>13176690</v>
      </c>
      <c r="D154" s="2">
        <f t="shared" si="30"/>
        <v>4084136.51</v>
      </c>
      <c r="E154" s="19">
        <f t="shared" si="31"/>
        <v>9092553.4900000002</v>
      </c>
      <c r="F154" s="2">
        <f t="shared" si="32"/>
        <v>713716564.43000031</v>
      </c>
      <c r="G154" s="2">
        <f t="shared" si="33"/>
        <v>709632427.92000031</v>
      </c>
      <c r="H154" s="14">
        <f t="shared" si="34"/>
        <v>9092553.4920534287</v>
      </c>
      <c r="I154" s="16">
        <f t="shared" si="35"/>
        <v>2.053428441286087E-3</v>
      </c>
    </row>
    <row r="155" spans="1:9" x14ac:dyDescent="0.25">
      <c r="A155" s="36">
        <v>46451</v>
      </c>
      <c r="B155" s="1">
        <f t="shared" si="28"/>
        <v>28</v>
      </c>
      <c r="C155" s="4">
        <f t="shared" si="29"/>
        <v>13176690</v>
      </c>
      <c r="D155" s="2">
        <f t="shared" si="30"/>
        <v>5011056.58</v>
      </c>
      <c r="E155" s="19">
        <f t="shared" si="31"/>
        <v>8165633.4199999999</v>
      </c>
      <c r="F155" s="2">
        <f t="shared" si="32"/>
        <v>709632427.92000031</v>
      </c>
      <c r="G155" s="2">
        <f t="shared" si="33"/>
        <v>704621371.34000027</v>
      </c>
      <c r="H155" s="14">
        <f t="shared" si="34"/>
        <v>8165633.4171616463</v>
      </c>
      <c r="I155" s="16">
        <f t="shared" si="35"/>
        <v>-2.8383536264300346E-3</v>
      </c>
    </row>
    <row r="156" spans="1:9" x14ac:dyDescent="0.25">
      <c r="A156" s="36">
        <v>46482</v>
      </c>
      <c r="B156" s="1">
        <f t="shared" si="28"/>
        <v>31</v>
      </c>
      <c r="C156" s="4">
        <f t="shared" si="29"/>
        <v>13176690</v>
      </c>
      <c r="D156" s="2">
        <f t="shared" si="30"/>
        <v>4200006.7799999993</v>
      </c>
      <c r="E156" s="19">
        <f t="shared" si="31"/>
        <v>8976683.2200000007</v>
      </c>
      <c r="F156" s="2">
        <f t="shared" si="32"/>
        <v>704621371.34000027</v>
      </c>
      <c r="G156" s="2">
        <f t="shared" si="33"/>
        <v>700421364.5600003</v>
      </c>
      <c r="H156" s="14">
        <f t="shared" si="34"/>
        <v>8976683.2239205502</v>
      </c>
      <c r="I156" s="16">
        <f t="shared" si="35"/>
        <v>3.9205495268106461E-3</v>
      </c>
    </row>
    <row r="157" spans="1:9" x14ac:dyDescent="0.25">
      <c r="A157" s="36">
        <v>46512</v>
      </c>
      <c r="B157" s="1">
        <f t="shared" si="28"/>
        <v>30</v>
      </c>
      <c r="C157" s="4">
        <f t="shared" si="29"/>
        <v>13176690</v>
      </c>
      <c r="D157" s="2">
        <f t="shared" si="30"/>
        <v>4541358.1099999994</v>
      </c>
      <c r="E157" s="19">
        <f t="shared" si="31"/>
        <v>8635331.8900000006</v>
      </c>
      <c r="F157" s="2">
        <f t="shared" si="32"/>
        <v>700421364.5600003</v>
      </c>
      <c r="G157" s="2">
        <f t="shared" si="33"/>
        <v>695880006.45000029</v>
      </c>
      <c r="H157" s="14">
        <f t="shared" si="34"/>
        <v>8635331.8918356206</v>
      </c>
      <c r="I157" s="16">
        <f t="shared" si="35"/>
        <v>1.8356200307607651E-3</v>
      </c>
    </row>
    <row r="158" spans="1:9" x14ac:dyDescent="0.25">
      <c r="A158" s="36">
        <v>46543</v>
      </c>
      <c r="B158" s="1">
        <f t="shared" si="28"/>
        <v>31</v>
      </c>
      <c r="C158" s="4">
        <f t="shared" si="29"/>
        <v>13176690</v>
      </c>
      <c r="D158" s="2">
        <f t="shared" si="30"/>
        <v>4311369.3699999992</v>
      </c>
      <c r="E158" s="19">
        <f t="shared" si="31"/>
        <v>8865320.6300000008</v>
      </c>
      <c r="F158" s="2">
        <f t="shared" si="32"/>
        <v>695880006.45000029</v>
      </c>
      <c r="G158" s="2">
        <f t="shared" si="33"/>
        <v>691568637.08000028</v>
      </c>
      <c r="H158" s="14">
        <f t="shared" si="34"/>
        <v>8865320.6301164422</v>
      </c>
      <c r="I158" s="16">
        <f t="shared" si="35"/>
        <v>1.1644139885902405E-4</v>
      </c>
    </row>
    <row r="159" spans="1:9" x14ac:dyDescent="0.25">
      <c r="A159" s="36">
        <v>46573</v>
      </c>
      <c r="B159" s="1">
        <f t="shared" si="28"/>
        <v>30</v>
      </c>
      <c r="C159" s="4">
        <f t="shared" si="29"/>
        <v>13176690</v>
      </c>
      <c r="D159" s="2">
        <f t="shared" si="30"/>
        <v>4650501.32</v>
      </c>
      <c r="E159" s="19">
        <f t="shared" si="31"/>
        <v>8526188.6799999997</v>
      </c>
      <c r="F159" s="2">
        <f t="shared" si="32"/>
        <v>691568637.08000028</v>
      </c>
      <c r="G159" s="2">
        <f t="shared" si="33"/>
        <v>686918135.76000023</v>
      </c>
      <c r="H159" s="14">
        <f t="shared" si="34"/>
        <v>8526188.6763287708</v>
      </c>
      <c r="I159" s="16">
        <f t="shared" si="35"/>
        <v>-3.6712288856506348E-3</v>
      </c>
    </row>
    <row r="160" spans="1:9" x14ac:dyDescent="0.25">
      <c r="A160" s="36">
        <v>46604</v>
      </c>
      <c r="B160" s="1">
        <f t="shared" si="28"/>
        <v>31</v>
      </c>
      <c r="C160" s="4">
        <f t="shared" si="29"/>
        <v>13176690</v>
      </c>
      <c r="D160" s="2">
        <f t="shared" si="30"/>
        <v>4425541.1500000004</v>
      </c>
      <c r="E160" s="19">
        <f t="shared" si="31"/>
        <v>8751148.8499999996</v>
      </c>
      <c r="F160" s="2">
        <f t="shared" si="32"/>
        <v>686918135.76000023</v>
      </c>
      <c r="G160" s="2">
        <f t="shared" si="33"/>
        <v>682492594.61000025</v>
      </c>
      <c r="H160" s="14">
        <f t="shared" si="34"/>
        <v>8751148.8528328799</v>
      </c>
      <c r="I160" s="16">
        <f t="shared" si="35"/>
        <v>2.8328802436590195E-3</v>
      </c>
    </row>
    <row r="161" spans="1:9" x14ac:dyDescent="0.25">
      <c r="A161" s="36">
        <v>46635</v>
      </c>
      <c r="B161" s="1">
        <f t="shared" si="28"/>
        <v>31</v>
      </c>
      <c r="C161" s="4">
        <f t="shared" si="29"/>
        <v>13176690</v>
      </c>
      <c r="D161" s="2">
        <f t="shared" si="30"/>
        <v>4481921.33</v>
      </c>
      <c r="E161" s="19">
        <f t="shared" si="31"/>
        <v>8694768.6699999999</v>
      </c>
      <c r="F161" s="2">
        <f t="shared" si="32"/>
        <v>682492594.61000025</v>
      </c>
      <c r="G161" s="2">
        <f t="shared" si="33"/>
        <v>678010673.28000021</v>
      </c>
      <c r="H161" s="14">
        <f t="shared" si="34"/>
        <v>8694768.6710589062</v>
      </c>
      <c r="I161" s="16">
        <f t="shared" si="35"/>
        <v>1.0589063167572021E-3</v>
      </c>
    </row>
    <row r="162" spans="1:9" x14ac:dyDescent="0.25">
      <c r="A162" s="36">
        <v>46665</v>
      </c>
      <c r="B162" s="1">
        <f t="shared" si="28"/>
        <v>30</v>
      </c>
      <c r="C162" s="4">
        <f t="shared" si="29"/>
        <v>13176690</v>
      </c>
      <c r="D162" s="2">
        <f t="shared" si="30"/>
        <v>4817654.3</v>
      </c>
      <c r="E162" s="19">
        <f t="shared" si="31"/>
        <v>8359035.7000000002</v>
      </c>
      <c r="F162" s="2">
        <f t="shared" si="32"/>
        <v>678010673.28000021</v>
      </c>
      <c r="G162" s="2">
        <f t="shared" si="33"/>
        <v>673193018.98000026</v>
      </c>
      <c r="H162" s="14">
        <f t="shared" si="34"/>
        <v>8359035.697972605</v>
      </c>
      <c r="I162" s="16">
        <f t="shared" si="35"/>
        <v>-2.0273951813578606E-3</v>
      </c>
    </row>
    <row r="163" spans="1:9" x14ac:dyDescent="0.25">
      <c r="A163" s="36">
        <v>46696</v>
      </c>
      <c r="B163" s="1">
        <f t="shared" si="28"/>
        <v>31</v>
      </c>
      <c r="C163" s="4">
        <f t="shared" si="29"/>
        <v>13176690</v>
      </c>
      <c r="D163" s="2">
        <f t="shared" si="30"/>
        <v>4600395.3699999992</v>
      </c>
      <c r="E163" s="19">
        <f t="shared" si="31"/>
        <v>8576294.6300000008</v>
      </c>
      <c r="F163" s="2">
        <f t="shared" si="32"/>
        <v>673193018.98000026</v>
      </c>
      <c r="G163" s="2">
        <f t="shared" si="33"/>
        <v>668592623.61000025</v>
      </c>
      <c r="H163" s="14">
        <f t="shared" si="34"/>
        <v>8576294.6253616456</v>
      </c>
      <c r="I163" s="16">
        <f t="shared" si="35"/>
        <v>-4.6383552253246307E-3</v>
      </c>
    </row>
    <row r="164" spans="1:9" x14ac:dyDescent="0.25">
      <c r="A164" s="36">
        <v>46726</v>
      </c>
      <c r="B164" s="1">
        <f t="shared" si="28"/>
        <v>30</v>
      </c>
      <c r="C164" s="4">
        <f t="shared" si="29"/>
        <v>13176690</v>
      </c>
      <c r="D164" s="2">
        <f t="shared" si="30"/>
        <v>4933767.24</v>
      </c>
      <c r="E164" s="19">
        <f t="shared" si="31"/>
        <v>8242922.7599999998</v>
      </c>
      <c r="F164" s="2">
        <f t="shared" si="32"/>
        <v>668592623.61000025</v>
      </c>
      <c r="G164" s="2">
        <f t="shared" si="33"/>
        <v>663658856.37000024</v>
      </c>
      <c r="H164" s="14">
        <f t="shared" si="34"/>
        <v>8242922.756835619</v>
      </c>
      <c r="I164" s="16">
        <f t="shared" si="35"/>
        <v>-3.1643807888031006E-3</v>
      </c>
    </row>
    <row r="165" spans="1:9" x14ac:dyDescent="0.25">
      <c r="A165" s="36">
        <v>46757</v>
      </c>
      <c r="B165" s="1">
        <f t="shared" si="28"/>
        <v>31</v>
      </c>
      <c r="C165" s="4">
        <f t="shared" si="29"/>
        <v>13176690</v>
      </c>
      <c r="D165" s="2">
        <f t="shared" si="30"/>
        <v>4721857.99</v>
      </c>
      <c r="E165" s="19">
        <f t="shared" si="31"/>
        <v>8454832.0099999998</v>
      </c>
      <c r="F165" s="2">
        <f t="shared" si="32"/>
        <v>663658856.37000024</v>
      </c>
      <c r="G165" s="2">
        <f t="shared" si="33"/>
        <v>658936998.38000023</v>
      </c>
      <c r="H165" s="14">
        <f t="shared" si="34"/>
        <v>8454832.0058095921</v>
      </c>
      <c r="I165" s="16">
        <f t="shared" si="35"/>
        <v>-4.1904076933860779E-3</v>
      </c>
    </row>
    <row r="166" spans="1:9" x14ac:dyDescent="0.25">
      <c r="A166" s="36">
        <v>46788</v>
      </c>
      <c r="B166" s="1">
        <f t="shared" si="28"/>
        <v>31</v>
      </c>
      <c r="C166" s="4">
        <f t="shared" si="29"/>
        <v>13176690</v>
      </c>
      <c r="D166" s="2">
        <f t="shared" si="30"/>
        <v>4782013.17</v>
      </c>
      <c r="E166" s="19">
        <f t="shared" si="31"/>
        <v>8394676.8300000001</v>
      </c>
      <c r="F166" s="2">
        <f t="shared" si="32"/>
        <v>658936998.38000023</v>
      </c>
      <c r="G166" s="2">
        <f t="shared" si="33"/>
        <v>654154985.21000028</v>
      </c>
      <c r="H166" s="14">
        <f t="shared" si="34"/>
        <v>8394676.8286767155</v>
      </c>
      <c r="I166" s="16">
        <f t="shared" si="35"/>
        <v>-1.3232845813035965E-3</v>
      </c>
    </row>
    <row r="167" spans="1:9" x14ac:dyDescent="0.25">
      <c r="A167" s="36">
        <v>46817</v>
      </c>
      <c r="B167" s="1">
        <f t="shared" si="28"/>
        <v>29</v>
      </c>
      <c r="C167" s="4">
        <f t="shared" si="29"/>
        <v>13176690</v>
      </c>
      <c r="D167" s="2">
        <f t="shared" si="30"/>
        <v>5380596.3399999999</v>
      </c>
      <c r="E167" s="19">
        <f t="shared" si="31"/>
        <v>7796093.6600000001</v>
      </c>
      <c r="F167" s="2">
        <f t="shared" si="32"/>
        <v>654154985.21000028</v>
      </c>
      <c r="G167" s="2">
        <f t="shared" si="33"/>
        <v>648774388.87000024</v>
      </c>
      <c r="H167" s="14">
        <f t="shared" si="34"/>
        <v>7796093.6593520585</v>
      </c>
      <c r="I167" s="16">
        <f t="shared" si="35"/>
        <v>-6.4794160425662994E-4</v>
      </c>
    </row>
    <row r="168" spans="1:9" x14ac:dyDescent="0.25">
      <c r="A168" s="36">
        <v>46848</v>
      </c>
      <c r="B168" s="1">
        <f t="shared" si="28"/>
        <v>31</v>
      </c>
      <c r="C168" s="4">
        <f t="shared" si="29"/>
        <v>13176690</v>
      </c>
      <c r="D168" s="2">
        <f t="shared" si="30"/>
        <v>4911482.03</v>
      </c>
      <c r="E168" s="19">
        <f t="shared" si="31"/>
        <v>8265207.9699999997</v>
      </c>
      <c r="F168" s="2">
        <f t="shared" si="32"/>
        <v>648774388.87000024</v>
      </c>
      <c r="G168" s="2">
        <f t="shared" si="33"/>
        <v>643862906.84000027</v>
      </c>
      <c r="H168" s="14">
        <f t="shared" si="34"/>
        <v>8265207.9677958935</v>
      </c>
      <c r="I168" s="16">
        <f t="shared" si="35"/>
        <v>-2.2041061893105507E-3</v>
      </c>
    </row>
    <row r="169" spans="1:9" x14ac:dyDescent="0.25">
      <c r="A169" s="36">
        <v>46878</v>
      </c>
      <c r="B169" s="1">
        <f t="shared" si="28"/>
        <v>30</v>
      </c>
      <c r="C169" s="4">
        <f t="shared" si="29"/>
        <v>13176690</v>
      </c>
      <c r="D169" s="2">
        <f t="shared" si="30"/>
        <v>5238654.16</v>
      </c>
      <c r="E169" s="19">
        <f t="shared" si="31"/>
        <v>7938035.8399999999</v>
      </c>
      <c r="F169" s="2">
        <f t="shared" si="32"/>
        <v>643862906.84000027</v>
      </c>
      <c r="G169" s="2">
        <f t="shared" si="33"/>
        <v>638624252.68000031</v>
      </c>
      <c r="H169" s="14">
        <f t="shared" si="34"/>
        <v>7938035.8377534281</v>
      </c>
      <c r="I169" s="16">
        <f t="shared" si="35"/>
        <v>-2.2465717047452927E-3</v>
      </c>
    </row>
    <row r="170" spans="1:9" x14ac:dyDescent="0.25">
      <c r="A170" s="36">
        <v>46909</v>
      </c>
      <c r="B170" s="1">
        <f t="shared" si="28"/>
        <v>31</v>
      </c>
      <c r="C170" s="4">
        <f t="shared" si="29"/>
        <v>13176690</v>
      </c>
      <c r="D170" s="2">
        <f t="shared" si="30"/>
        <v>5040791.99</v>
      </c>
      <c r="E170" s="19">
        <f t="shared" si="31"/>
        <v>8135898.0099999998</v>
      </c>
      <c r="F170" s="2">
        <f t="shared" si="32"/>
        <v>638624252.68000031</v>
      </c>
      <c r="G170" s="2">
        <f t="shared" si="33"/>
        <v>633583460.6900003</v>
      </c>
      <c r="H170" s="14">
        <f t="shared" si="34"/>
        <v>8135898.013594524</v>
      </c>
      <c r="I170" s="16">
        <f t="shared" si="35"/>
        <v>3.5945242270827293E-3</v>
      </c>
    </row>
    <row r="171" spans="1:9" x14ac:dyDescent="0.25">
      <c r="A171" s="36">
        <v>46939</v>
      </c>
      <c r="B171" s="1">
        <f t="shared" si="28"/>
        <v>30</v>
      </c>
      <c r="C171" s="4">
        <f t="shared" si="29"/>
        <v>13176690</v>
      </c>
      <c r="D171" s="2">
        <f t="shared" si="30"/>
        <v>5365387.0599999996</v>
      </c>
      <c r="E171" s="19">
        <f t="shared" si="31"/>
        <v>7811302.9400000004</v>
      </c>
      <c r="F171" s="2">
        <f t="shared" si="32"/>
        <v>633583460.6900003</v>
      </c>
      <c r="G171" s="2">
        <f t="shared" si="33"/>
        <v>628218073.63000035</v>
      </c>
      <c r="H171" s="14">
        <f t="shared" si="34"/>
        <v>7811302.9400137011</v>
      </c>
      <c r="I171" s="16">
        <f t="shared" si="35"/>
        <v>1.3700686395168304E-5</v>
      </c>
    </row>
    <row r="172" spans="1:9" x14ac:dyDescent="0.25">
      <c r="A172" s="36">
        <v>46970</v>
      </c>
      <c r="B172" s="1">
        <f t="shared" si="28"/>
        <v>31</v>
      </c>
      <c r="C172" s="4">
        <f t="shared" si="29"/>
        <v>13176690</v>
      </c>
      <c r="D172" s="2">
        <f t="shared" si="30"/>
        <v>5173363.8600000003</v>
      </c>
      <c r="E172" s="19">
        <f t="shared" si="31"/>
        <v>8003326.1399999997</v>
      </c>
      <c r="F172" s="2">
        <f t="shared" si="32"/>
        <v>628218073.63000035</v>
      </c>
      <c r="G172" s="2">
        <f t="shared" si="33"/>
        <v>623044709.77000034</v>
      </c>
      <c r="H172" s="14">
        <f t="shared" si="34"/>
        <v>8003326.1435054848</v>
      </c>
      <c r="I172" s="16">
        <f t="shared" si="35"/>
        <v>3.5054851323366165E-3</v>
      </c>
    </row>
    <row r="173" spans="1:9" x14ac:dyDescent="0.25">
      <c r="A173" s="36">
        <v>47001</v>
      </c>
      <c r="B173" s="1">
        <f t="shared" si="28"/>
        <v>31</v>
      </c>
      <c r="C173" s="4">
        <f t="shared" si="29"/>
        <v>13176690</v>
      </c>
      <c r="D173" s="2">
        <f t="shared" si="30"/>
        <v>5239271.09</v>
      </c>
      <c r="E173" s="19">
        <f t="shared" si="31"/>
        <v>7937418.9100000001</v>
      </c>
      <c r="F173" s="2">
        <f t="shared" si="32"/>
        <v>623044709.77000034</v>
      </c>
      <c r="G173" s="2">
        <f t="shared" si="33"/>
        <v>617805438.68000031</v>
      </c>
      <c r="H173" s="14">
        <f t="shared" si="34"/>
        <v>7937418.9052890455</v>
      </c>
      <c r="I173" s="16">
        <f t="shared" si="35"/>
        <v>-4.7109546139836311E-3</v>
      </c>
    </row>
    <row r="174" spans="1:9" x14ac:dyDescent="0.25">
      <c r="A174" s="36">
        <v>47031</v>
      </c>
      <c r="B174" s="1">
        <f t="shared" si="28"/>
        <v>30</v>
      </c>
      <c r="C174" s="4">
        <f t="shared" si="29"/>
        <v>13176690</v>
      </c>
      <c r="D174" s="2">
        <f t="shared" si="30"/>
        <v>5559910.6200000001</v>
      </c>
      <c r="E174" s="19">
        <f t="shared" si="31"/>
        <v>7616779.3799999999</v>
      </c>
      <c r="F174" s="2">
        <f t="shared" si="32"/>
        <v>617805438.68000031</v>
      </c>
      <c r="G174" s="2">
        <f t="shared" si="33"/>
        <v>612245528.0600003</v>
      </c>
      <c r="H174" s="14">
        <f t="shared" si="34"/>
        <v>7616779.380986305</v>
      </c>
      <c r="I174" s="16">
        <f t="shared" si="35"/>
        <v>9.8630506545305252E-4</v>
      </c>
    </row>
    <row r="175" spans="1:9" x14ac:dyDescent="0.25">
      <c r="A175" s="36">
        <v>47062</v>
      </c>
      <c r="B175" s="1">
        <f t="shared" si="28"/>
        <v>31</v>
      </c>
      <c r="C175" s="4">
        <f t="shared" si="29"/>
        <v>13176690</v>
      </c>
      <c r="D175" s="2">
        <f t="shared" si="30"/>
        <v>5376849.71</v>
      </c>
      <c r="E175" s="19">
        <f t="shared" si="31"/>
        <v>7799840.29</v>
      </c>
      <c r="F175" s="2">
        <f t="shared" si="32"/>
        <v>612245528.0600003</v>
      </c>
      <c r="G175" s="2">
        <f t="shared" si="33"/>
        <v>606868678.35000026</v>
      </c>
      <c r="H175" s="14">
        <f t="shared" si="34"/>
        <v>7799840.2889835648</v>
      </c>
      <c r="I175" s="16">
        <f t="shared" si="35"/>
        <v>-1.0164352133870125E-3</v>
      </c>
    </row>
    <row r="176" spans="1:9" x14ac:dyDescent="0.25">
      <c r="A176" s="36">
        <v>47092</v>
      </c>
      <c r="B176" s="1">
        <f t="shared" si="28"/>
        <v>30</v>
      </c>
      <c r="C176" s="4">
        <f t="shared" si="29"/>
        <v>13176690</v>
      </c>
      <c r="D176" s="2">
        <f t="shared" si="30"/>
        <v>5694747.3899999997</v>
      </c>
      <c r="E176" s="19">
        <f t="shared" si="31"/>
        <v>7481942.6100000003</v>
      </c>
      <c r="F176" s="2">
        <f t="shared" si="32"/>
        <v>606868678.35000026</v>
      </c>
      <c r="G176" s="2">
        <f t="shared" si="33"/>
        <v>601173930.96000028</v>
      </c>
      <c r="H176" s="14">
        <f t="shared" si="34"/>
        <v>7481942.6097945236</v>
      </c>
      <c r="I176" s="16">
        <f t="shared" si="35"/>
        <v>-2.0547676831483841E-4</v>
      </c>
    </row>
    <row r="177" spans="1:9" x14ac:dyDescent="0.25">
      <c r="A177" s="36">
        <v>47123</v>
      </c>
      <c r="B177" s="1">
        <f t="shared" si="28"/>
        <v>31</v>
      </c>
      <c r="C177" s="4">
        <f t="shared" si="29"/>
        <v>13176690</v>
      </c>
      <c r="D177" s="2">
        <f t="shared" si="30"/>
        <v>5517898.8200000003</v>
      </c>
      <c r="E177" s="19">
        <f t="shared" si="31"/>
        <v>7658791.1799999997</v>
      </c>
      <c r="F177" s="2">
        <f t="shared" si="32"/>
        <v>601173930.96000028</v>
      </c>
      <c r="G177" s="2">
        <f t="shared" si="33"/>
        <v>595656032.14000022</v>
      </c>
      <c r="H177" s="14">
        <f t="shared" si="34"/>
        <v>7658791.1752438387</v>
      </c>
      <c r="I177" s="16">
        <f t="shared" si="35"/>
        <v>-4.7561610117554665E-3</v>
      </c>
    </row>
    <row r="178" spans="1:9" x14ac:dyDescent="0.25">
      <c r="A178" s="36">
        <v>47154</v>
      </c>
      <c r="B178" s="1">
        <f t="shared" si="28"/>
        <v>31</v>
      </c>
      <c r="C178" s="4">
        <f t="shared" si="29"/>
        <v>13176690</v>
      </c>
      <c r="D178" s="2">
        <f t="shared" si="30"/>
        <v>5588195.3399999999</v>
      </c>
      <c r="E178" s="19">
        <f t="shared" si="31"/>
        <v>7588494.6600000001</v>
      </c>
      <c r="F178" s="2">
        <f t="shared" si="32"/>
        <v>595656032.14000022</v>
      </c>
      <c r="G178" s="2">
        <f t="shared" si="33"/>
        <v>590067836.80000019</v>
      </c>
      <c r="H178" s="14">
        <f t="shared" si="34"/>
        <v>7588494.656030139</v>
      </c>
      <c r="I178" s="16">
        <f t="shared" si="35"/>
        <v>-3.9698611944913864E-3</v>
      </c>
    </row>
    <row r="179" spans="1:9" x14ac:dyDescent="0.25">
      <c r="A179" s="36">
        <v>47182</v>
      </c>
      <c r="B179" s="1">
        <f t="shared" si="28"/>
        <v>28</v>
      </c>
      <c r="C179" s="4">
        <f t="shared" si="29"/>
        <v>13176690</v>
      </c>
      <c r="D179" s="2">
        <f t="shared" si="30"/>
        <v>6386868.3200000003</v>
      </c>
      <c r="E179" s="19">
        <f t="shared" si="31"/>
        <v>6789821.6799999997</v>
      </c>
      <c r="F179" s="2">
        <f t="shared" si="32"/>
        <v>590067836.80000019</v>
      </c>
      <c r="G179" s="2">
        <f t="shared" si="33"/>
        <v>583680968.48000014</v>
      </c>
      <c r="H179" s="14">
        <f t="shared" si="34"/>
        <v>6789821.6837260295</v>
      </c>
      <c r="I179" s="16">
        <f t="shared" si="35"/>
        <v>3.7260297685861588E-3</v>
      </c>
    </row>
    <row r="180" spans="1:9" x14ac:dyDescent="0.25">
      <c r="A180" s="36">
        <v>47213</v>
      </c>
      <c r="B180" s="1">
        <f t="shared" si="28"/>
        <v>31</v>
      </c>
      <c r="C180" s="4">
        <f t="shared" si="29"/>
        <v>13176690</v>
      </c>
      <c r="D180" s="2">
        <f t="shared" si="30"/>
        <v>5740754.3700000001</v>
      </c>
      <c r="E180" s="19">
        <f t="shared" si="31"/>
        <v>7435935.6299999999</v>
      </c>
      <c r="F180" s="2">
        <f t="shared" si="32"/>
        <v>583680968.48000014</v>
      </c>
      <c r="G180" s="2">
        <f t="shared" si="33"/>
        <v>577940214.11000013</v>
      </c>
      <c r="H180" s="14">
        <f t="shared" si="34"/>
        <v>7435935.6258410979</v>
      </c>
      <c r="I180" s="16">
        <f t="shared" si="35"/>
        <v>-4.1589019820094109E-3</v>
      </c>
    </row>
    <row r="181" spans="1:9" x14ac:dyDescent="0.25">
      <c r="A181" s="36">
        <v>47243</v>
      </c>
      <c r="B181" s="1">
        <f t="shared" si="28"/>
        <v>30</v>
      </c>
      <c r="C181" s="4">
        <f t="shared" si="29"/>
        <v>13176690</v>
      </c>
      <c r="D181" s="2">
        <f t="shared" si="30"/>
        <v>6051399.6900000004</v>
      </c>
      <c r="E181" s="19">
        <f t="shared" si="31"/>
        <v>7125290.3099999996</v>
      </c>
      <c r="F181" s="2">
        <f t="shared" si="32"/>
        <v>577940214.11000013</v>
      </c>
      <c r="G181" s="2">
        <f t="shared" si="33"/>
        <v>571888814.42000008</v>
      </c>
      <c r="H181" s="14">
        <f t="shared" si="34"/>
        <v>7125290.3109452082</v>
      </c>
      <c r="I181" s="16">
        <f t="shared" si="35"/>
        <v>9.452085942029953E-4</v>
      </c>
    </row>
    <row r="182" spans="1:9" x14ac:dyDescent="0.25">
      <c r="A182" s="36">
        <v>47274</v>
      </c>
      <c r="B182" s="1">
        <f t="shared" si="28"/>
        <v>31</v>
      </c>
      <c r="C182" s="4">
        <f t="shared" si="29"/>
        <v>13176690</v>
      </c>
      <c r="D182" s="2">
        <f t="shared" si="30"/>
        <v>5890983.1900000004</v>
      </c>
      <c r="E182" s="19">
        <f t="shared" si="31"/>
        <v>7285706.8099999996</v>
      </c>
      <c r="F182" s="2">
        <f t="shared" si="32"/>
        <v>571888814.42000008</v>
      </c>
      <c r="G182" s="2">
        <f t="shared" si="33"/>
        <v>565997831.23000002</v>
      </c>
      <c r="H182" s="14">
        <f t="shared" si="34"/>
        <v>7285706.8138438351</v>
      </c>
      <c r="I182" s="16">
        <f t="shared" si="35"/>
        <v>3.8438355550169945E-3</v>
      </c>
    </row>
    <row r="183" spans="1:9" x14ac:dyDescent="0.25">
      <c r="A183" s="36">
        <v>47304</v>
      </c>
      <c r="B183" s="1">
        <f t="shared" si="28"/>
        <v>30</v>
      </c>
      <c r="C183" s="4">
        <f t="shared" si="29"/>
        <v>13176690</v>
      </c>
      <c r="D183" s="2">
        <f t="shared" si="30"/>
        <v>6198634.5499999998</v>
      </c>
      <c r="E183" s="19">
        <f t="shared" si="31"/>
        <v>6978055.4500000002</v>
      </c>
      <c r="F183" s="2">
        <f t="shared" si="32"/>
        <v>565997831.23000002</v>
      </c>
      <c r="G183" s="2">
        <f t="shared" si="33"/>
        <v>559799196.68000007</v>
      </c>
      <c r="H183" s="14">
        <f t="shared" si="34"/>
        <v>6978055.4535205476</v>
      </c>
      <c r="I183" s="16">
        <f t="shared" si="35"/>
        <v>3.5205474123358727E-3</v>
      </c>
    </row>
    <row r="184" spans="1:9" x14ac:dyDescent="0.25">
      <c r="A184" s="36">
        <v>47335</v>
      </c>
      <c r="B184" s="1">
        <f t="shared" si="28"/>
        <v>31</v>
      </c>
      <c r="C184" s="4">
        <f t="shared" si="29"/>
        <v>13176690</v>
      </c>
      <c r="D184" s="2">
        <f t="shared" si="30"/>
        <v>6045001.5999999996</v>
      </c>
      <c r="E184" s="19">
        <f t="shared" si="31"/>
        <v>7131688.4000000004</v>
      </c>
      <c r="F184" s="2">
        <f t="shared" si="32"/>
        <v>559799196.68000007</v>
      </c>
      <c r="G184" s="2">
        <f t="shared" si="33"/>
        <v>553754195.08000004</v>
      </c>
      <c r="H184" s="14">
        <f t="shared" si="34"/>
        <v>7131688.3960602749</v>
      </c>
      <c r="I184" s="16">
        <f t="shared" si="35"/>
        <v>-3.9397254586219788E-3</v>
      </c>
    </row>
    <row r="185" spans="1:9" x14ac:dyDescent="0.25">
      <c r="A185" s="36">
        <v>47366</v>
      </c>
      <c r="B185" s="1">
        <f t="shared" si="28"/>
        <v>31</v>
      </c>
      <c r="C185" s="4">
        <f t="shared" si="29"/>
        <v>13176690</v>
      </c>
      <c r="D185" s="2">
        <f t="shared" si="30"/>
        <v>6122013.2699999996</v>
      </c>
      <c r="E185" s="19">
        <f t="shared" si="31"/>
        <v>7054676.7300000004</v>
      </c>
      <c r="F185" s="2">
        <f t="shared" si="32"/>
        <v>553754195.08000004</v>
      </c>
      <c r="G185" s="2">
        <f t="shared" si="33"/>
        <v>547632181.81000006</v>
      </c>
      <c r="H185" s="14">
        <f t="shared" si="34"/>
        <v>7054676.7318410967</v>
      </c>
      <c r="I185" s="16">
        <f t="shared" si="35"/>
        <v>1.8410962074995041E-3</v>
      </c>
    </row>
    <row r="186" spans="1:9" x14ac:dyDescent="0.25">
      <c r="A186" s="36">
        <v>47396</v>
      </c>
      <c r="B186" s="1">
        <f t="shared" si="28"/>
        <v>30</v>
      </c>
      <c r="C186" s="4">
        <f t="shared" si="29"/>
        <v>13176690</v>
      </c>
      <c r="D186" s="2">
        <f t="shared" si="30"/>
        <v>6425060.3600000003</v>
      </c>
      <c r="E186" s="19">
        <f t="shared" si="31"/>
        <v>6751629.6399999997</v>
      </c>
      <c r="F186" s="2">
        <f t="shared" si="32"/>
        <v>547632181.81000006</v>
      </c>
      <c r="G186" s="2">
        <f t="shared" si="33"/>
        <v>541207121.45000005</v>
      </c>
      <c r="H186" s="14">
        <f t="shared" si="34"/>
        <v>6751629.6387534244</v>
      </c>
      <c r="I186" s="16">
        <f t="shared" si="35"/>
        <v>-1.246575266122818E-3</v>
      </c>
    </row>
    <row r="187" spans="1:9" x14ac:dyDescent="0.25">
      <c r="A187" s="36">
        <v>47427</v>
      </c>
      <c r="B187" s="1">
        <f t="shared" si="28"/>
        <v>31</v>
      </c>
      <c r="C187" s="4">
        <f t="shared" si="29"/>
        <v>13176690</v>
      </c>
      <c r="D187" s="2">
        <f t="shared" si="30"/>
        <v>6281859.5499999998</v>
      </c>
      <c r="E187" s="19">
        <f t="shared" si="31"/>
        <v>6894830.4500000002</v>
      </c>
      <c r="F187" s="2">
        <f t="shared" si="32"/>
        <v>541207121.45000005</v>
      </c>
      <c r="G187" s="2">
        <f t="shared" si="33"/>
        <v>534925261.90000004</v>
      </c>
      <c r="H187" s="14">
        <f t="shared" si="34"/>
        <v>6894830.4513493143</v>
      </c>
      <c r="I187" s="16">
        <f t="shared" si="35"/>
        <v>1.3493141159415245E-3</v>
      </c>
    </row>
    <row r="188" spans="1:9" x14ac:dyDescent="0.25">
      <c r="A188" s="36">
        <v>47457</v>
      </c>
      <c r="B188" s="1">
        <f t="shared" si="28"/>
        <v>30</v>
      </c>
      <c r="C188" s="4">
        <f t="shared" si="29"/>
        <v>13176690</v>
      </c>
      <c r="D188" s="2">
        <f t="shared" si="30"/>
        <v>6581721.0199999996</v>
      </c>
      <c r="E188" s="19">
        <f t="shared" si="31"/>
        <v>6594968.9800000004</v>
      </c>
      <c r="F188" s="2">
        <f t="shared" si="32"/>
        <v>534925261.90000004</v>
      </c>
      <c r="G188" s="2">
        <f t="shared" si="33"/>
        <v>528343540.88000005</v>
      </c>
      <c r="H188" s="14">
        <f t="shared" si="34"/>
        <v>6594968.982328766</v>
      </c>
      <c r="I188" s="16">
        <f t="shared" si="35"/>
        <v>2.3287655785679817E-3</v>
      </c>
    </row>
    <row r="189" spans="1:9" x14ac:dyDescent="0.25">
      <c r="A189" s="36">
        <v>47488</v>
      </c>
      <c r="B189" s="1">
        <f t="shared" si="28"/>
        <v>31</v>
      </c>
      <c r="C189" s="4">
        <f t="shared" si="29"/>
        <v>13176690</v>
      </c>
      <c r="D189" s="2">
        <f t="shared" si="30"/>
        <v>6445738.04</v>
      </c>
      <c r="E189" s="19">
        <f t="shared" si="31"/>
        <v>6730951.96</v>
      </c>
      <c r="F189" s="2">
        <f t="shared" si="32"/>
        <v>528343540.88000005</v>
      </c>
      <c r="G189" s="2">
        <f t="shared" si="33"/>
        <v>521897802.84000003</v>
      </c>
      <c r="H189" s="14">
        <f t="shared" si="34"/>
        <v>6730951.959156164</v>
      </c>
      <c r="I189" s="16">
        <f t="shared" si="35"/>
        <v>-8.4383599460124969E-4</v>
      </c>
    </row>
    <row r="190" spans="1:9" x14ac:dyDescent="0.25">
      <c r="A190" s="36">
        <v>47519</v>
      </c>
      <c r="B190" s="1">
        <f t="shared" si="28"/>
        <v>31</v>
      </c>
      <c r="C190" s="4">
        <f t="shared" si="29"/>
        <v>13176690</v>
      </c>
      <c r="D190" s="2">
        <f t="shared" si="30"/>
        <v>6527854.9800000004</v>
      </c>
      <c r="E190" s="19">
        <f t="shared" si="31"/>
        <v>6648835.0199999996</v>
      </c>
      <c r="F190" s="2">
        <f t="shared" si="32"/>
        <v>521897802.84000003</v>
      </c>
      <c r="G190" s="2">
        <f t="shared" si="33"/>
        <v>515369947.86000001</v>
      </c>
      <c r="H190" s="14">
        <f t="shared" si="34"/>
        <v>6648835.0224821912</v>
      </c>
      <c r="I190" s="16">
        <f t="shared" si="35"/>
        <v>2.4821916595101357E-3</v>
      </c>
    </row>
    <row r="191" spans="1:9" x14ac:dyDescent="0.25">
      <c r="A191" s="36">
        <v>47547</v>
      </c>
      <c r="B191" s="1">
        <f t="shared" si="28"/>
        <v>28</v>
      </c>
      <c r="C191" s="4">
        <f t="shared" si="29"/>
        <v>13176690</v>
      </c>
      <c r="D191" s="2">
        <f t="shared" si="30"/>
        <v>7246405.6699999999</v>
      </c>
      <c r="E191" s="19">
        <f t="shared" si="31"/>
        <v>5930284.3300000001</v>
      </c>
      <c r="F191" s="2">
        <f t="shared" si="32"/>
        <v>515369947.86000001</v>
      </c>
      <c r="G191" s="2">
        <f t="shared" si="33"/>
        <v>508123542.19</v>
      </c>
      <c r="H191" s="14">
        <f t="shared" si="34"/>
        <v>5930284.3315397259</v>
      </c>
      <c r="I191" s="16">
        <f t="shared" si="35"/>
        <v>1.5397258102893829E-3</v>
      </c>
    </row>
    <row r="192" spans="1:9" x14ac:dyDescent="0.25">
      <c r="A192" s="36">
        <v>47578</v>
      </c>
      <c r="B192" s="1">
        <f t="shared" si="28"/>
        <v>31</v>
      </c>
      <c r="C192" s="4">
        <f t="shared" si="29"/>
        <v>13176690</v>
      </c>
      <c r="D192" s="2">
        <f t="shared" si="30"/>
        <v>6703335.2800000003</v>
      </c>
      <c r="E192" s="19">
        <f t="shared" si="31"/>
        <v>6473354.7199999997</v>
      </c>
      <c r="F192" s="2">
        <f t="shared" si="32"/>
        <v>508123542.19</v>
      </c>
      <c r="G192" s="2">
        <f t="shared" si="33"/>
        <v>501420206.91000003</v>
      </c>
      <c r="H192" s="14">
        <f t="shared" si="34"/>
        <v>6473354.715571234</v>
      </c>
      <c r="I192" s="16">
        <f t="shared" si="35"/>
        <v>-4.4287657365202904E-3</v>
      </c>
    </row>
    <row r="193" spans="1:9" x14ac:dyDescent="0.25">
      <c r="A193" s="36">
        <v>47608</v>
      </c>
      <c r="B193" s="1">
        <f t="shared" si="28"/>
        <v>30</v>
      </c>
      <c r="C193" s="4">
        <f t="shared" si="29"/>
        <v>13176690</v>
      </c>
      <c r="D193" s="2">
        <f t="shared" si="30"/>
        <v>6994797.04</v>
      </c>
      <c r="E193" s="19">
        <f t="shared" si="31"/>
        <v>6181892.96</v>
      </c>
      <c r="F193" s="2">
        <f t="shared" si="32"/>
        <v>501420206.91000003</v>
      </c>
      <c r="G193" s="2">
        <f t="shared" si="33"/>
        <v>494425409.87</v>
      </c>
      <c r="H193" s="14">
        <f t="shared" si="34"/>
        <v>6181892.9619041104</v>
      </c>
      <c r="I193" s="16">
        <f t="shared" si="35"/>
        <v>1.904110424220562E-3</v>
      </c>
    </row>
    <row r="194" spans="1:9" x14ac:dyDescent="0.25">
      <c r="A194" s="36">
        <v>47639</v>
      </c>
      <c r="B194" s="1">
        <f t="shared" si="28"/>
        <v>31</v>
      </c>
      <c r="C194" s="4">
        <f t="shared" si="29"/>
        <v>13176690</v>
      </c>
      <c r="D194" s="2">
        <f t="shared" si="30"/>
        <v>6877845.7400000002</v>
      </c>
      <c r="E194" s="19">
        <f t="shared" si="31"/>
        <v>6298844.2599999998</v>
      </c>
      <c r="F194" s="2">
        <f t="shared" si="32"/>
        <v>494425409.87</v>
      </c>
      <c r="G194" s="2">
        <f t="shared" si="33"/>
        <v>487547564.13</v>
      </c>
      <c r="H194" s="14">
        <f t="shared" si="34"/>
        <v>6298844.2627273966</v>
      </c>
      <c r="I194" s="16">
        <f t="shared" si="35"/>
        <v>2.7273967862129211E-3</v>
      </c>
    </row>
    <row r="195" spans="1:9" x14ac:dyDescent="0.25">
      <c r="A195" s="36">
        <v>47669</v>
      </c>
      <c r="B195" s="1">
        <f t="shared" si="28"/>
        <v>30</v>
      </c>
      <c r="C195" s="4">
        <f t="shared" si="29"/>
        <v>13176690</v>
      </c>
      <c r="D195" s="2">
        <f t="shared" si="30"/>
        <v>7165829.6200000001</v>
      </c>
      <c r="E195" s="19">
        <f t="shared" si="31"/>
        <v>6010860.3799999999</v>
      </c>
      <c r="F195" s="2">
        <f t="shared" si="32"/>
        <v>487547564.13</v>
      </c>
      <c r="G195" s="2">
        <f t="shared" si="33"/>
        <v>480381734.50999999</v>
      </c>
      <c r="H195" s="14">
        <f t="shared" si="34"/>
        <v>6010860.3796849316</v>
      </c>
      <c r="I195" s="16">
        <f t="shared" si="35"/>
        <v>-3.1506828963756561E-4</v>
      </c>
    </row>
    <row r="196" spans="1:9" x14ac:dyDescent="0.25">
      <c r="A196" s="36">
        <v>47700</v>
      </c>
      <c r="B196" s="1">
        <f t="shared" si="28"/>
        <v>31</v>
      </c>
      <c r="C196" s="4">
        <f t="shared" si="29"/>
        <v>13176690</v>
      </c>
      <c r="D196" s="2">
        <f t="shared" si="30"/>
        <v>7056758.3099999996</v>
      </c>
      <c r="E196" s="19">
        <f t="shared" si="31"/>
        <v>6119931.6900000004</v>
      </c>
      <c r="F196" s="2">
        <f t="shared" si="32"/>
        <v>480381734.50999999</v>
      </c>
      <c r="G196" s="2">
        <f t="shared" si="33"/>
        <v>473324976.19999999</v>
      </c>
      <c r="H196" s="14">
        <f t="shared" si="34"/>
        <v>6119931.6862232871</v>
      </c>
      <c r="I196" s="16">
        <f t="shared" si="35"/>
        <v>-3.7767132744193077E-3</v>
      </c>
    </row>
    <row r="197" spans="1:9" x14ac:dyDescent="0.25">
      <c r="A197" s="36">
        <v>47731</v>
      </c>
      <c r="B197" s="1">
        <f t="shared" si="28"/>
        <v>31</v>
      </c>
      <c r="C197" s="4">
        <f t="shared" si="29"/>
        <v>13176690</v>
      </c>
      <c r="D197" s="2">
        <f t="shared" si="30"/>
        <v>7146659.4800000004</v>
      </c>
      <c r="E197" s="19">
        <f t="shared" si="31"/>
        <v>6030030.5199999996</v>
      </c>
      <c r="F197" s="2">
        <f t="shared" si="32"/>
        <v>473324976.19999999</v>
      </c>
      <c r="G197" s="2">
        <f t="shared" si="33"/>
        <v>466178316.71999997</v>
      </c>
      <c r="H197" s="14">
        <f t="shared" si="34"/>
        <v>6030030.5187123287</v>
      </c>
      <c r="I197" s="16">
        <f t="shared" si="35"/>
        <v>-1.2876708060503006E-3</v>
      </c>
    </row>
    <row r="198" spans="1:9" x14ac:dyDescent="0.25">
      <c r="A198" s="36">
        <v>47761</v>
      </c>
      <c r="B198" s="1">
        <f t="shared" si="28"/>
        <v>30</v>
      </c>
      <c r="C198" s="4">
        <f t="shared" si="29"/>
        <v>13176690</v>
      </c>
      <c r="D198" s="2">
        <f t="shared" si="30"/>
        <v>7429286.0999999996</v>
      </c>
      <c r="E198" s="19">
        <f t="shared" si="31"/>
        <v>5747403.9000000004</v>
      </c>
      <c r="F198" s="2">
        <f t="shared" si="32"/>
        <v>466178316.71999997</v>
      </c>
      <c r="G198" s="2">
        <f t="shared" si="33"/>
        <v>458749030.61999995</v>
      </c>
      <c r="H198" s="14">
        <f t="shared" si="34"/>
        <v>5747403.9047671221</v>
      </c>
      <c r="I198" s="16">
        <f t="shared" si="35"/>
        <v>4.767121747136116E-3</v>
      </c>
    </row>
    <row r="199" spans="1:9" x14ac:dyDescent="0.25">
      <c r="A199" s="36">
        <v>47792</v>
      </c>
      <c r="B199" s="1">
        <f t="shared" ref="B199:B262" si="36">_xlfn.DAYS(A199,A198)</f>
        <v>31</v>
      </c>
      <c r="C199" s="4">
        <f t="shared" ref="C199:C245" si="37">$D$1</f>
        <v>13176690</v>
      </c>
      <c r="D199" s="2">
        <f t="shared" si="30"/>
        <v>7332353.0300000003</v>
      </c>
      <c r="E199" s="19">
        <f t="shared" si="31"/>
        <v>5844336.9699999997</v>
      </c>
      <c r="F199" s="2">
        <f t="shared" si="32"/>
        <v>458749030.61999995</v>
      </c>
      <c r="G199" s="2">
        <f t="shared" si="33"/>
        <v>451416677.58999997</v>
      </c>
      <c r="H199" s="14">
        <f t="shared" si="34"/>
        <v>5844336.9654328767</v>
      </c>
      <c r="I199" s="16">
        <f t="shared" si="35"/>
        <v>-4.5671230182051659E-3</v>
      </c>
    </row>
    <row r="200" spans="1:9" x14ac:dyDescent="0.25">
      <c r="A200" s="36">
        <v>47822</v>
      </c>
      <c r="B200" s="1">
        <f t="shared" si="36"/>
        <v>30</v>
      </c>
      <c r="C200" s="4">
        <f t="shared" si="37"/>
        <v>13176690</v>
      </c>
      <c r="D200" s="2">
        <f t="shared" si="30"/>
        <v>7611278.9100000001</v>
      </c>
      <c r="E200" s="19">
        <f t="shared" si="31"/>
        <v>5565411.0899999999</v>
      </c>
      <c r="F200" s="2">
        <f t="shared" si="32"/>
        <v>451416677.58999997</v>
      </c>
      <c r="G200" s="2">
        <f t="shared" si="33"/>
        <v>443805398.67999995</v>
      </c>
      <c r="H200" s="14">
        <f t="shared" si="34"/>
        <v>5565411.0935753416</v>
      </c>
      <c r="I200" s="16">
        <f t="shared" si="35"/>
        <v>3.5753417760133743E-3</v>
      </c>
    </row>
    <row r="201" spans="1:9" x14ac:dyDescent="0.25">
      <c r="A201" s="36">
        <v>47853</v>
      </c>
      <c r="B201" s="1">
        <f t="shared" si="36"/>
        <v>31</v>
      </c>
      <c r="C201" s="4">
        <f t="shared" si="37"/>
        <v>13176690</v>
      </c>
      <c r="D201" s="2">
        <f t="shared" si="30"/>
        <v>7522730.8099999996</v>
      </c>
      <c r="E201" s="19">
        <f t="shared" si="31"/>
        <v>5653959.1900000004</v>
      </c>
      <c r="F201" s="2">
        <f t="shared" si="32"/>
        <v>443805398.67999995</v>
      </c>
      <c r="G201" s="2">
        <f t="shared" si="33"/>
        <v>436282667.86999995</v>
      </c>
      <c r="H201" s="14">
        <f t="shared" si="34"/>
        <v>5653959.1886630123</v>
      </c>
      <c r="I201" s="16">
        <f t="shared" si="35"/>
        <v>-1.3369880616664886E-3</v>
      </c>
    </row>
    <row r="202" spans="1:9" x14ac:dyDescent="0.25">
      <c r="A202" s="36">
        <v>47884</v>
      </c>
      <c r="B202" s="1">
        <f t="shared" si="36"/>
        <v>31</v>
      </c>
      <c r="C202" s="4">
        <f t="shared" si="37"/>
        <v>13176690</v>
      </c>
      <c r="D202" s="2">
        <f t="shared" si="30"/>
        <v>7618568.3399999999</v>
      </c>
      <c r="E202" s="19">
        <f t="shared" si="31"/>
        <v>5558121.6600000001</v>
      </c>
      <c r="F202" s="2">
        <f t="shared" si="32"/>
        <v>436282667.86999995</v>
      </c>
      <c r="G202" s="2">
        <f t="shared" si="33"/>
        <v>428664099.52999997</v>
      </c>
      <c r="H202" s="14">
        <f t="shared" si="34"/>
        <v>5558121.6591657521</v>
      </c>
      <c r="I202" s="16">
        <f t="shared" si="35"/>
        <v>-8.3424802869558334E-4</v>
      </c>
    </row>
    <row r="203" spans="1:9" x14ac:dyDescent="0.25">
      <c r="A203" s="36">
        <v>47912</v>
      </c>
      <c r="B203" s="1">
        <f t="shared" si="36"/>
        <v>28</v>
      </c>
      <c r="C203" s="4">
        <f t="shared" si="37"/>
        <v>13176690</v>
      </c>
      <c r="D203" s="2">
        <f t="shared" ref="D203:D266" si="38">C203-E203</f>
        <v>8244116.7999999998</v>
      </c>
      <c r="E203" s="19">
        <f t="shared" ref="E203:E243" si="39">ROUND(F203*$B$2*B203/365,2)</f>
        <v>4932573.2</v>
      </c>
      <c r="F203" s="2">
        <f t="shared" ref="F203:F266" si="40">G202</f>
        <v>428664099.52999997</v>
      </c>
      <c r="G203" s="2">
        <f t="shared" ref="G203:G266" si="41">F203-D203</f>
        <v>420419982.72999996</v>
      </c>
      <c r="H203" s="14">
        <f t="shared" ref="H203:H266" si="42">F203*$B$2*B203/365</f>
        <v>4932573.2000712324</v>
      </c>
      <c r="I203" s="16">
        <f t="shared" ref="I203:I266" si="43">H203-E203</f>
        <v>7.1232207119464874E-5</v>
      </c>
    </row>
    <row r="204" spans="1:9" x14ac:dyDescent="0.25">
      <c r="A204" s="36">
        <v>47943</v>
      </c>
      <c r="B204" s="1">
        <f t="shared" si="36"/>
        <v>31</v>
      </c>
      <c r="C204" s="4">
        <f t="shared" si="37"/>
        <v>13176690</v>
      </c>
      <c r="D204" s="2">
        <f t="shared" si="38"/>
        <v>7820654.5999999996</v>
      </c>
      <c r="E204" s="19">
        <f t="shared" si="39"/>
        <v>5356035.4000000004</v>
      </c>
      <c r="F204" s="2">
        <f t="shared" si="40"/>
        <v>420419982.72999996</v>
      </c>
      <c r="G204" s="2">
        <f t="shared" si="41"/>
        <v>412599328.12999994</v>
      </c>
      <c r="H204" s="14">
        <f t="shared" si="42"/>
        <v>5356035.3964232868</v>
      </c>
      <c r="I204" s="16">
        <f t="shared" si="43"/>
        <v>-3.5767136141657829E-3</v>
      </c>
    </row>
    <row r="205" spans="1:9" x14ac:dyDescent="0.25">
      <c r="A205" s="36">
        <v>47973</v>
      </c>
      <c r="B205" s="1">
        <f t="shared" si="36"/>
        <v>30</v>
      </c>
      <c r="C205" s="4">
        <f t="shared" si="37"/>
        <v>13176690</v>
      </c>
      <c r="D205" s="2">
        <f t="shared" si="38"/>
        <v>8089848.9699999997</v>
      </c>
      <c r="E205" s="19">
        <f t="shared" si="39"/>
        <v>5086841.03</v>
      </c>
      <c r="F205" s="2">
        <f t="shared" si="40"/>
        <v>412599328.12999994</v>
      </c>
      <c r="G205" s="2">
        <f t="shared" si="41"/>
        <v>404509479.15999991</v>
      </c>
      <c r="H205" s="14">
        <f t="shared" si="42"/>
        <v>5086841.0317397257</v>
      </c>
      <c r="I205" s="16">
        <f t="shared" si="43"/>
        <v>1.7397254705429077E-3</v>
      </c>
    </row>
    <row r="206" spans="1:9" x14ac:dyDescent="0.25">
      <c r="A206" s="36">
        <v>48004</v>
      </c>
      <c r="B206" s="1">
        <f t="shared" si="36"/>
        <v>31</v>
      </c>
      <c r="C206" s="4">
        <f t="shared" si="37"/>
        <v>13176690</v>
      </c>
      <c r="D206" s="2">
        <f t="shared" si="38"/>
        <v>8023350.0599999996</v>
      </c>
      <c r="E206" s="19">
        <f t="shared" si="39"/>
        <v>5153339.9400000004</v>
      </c>
      <c r="F206" s="2">
        <f t="shared" si="40"/>
        <v>404509479.15999991</v>
      </c>
      <c r="G206" s="2">
        <f t="shared" si="41"/>
        <v>396486129.0999999</v>
      </c>
      <c r="H206" s="14">
        <f t="shared" si="42"/>
        <v>5153339.9399835598</v>
      </c>
      <c r="I206" s="16">
        <f t="shared" si="43"/>
        <v>-1.6440637409687042E-5</v>
      </c>
    </row>
    <row r="207" spans="1:9" x14ac:dyDescent="0.25">
      <c r="A207" s="36">
        <v>48034</v>
      </c>
      <c r="B207" s="1">
        <f t="shared" si="36"/>
        <v>30</v>
      </c>
      <c r="C207" s="4">
        <f t="shared" si="37"/>
        <v>13176690</v>
      </c>
      <c r="D207" s="2">
        <f t="shared" si="38"/>
        <v>8288504.8499999996</v>
      </c>
      <c r="E207" s="19">
        <f t="shared" si="39"/>
        <v>4888185.1500000004</v>
      </c>
      <c r="F207" s="2">
        <f t="shared" si="40"/>
        <v>396486129.0999999</v>
      </c>
      <c r="G207" s="2">
        <f t="shared" si="41"/>
        <v>388197624.24999988</v>
      </c>
      <c r="H207" s="14">
        <f t="shared" si="42"/>
        <v>4888185.1532876696</v>
      </c>
      <c r="I207" s="16">
        <f t="shared" si="43"/>
        <v>3.2876692712306976E-3</v>
      </c>
    </row>
    <row r="208" spans="1:9" x14ac:dyDescent="0.25">
      <c r="A208" s="36">
        <v>48065</v>
      </c>
      <c r="B208" s="1">
        <f t="shared" si="36"/>
        <v>31</v>
      </c>
      <c r="C208" s="4">
        <f t="shared" si="37"/>
        <v>13176690</v>
      </c>
      <c r="D208" s="2">
        <f t="shared" si="38"/>
        <v>8231158.6200000001</v>
      </c>
      <c r="E208" s="19">
        <f t="shared" si="39"/>
        <v>4945531.38</v>
      </c>
      <c r="F208" s="2">
        <f t="shared" si="40"/>
        <v>388197624.24999988</v>
      </c>
      <c r="G208" s="2">
        <f t="shared" si="41"/>
        <v>379966465.62999988</v>
      </c>
      <c r="H208" s="14">
        <f t="shared" si="42"/>
        <v>4945531.3774315054</v>
      </c>
      <c r="I208" s="16">
        <f t="shared" si="43"/>
        <v>-2.5684945285320282E-3</v>
      </c>
    </row>
    <row r="209" spans="1:9" x14ac:dyDescent="0.25">
      <c r="A209" s="36">
        <v>48096</v>
      </c>
      <c r="B209" s="1">
        <f t="shared" si="36"/>
        <v>31</v>
      </c>
      <c r="C209" s="4">
        <f t="shared" si="37"/>
        <v>13176690</v>
      </c>
      <c r="D209" s="2">
        <f t="shared" si="38"/>
        <v>8336021.3300000001</v>
      </c>
      <c r="E209" s="19">
        <f t="shared" si="39"/>
        <v>4840668.67</v>
      </c>
      <c r="F209" s="2">
        <f t="shared" si="40"/>
        <v>379966465.62999988</v>
      </c>
      <c r="G209" s="2">
        <f t="shared" si="41"/>
        <v>371630444.29999989</v>
      </c>
      <c r="H209" s="14">
        <f t="shared" si="42"/>
        <v>4840668.6717246557</v>
      </c>
      <c r="I209" s="16">
        <f t="shared" si="43"/>
        <v>1.7246557399630547E-3</v>
      </c>
    </row>
    <row r="210" spans="1:9" x14ac:dyDescent="0.25">
      <c r="A210" s="36">
        <v>48126</v>
      </c>
      <c r="B210" s="1">
        <f t="shared" si="36"/>
        <v>30</v>
      </c>
      <c r="C210" s="4">
        <f t="shared" si="37"/>
        <v>13176690</v>
      </c>
      <c r="D210" s="2">
        <f t="shared" si="38"/>
        <v>8594944.8000000007</v>
      </c>
      <c r="E210" s="19">
        <f t="shared" si="39"/>
        <v>4581745.2</v>
      </c>
      <c r="F210" s="2">
        <f t="shared" si="40"/>
        <v>371630444.29999989</v>
      </c>
      <c r="G210" s="2">
        <f t="shared" si="41"/>
        <v>363035499.49999988</v>
      </c>
      <c r="H210" s="14">
        <f t="shared" si="42"/>
        <v>4581745.2036986286</v>
      </c>
      <c r="I210" s="16">
        <f t="shared" si="43"/>
        <v>3.6986283957958221E-3</v>
      </c>
    </row>
    <row r="211" spans="1:9" x14ac:dyDescent="0.25">
      <c r="A211" s="36">
        <v>48157</v>
      </c>
      <c r="B211" s="1">
        <f t="shared" si="36"/>
        <v>31</v>
      </c>
      <c r="C211" s="4">
        <f t="shared" si="37"/>
        <v>13176690</v>
      </c>
      <c r="D211" s="2">
        <f t="shared" si="38"/>
        <v>8551717.1999999993</v>
      </c>
      <c r="E211" s="19">
        <f t="shared" si="39"/>
        <v>4624972.8</v>
      </c>
      <c r="F211" s="2">
        <f t="shared" si="40"/>
        <v>363035499.49999988</v>
      </c>
      <c r="G211" s="2">
        <f t="shared" si="41"/>
        <v>354483782.29999989</v>
      </c>
      <c r="H211" s="14">
        <f t="shared" si="42"/>
        <v>4624972.801849314</v>
      </c>
      <c r="I211" s="16">
        <f t="shared" si="43"/>
        <v>1.8493141978979111E-3</v>
      </c>
    </row>
    <row r="212" spans="1:9" x14ac:dyDescent="0.25">
      <c r="A212" s="36">
        <v>48187</v>
      </c>
      <c r="B212" s="1">
        <f t="shared" si="36"/>
        <v>30</v>
      </c>
      <c r="C212" s="4">
        <f t="shared" si="37"/>
        <v>13176690</v>
      </c>
      <c r="D212" s="2">
        <f t="shared" si="38"/>
        <v>8806342</v>
      </c>
      <c r="E212" s="19">
        <f t="shared" si="39"/>
        <v>4370348</v>
      </c>
      <c r="F212" s="2">
        <f t="shared" si="40"/>
        <v>354483782.29999989</v>
      </c>
      <c r="G212" s="2">
        <f t="shared" si="41"/>
        <v>345677440.29999989</v>
      </c>
      <c r="H212" s="14">
        <f t="shared" si="42"/>
        <v>4370348.0009589028</v>
      </c>
      <c r="I212" s="16">
        <f t="shared" si="43"/>
        <v>9.589027613401413E-4</v>
      </c>
    </row>
    <row r="213" spans="1:9" x14ac:dyDescent="0.25">
      <c r="A213" s="36">
        <v>48218</v>
      </c>
      <c r="B213" s="1">
        <f t="shared" si="36"/>
        <v>31</v>
      </c>
      <c r="C213" s="4">
        <f t="shared" si="37"/>
        <v>13176690</v>
      </c>
      <c r="D213" s="2">
        <f t="shared" si="38"/>
        <v>8772854.120000001</v>
      </c>
      <c r="E213" s="19">
        <f t="shared" si="39"/>
        <v>4403835.88</v>
      </c>
      <c r="F213" s="2">
        <f t="shared" si="40"/>
        <v>345677440.29999989</v>
      </c>
      <c r="G213" s="2">
        <f t="shared" si="41"/>
        <v>336904586.17999989</v>
      </c>
      <c r="H213" s="14">
        <f t="shared" si="42"/>
        <v>4403835.8832739703</v>
      </c>
      <c r="I213" s="16">
        <f t="shared" si="43"/>
        <v>3.2739704474806786E-3</v>
      </c>
    </row>
    <row r="214" spans="1:9" x14ac:dyDescent="0.25">
      <c r="A214" s="36">
        <v>48249</v>
      </c>
      <c r="B214" s="1">
        <f t="shared" si="36"/>
        <v>31</v>
      </c>
      <c r="C214" s="4">
        <f t="shared" si="37"/>
        <v>13176690</v>
      </c>
      <c r="D214" s="2">
        <f t="shared" si="38"/>
        <v>8884617.870000001</v>
      </c>
      <c r="E214" s="19">
        <f t="shared" si="39"/>
        <v>4292072.13</v>
      </c>
      <c r="F214" s="2">
        <f t="shared" si="40"/>
        <v>336904586.17999989</v>
      </c>
      <c r="G214" s="2">
        <f t="shared" si="41"/>
        <v>328019968.30999988</v>
      </c>
      <c r="H214" s="14">
        <f t="shared" si="42"/>
        <v>4292072.1253068475</v>
      </c>
      <c r="I214" s="16">
        <f t="shared" si="43"/>
        <v>-4.6931523829698563E-3</v>
      </c>
    </row>
    <row r="215" spans="1:9" x14ac:dyDescent="0.25">
      <c r="A215" s="36">
        <v>48278</v>
      </c>
      <c r="B215" s="1">
        <f t="shared" si="36"/>
        <v>29</v>
      </c>
      <c r="C215" s="4">
        <f t="shared" si="37"/>
        <v>13176690</v>
      </c>
      <c r="D215" s="2">
        <f t="shared" si="38"/>
        <v>9267410.9299999997</v>
      </c>
      <c r="E215" s="19">
        <f t="shared" si="39"/>
        <v>3909279.07</v>
      </c>
      <c r="F215" s="2">
        <f t="shared" si="40"/>
        <v>328019968.30999988</v>
      </c>
      <c r="G215" s="2">
        <f t="shared" si="41"/>
        <v>318752557.37999988</v>
      </c>
      <c r="H215" s="14">
        <f t="shared" si="42"/>
        <v>3909279.0743794502</v>
      </c>
      <c r="I215" s="16">
        <f t="shared" si="43"/>
        <v>4.3794503435492516E-3</v>
      </c>
    </row>
    <row r="216" spans="1:9" x14ac:dyDescent="0.25">
      <c r="A216" s="36">
        <v>48309</v>
      </c>
      <c r="B216" s="1">
        <f t="shared" si="36"/>
        <v>31</v>
      </c>
      <c r="C216" s="4">
        <f t="shared" si="37"/>
        <v>13176690</v>
      </c>
      <c r="D216" s="2">
        <f t="shared" si="38"/>
        <v>9115869.75</v>
      </c>
      <c r="E216" s="19">
        <f t="shared" si="39"/>
        <v>4060820.25</v>
      </c>
      <c r="F216" s="2">
        <f t="shared" si="40"/>
        <v>318752557.37999988</v>
      </c>
      <c r="G216" s="2">
        <f t="shared" si="41"/>
        <v>309636687.62999988</v>
      </c>
      <c r="H216" s="14">
        <f t="shared" si="42"/>
        <v>4060820.2515534232</v>
      </c>
      <c r="I216" s="16">
        <f t="shared" si="43"/>
        <v>1.5534232370555401E-3</v>
      </c>
    </row>
    <row r="217" spans="1:9" x14ac:dyDescent="0.25">
      <c r="A217" s="36">
        <v>48339</v>
      </c>
      <c r="B217" s="1">
        <f t="shared" si="36"/>
        <v>30</v>
      </c>
      <c r="C217" s="4">
        <f t="shared" si="37"/>
        <v>13176690</v>
      </c>
      <c r="D217" s="2">
        <f t="shared" si="38"/>
        <v>9359251.3900000006</v>
      </c>
      <c r="E217" s="19">
        <f t="shared" si="39"/>
        <v>3817438.61</v>
      </c>
      <c r="F217" s="2">
        <f t="shared" si="40"/>
        <v>309636687.62999988</v>
      </c>
      <c r="G217" s="2">
        <f t="shared" si="41"/>
        <v>300277436.23999989</v>
      </c>
      <c r="H217" s="14">
        <f t="shared" si="42"/>
        <v>3817438.6146164364</v>
      </c>
      <c r="I217" s="16">
        <f t="shared" si="43"/>
        <v>4.6164365485310555E-3</v>
      </c>
    </row>
    <row r="218" spans="1:9" x14ac:dyDescent="0.25">
      <c r="A218" s="36">
        <v>48370</v>
      </c>
      <c r="B218" s="1">
        <f t="shared" si="36"/>
        <v>31</v>
      </c>
      <c r="C218" s="4">
        <f t="shared" si="37"/>
        <v>13176690</v>
      </c>
      <c r="D218" s="2">
        <f t="shared" si="38"/>
        <v>9351237.7300000004</v>
      </c>
      <c r="E218" s="19">
        <f t="shared" si="39"/>
        <v>3825452.27</v>
      </c>
      <c r="F218" s="2">
        <f t="shared" si="40"/>
        <v>300277436.23999989</v>
      </c>
      <c r="G218" s="2">
        <f t="shared" si="41"/>
        <v>290926198.50999987</v>
      </c>
      <c r="H218" s="14">
        <f t="shared" si="42"/>
        <v>3825452.2699068482</v>
      </c>
      <c r="I218" s="16">
        <f t="shared" si="43"/>
        <v>-9.3151815235614777E-5</v>
      </c>
    </row>
    <row r="219" spans="1:9" x14ac:dyDescent="0.25">
      <c r="A219" s="36">
        <v>48400</v>
      </c>
      <c r="B219" s="1">
        <f t="shared" si="36"/>
        <v>30</v>
      </c>
      <c r="C219" s="4">
        <f t="shared" si="37"/>
        <v>13176690</v>
      </c>
      <c r="D219" s="2">
        <f t="shared" si="38"/>
        <v>9589928.6500000004</v>
      </c>
      <c r="E219" s="19">
        <f t="shared" si="39"/>
        <v>3586761.35</v>
      </c>
      <c r="F219" s="2">
        <f t="shared" si="40"/>
        <v>290926198.50999987</v>
      </c>
      <c r="G219" s="2">
        <f t="shared" si="41"/>
        <v>281336269.8599999</v>
      </c>
      <c r="H219" s="14">
        <f t="shared" si="42"/>
        <v>3586761.3514931491</v>
      </c>
      <c r="I219" s="16">
        <f t="shared" si="43"/>
        <v>1.4931489713490009E-3</v>
      </c>
    </row>
    <row r="220" spans="1:9" x14ac:dyDescent="0.25">
      <c r="A220" s="36">
        <v>48431</v>
      </c>
      <c r="B220" s="1">
        <f t="shared" si="36"/>
        <v>31</v>
      </c>
      <c r="C220" s="4">
        <f t="shared" si="37"/>
        <v>13176690</v>
      </c>
      <c r="D220" s="2">
        <f t="shared" si="38"/>
        <v>9592543</v>
      </c>
      <c r="E220" s="19">
        <f t="shared" si="39"/>
        <v>3584147</v>
      </c>
      <c r="F220" s="2">
        <f t="shared" si="40"/>
        <v>281336269.8599999</v>
      </c>
      <c r="G220" s="2">
        <f t="shared" si="41"/>
        <v>271743726.8599999</v>
      </c>
      <c r="H220" s="14">
        <f t="shared" si="42"/>
        <v>3584146.9995862995</v>
      </c>
      <c r="I220" s="16">
        <f t="shared" si="43"/>
        <v>-4.1370047256350517E-4</v>
      </c>
    </row>
    <row r="221" spans="1:9" x14ac:dyDescent="0.25">
      <c r="A221" s="36">
        <v>48462</v>
      </c>
      <c r="B221" s="1">
        <f t="shared" si="36"/>
        <v>31</v>
      </c>
      <c r="C221" s="4">
        <f t="shared" si="37"/>
        <v>13176690</v>
      </c>
      <c r="D221" s="2">
        <f t="shared" si="38"/>
        <v>9714749.370000001</v>
      </c>
      <c r="E221" s="19">
        <f t="shared" si="39"/>
        <v>3461940.63</v>
      </c>
      <c r="F221" s="2">
        <f t="shared" si="40"/>
        <v>271743726.8599999</v>
      </c>
      <c r="G221" s="2">
        <f t="shared" si="41"/>
        <v>262028977.48999989</v>
      </c>
      <c r="H221" s="14">
        <f t="shared" si="42"/>
        <v>3461940.6298602726</v>
      </c>
      <c r="I221" s="16">
        <f t="shared" si="43"/>
        <v>-1.3972725719213486E-4</v>
      </c>
    </row>
    <row r="222" spans="1:9" x14ac:dyDescent="0.25">
      <c r="A222" s="36">
        <v>48492</v>
      </c>
      <c r="B222" s="1">
        <f t="shared" si="36"/>
        <v>30</v>
      </c>
      <c r="C222" s="4">
        <f t="shared" si="37"/>
        <v>13176690</v>
      </c>
      <c r="D222" s="2">
        <f t="shared" si="38"/>
        <v>9946195.7599999998</v>
      </c>
      <c r="E222" s="19">
        <f t="shared" si="39"/>
        <v>3230494.24</v>
      </c>
      <c r="F222" s="2">
        <f t="shared" si="40"/>
        <v>262028977.48999989</v>
      </c>
      <c r="G222" s="2">
        <f t="shared" si="41"/>
        <v>252082781.7299999</v>
      </c>
      <c r="H222" s="14">
        <f t="shared" si="42"/>
        <v>3230494.2430273956</v>
      </c>
      <c r="I222" s="16">
        <f t="shared" si="43"/>
        <v>3.0273953452706337E-3</v>
      </c>
    </row>
    <row r="223" spans="1:9" x14ac:dyDescent="0.25">
      <c r="A223" s="36">
        <v>48523</v>
      </c>
      <c r="B223" s="1">
        <f t="shared" si="36"/>
        <v>31</v>
      </c>
      <c r="C223" s="4">
        <f t="shared" si="37"/>
        <v>13176690</v>
      </c>
      <c r="D223" s="2">
        <f t="shared" si="38"/>
        <v>9965224.4199999999</v>
      </c>
      <c r="E223" s="19">
        <f t="shared" si="39"/>
        <v>3211465.58</v>
      </c>
      <c r="F223" s="2">
        <f t="shared" si="40"/>
        <v>252082781.7299999</v>
      </c>
      <c r="G223" s="2">
        <f t="shared" si="41"/>
        <v>242117557.30999991</v>
      </c>
      <c r="H223" s="14">
        <f t="shared" si="42"/>
        <v>3211465.5754643818</v>
      </c>
      <c r="I223" s="16">
        <f t="shared" si="43"/>
        <v>-4.5356182381510735E-3</v>
      </c>
    </row>
    <row r="224" spans="1:9" x14ac:dyDescent="0.25">
      <c r="A224" s="36">
        <v>48553</v>
      </c>
      <c r="B224" s="1">
        <f t="shared" si="36"/>
        <v>30</v>
      </c>
      <c r="C224" s="4">
        <f t="shared" si="37"/>
        <v>13176690</v>
      </c>
      <c r="D224" s="2">
        <f t="shared" si="38"/>
        <v>10191679.02</v>
      </c>
      <c r="E224" s="19">
        <f t="shared" si="39"/>
        <v>2985010.98</v>
      </c>
      <c r="F224" s="2">
        <f t="shared" si="40"/>
        <v>242117557.30999991</v>
      </c>
      <c r="G224" s="2">
        <f t="shared" si="41"/>
        <v>231925878.2899999</v>
      </c>
      <c r="H224" s="14">
        <f t="shared" si="42"/>
        <v>2985010.9805342453</v>
      </c>
      <c r="I224" s="16">
        <f t="shared" si="43"/>
        <v>5.3424527868628502E-4</v>
      </c>
    </row>
    <row r="225" spans="1:9" x14ac:dyDescent="0.25">
      <c r="A225" s="36">
        <v>48584</v>
      </c>
      <c r="B225" s="1">
        <f t="shared" si="36"/>
        <v>31</v>
      </c>
      <c r="C225" s="4">
        <f t="shared" si="37"/>
        <v>13176690</v>
      </c>
      <c r="D225" s="2">
        <f t="shared" si="38"/>
        <v>10222017.85</v>
      </c>
      <c r="E225" s="19">
        <f t="shared" si="39"/>
        <v>2954672.15</v>
      </c>
      <c r="F225" s="2">
        <f t="shared" si="40"/>
        <v>231925878.2899999</v>
      </c>
      <c r="G225" s="2">
        <f t="shared" si="41"/>
        <v>221703860.43999991</v>
      </c>
      <c r="H225" s="14">
        <f t="shared" si="42"/>
        <v>2954672.1480780812</v>
      </c>
      <c r="I225" s="16">
        <f t="shared" si="43"/>
        <v>-1.9219187088310719E-3</v>
      </c>
    </row>
    <row r="226" spans="1:9" x14ac:dyDescent="0.25">
      <c r="A226" s="36">
        <v>48615</v>
      </c>
      <c r="B226" s="1">
        <f t="shared" si="36"/>
        <v>31</v>
      </c>
      <c r="C226" s="4">
        <f t="shared" si="37"/>
        <v>13176690</v>
      </c>
      <c r="D226" s="2">
        <f t="shared" si="38"/>
        <v>10352243.560000001</v>
      </c>
      <c r="E226" s="19">
        <f t="shared" si="39"/>
        <v>2824446.44</v>
      </c>
      <c r="F226" s="2">
        <f t="shared" si="40"/>
        <v>221703860.43999991</v>
      </c>
      <c r="G226" s="2">
        <f t="shared" si="41"/>
        <v>211351616.87999991</v>
      </c>
      <c r="H226" s="14">
        <f t="shared" si="42"/>
        <v>2824446.4412219166</v>
      </c>
      <c r="I226" s="16">
        <f t="shared" si="43"/>
        <v>1.221916638314724E-3</v>
      </c>
    </row>
    <row r="227" spans="1:9" x14ac:dyDescent="0.25">
      <c r="A227" s="36">
        <v>48643</v>
      </c>
      <c r="B227" s="1">
        <f t="shared" si="36"/>
        <v>28</v>
      </c>
      <c r="C227" s="4">
        <f t="shared" si="37"/>
        <v>13176690</v>
      </c>
      <c r="D227" s="2">
        <f t="shared" si="38"/>
        <v>10744698.789999999</v>
      </c>
      <c r="E227" s="19">
        <f t="shared" si="39"/>
        <v>2431991.21</v>
      </c>
      <c r="F227" s="2">
        <f t="shared" si="40"/>
        <v>211351616.87999991</v>
      </c>
      <c r="G227" s="2">
        <f t="shared" si="41"/>
        <v>200606918.08999991</v>
      </c>
      <c r="H227" s="14">
        <f t="shared" si="42"/>
        <v>2431991.2079342455</v>
      </c>
      <c r="I227" s="16">
        <f t="shared" si="43"/>
        <v>-2.0657544955611229E-3</v>
      </c>
    </row>
    <row r="228" spans="1:9" x14ac:dyDescent="0.25">
      <c r="A228" s="36">
        <v>48674</v>
      </c>
      <c r="B228" s="1">
        <f t="shared" si="36"/>
        <v>31</v>
      </c>
      <c r="C228" s="4">
        <f t="shared" si="37"/>
        <v>13176690</v>
      </c>
      <c r="D228" s="2">
        <f t="shared" si="38"/>
        <v>10621012.82</v>
      </c>
      <c r="E228" s="19">
        <f t="shared" si="39"/>
        <v>2555677.1800000002</v>
      </c>
      <c r="F228" s="2">
        <f t="shared" si="40"/>
        <v>200606918.08999991</v>
      </c>
      <c r="G228" s="2">
        <f t="shared" si="41"/>
        <v>189985905.26999992</v>
      </c>
      <c r="H228" s="14">
        <f t="shared" si="42"/>
        <v>2555677.175667122</v>
      </c>
      <c r="I228" s="16">
        <f t="shared" si="43"/>
        <v>-4.3328781612217426E-3</v>
      </c>
    </row>
    <row r="229" spans="1:9" x14ac:dyDescent="0.25">
      <c r="A229" s="36">
        <v>48704</v>
      </c>
      <c r="B229" s="1">
        <f t="shared" si="36"/>
        <v>30</v>
      </c>
      <c r="C229" s="4">
        <f t="shared" si="37"/>
        <v>13176690</v>
      </c>
      <c r="D229" s="2">
        <f t="shared" si="38"/>
        <v>10834398.02</v>
      </c>
      <c r="E229" s="19">
        <f t="shared" si="39"/>
        <v>2342291.98</v>
      </c>
      <c r="F229" s="2">
        <f t="shared" si="40"/>
        <v>189985905.26999992</v>
      </c>
      <c r="G229" s="2">
        <f t="shared" si="41"/>
        <v>179151507.24999991</v>
      </c>
      <c r="H229" s="14">
        <f t="shared" si="42"/>
        <v>2342291.9827808212</v>
      </c>
      <c r="I229" s="16">
        <f t="shared" si="43"/>
        <v>2.7808211743831635E-3</v>
      </c>
    </row>
    <row r="230" spans="1:9" x14ac:dyDescent="0.25">
      <c r="A230" s="36">
        <v>48735</v>
      </c>
      <c r="B230" s="1">
        <f t="shared" si="36"/>
        <v>31</v>
      </c>
      <c r="C230" s="4">
        <f t="shared" si="37"/>
        <v>13176690</v>
      </c>
      <c r="D230" s="2">
        <f t="shared" si="38"/>
        <v>10894348.879999999</v>
      </c>
      <c r="E230" s="19">
        <f t="shared" si="39"/>
        <v>2282341.12</v>
      </c>
      <c r="F230" s="2">
        <f t="shared" si="40"/>
        <v>179151507.24999991</v>
      </c>
      <c r="G230" s="2">
        <f t="shared" si="41"/>
        <v>168257158.36999992</v>
      </c>
      <c r="H230" s="14">
        <f t="shared" si="42"/>
        <v>2282341.119760273</v>
      </c>
      <c r="I230" s="16">
        <f t="shared" si="43"/>
        <v>-2.3972708731889725E-4</v>
      </c>
    </row>
    <row r="231" spans="1:9" x14ac:dyDescent="0.25">
      <c r="A231" s="36">
        <v>48765</v>
      </c>
      <c r="B231" s="1">
        <f t="shared" si="36"/>
        <v>30</v>
      </c>
      <c r="C231" s="4">
        <f t="shared" si="37"/>
        <v>13176690</v>
      </c>
      <c r="D231" s="2">
        <f t="shared" si="38"/>
        <v>11102286.68</v>
      </c>
      <c r="E231" s="19">
        <f t="shared" si="39"/>
        <v>2074403.32</v>
      </c>
      <c r="F231" s="2">
        <f t="shared" si="40"/>
        <v>168257158.36999992</v>
      </c>
      <c r="G231" s="2">
        <f t="shared" si="41"/>
        <v>157154871.68999991</v>
      </c>
      <c r="H231" s="14">
        <f t="shared" si="42"/>
        <v>2074403.3223698619</v>
      </c>
      <c r="I231" s="16">
        <f t="shared" si="43"/>
        <v>2.3698618169873953E-3</v>
      </c>
    </row>
    <row r="232" spans="1:9" x14ac:dyDescent="0.25">
      <c r="A232" s="36">
        <v>48796</v>
      </c>
      <c r="B232" s="1">
        <f t="shared" si="36"/>
        <v>31</v>
      </c>
      <c r="C232" s="4">
        <f t="shared" si="37"/>
        <v>13176690</v>
      </c>
      <c r="D232" s="2">
        <f t="shared" si="38"/>
        <v>11174579.99</v>
      </c>
      <c r="E232" s="19">
        <f t="shared" si="39"/>
        <v>2002110.01</v>
      </c>
      <c r="F232" s="2">
        <f t="shared" si="40"/>
        <v>157154871.68999991</v>
      </c>
      <c r="G232" s="2">
        <f t="shared" si="41"/>
        <v>145980291.6999999</v>
      </c>
      <c r="H232" s="14">
        <f t="shared" si="42"/>
        <v>2002110.0092013685</v>
      </c>
      <c r="I232" s="16">
        <f t="shared" si="43"/>
        <v>-7.986314594745636E-4</v>
      </c>
    </row>
    <row r="233" spans="1:9" x14ac:dyDescent="0.25">
      <c r="A233" s="36">
        <v>48827</v>
      </c>
      <c r="B233" s="1">
        <f t="shared" si="36"/>
        <v>31</v>
      </c>
      <c r="C233" s="4">
        <f t="shared" si="37"/>
        <v>13176690</v>
      </c>
      <c r="D233" s="2">
        <f t="shared" si="38"/>
        <v>11316941.08</v>
      </c>
      <c r="E233" s="19">
        <f t="shared" si="39"/>
        <v>1859748.92</v>
      </c>
      <c r="F233" s="2">
        <f t="shared" si="40"/>
        <v>145980291.6999999</v>
      </c>
      <c r="G233" s="2">
        <f t="shared" si="41"/>
        <v>134663350.61999989</v>
      </c>
      <c r="H233" s="14">
        <f t="shared" si="42"/>
        <v>1859748.9216575329</v>
      </c>
      <c r="I233" s="16">
        <f t="shared" si="43"/>
        <v>1.6575329937040806E-3</v>
      </c>
    </row>
    <row r="234" spans="1:9" x14ac:dyDescent="0.25">
      <c r="A234" s="36">
        <v>48857</v>
      </c>
      <c r="B234" s="1">
        <f t="shared" si="36"/>
        <v>30</v>
      </c>
      <c r="C234" s="4">
        <f t="shared" si="37"/>
        <v>13176690</v>
      </c>
      <c r="D234" s="2">
        <f t="shared" si="38"/>
        <v>11516456.91</v>
      </c>
      <c r="E234" s="19">
        <f t="shared" si="39"/>
        <v>1660233.09</v>
      </c>
      <c r="F234" s="2">
        <f t="shared" si="40"/>
        <v>134663350.61999989</v>
      </c>
      <c r="G234" s="2">
        <f t="shared" si="41"/>
        <v>123146893.70999989</v>
      </c>
      <c r="H234" s="14">
        <f t="shared" si="42"/>
        <v>1660233.0898356151</v>
      </c>
      <c r="I234" s="16">
        <f t="shared" si="43"/>
        <v>-1.6438495367765427E-4</v>
      </c>
    </row>
    <row r="235" spans="1:9" x14ac:dyDescent="0.25">
      <c r="A235" s="36">
        <v>48888</v>
      </c>
      <c r="B235" s="1">
        <f t="shared" si="36"/>
        <v>31</v>
      </c>
      <c r="C235" s="4">
        <f t="shared" si="37"/>
        <v>13176690</v>
      </c>
      <c r="D235" s="2">
        <f t="shared" si="38"/>
        <v>11607832.310000001</v>
      </c>
      <c r="E235" s="19">
        <f t="shared" si="39"/>
        <v>1568857.69</v>
      </c>
      <c r="F235" s="2">
        <f t="shared" si="40"/>
        <v>123146893.70999989</v>
      </c>
      <c r="G235" s="2">
        <f t="shared" si="41"/>
        <v>111539061.39999989</v>
      </c>
      <c r="H235" s="14">
        <f t="shared" si="42"/>
        <v>1568857.6869904096</v>
      </c>
      <c r="I235" s="16">
        <f t="shared" si="43"/>
        <v>-3.009590320289135E-3</v>
      </c>
    </row>
    <row r="236" spans="1:9" x14ac:dyDescent="0.25">
      <c r="A236" s="36">
        <v>48918</v>
      </c>
      <c r="B236" s="1">
        <f t="shared" si="36"/>
        <v>30</v>
      </c>
      <c r="C236" s="4">
        <f t="shared" si="37"/>
        <v>13176690</v>
      </c>
      <c r="D236" s="2">
        <f t="shared" si="38"/>
        <v>11801550.890000001</v>
      </c>
      <c r="E236" s="19">
        <f t="shared" si="39"/>
        <v>1375139.11</v>
      </c>
      <c r="F236" s="2">
        <f t="shared" si="40"/>
        <v>111539061.39999989</v>
      </c>
      <c r="G236" s="2">
        <f t="shared" si="41"/>
        <v>99737510.509999886</v>
      </c>
      <c r="H236" s="14">
        <f t="shared" si="42"/>
        <v>1375139.1131506835</v>
      </c>
      <c r="I236" s="16">
        <f t="shared" si="43"/>
        <v>3.1506833620369434E-3</v>
      </c>
    </row>
    <row r="237" spans="1:9" x14ac:dyDescent="0.25">
      <c r="A237" s="36">
        <v>48949</v>
      </c>
      <c r="B237" s="1">
        <f t="shared" si="36"/>
        <v>31</v>
      </c>
      <c r="C237" s="4">
        <f t="shared" si="37"/>
        <v>13176690</v>
      </c>
      <c r="D237" s="2">
        <f t="shared" si="38"/>
        <v>11906061.439999999</v>
      </c>
      <c r="E237" s="19">
        <f t="shared" si="39"/>
        <v>1270628.56</v>
      </c>
      <c r="F237" s="2">
        <f t="shared" si="40"/>
        <v>99737510.509999886</v>
      </c>
      <c r="G237" s="2">
        <f t="shared" si="41"/>
        <v>87831449.069999889</v>
      </c>
      <c r="H237" s="14">
        <f t="shared" si="42"/>
        <v>1270628.5585520533</v>
      </c>
      <c r="I237" s="16">
        <f t="shared" si="43"/>
        <v>-1.4479467645287514E-3</v>
      </c>
    </row>
    <row r="238" spans="1:9" x14ac:dyDescent="0.25">
      <c r="A238" s="36">
        <v>48980</v>
      </c>
      <c r="B238" s="1">
        <f t="shared" si="36"/>
        <v>31</v>
      </c>
      <c r="C238" s="4">
        <f t="shared" si="37"/>
        <v>13176690</v>
      </c>
      <c r="D238" s="2">
        <f t="shared" si="38"/>
        <v>12057741.4</v>
      </c>
      <c r="E238" s="19">
        <f t="shared" si="39"/>
        <v>1118948.6000000001</v>
      </c>
      <c r="F238" s="2">
        <f t="shared" si="40"/>
        <v>87831449.069999889</v>
      </c>
      <c r="G238" s="2">
        <f t="shared" si="41"/>
        <v>75773707.669999883</v>
      </c>
      <c r="H238" s="14">
        <f t="shared" si="42"/>
        <v>1118948.5977410944</v>
      </c>
      <c r="I238" s="16">
        <f t="shared" si="43"/>
        <v>-2.2589056752622128E-3</v>
      </c>
    </row>
    <row r="239" spans="1:9" x14ac:dyDescent="0.25">
      <c r="A239" s="36">
        <v>49008</v>
      </c>
      <c r="B239" s="1">
        <f t="shared" si="36"/>
        <v>28</v>
      </c>
      <c r="C239" s="4">
        <f t="shared" si="37"/>
        <v>13176690</v>
      </c>
      <c r="D239" s="2">
        <f t="shared" si="38"/>
        <v>12304773.359999999</v>
      </c>
      <c r="E239" s="19">
        <f t="shared" si="39"/>
        <v>871916.64</v>
      </c>
      <c r="F239" s="2">
        <f t="shared" si="40"/>
        <v>75773707.669999883</v>
      </c>
      <c r="G239" s="2">
        <f t="shared" si="41"/>
        <v>63468934.309999883</v>
      </c>
      <c r="H239" s="14">
        <f t="shared" si="42"/>
        <v>871916.63620273839</v>
      </c>
      <c r="I239" s="16">
        <f t="shared" si="43"/>
        <v>-3.7972616264596581E-3</v>
      </c>
    </row>
    <row r="240" spans="1:9" x14ac:dyDescent="0.25">
      <c r="A240" s="36">
        <v>49039</v>
      </c>
      <c r="B240" s="1">
        <f t="shared" si="36"/>
        <v>31</v>
      </c>
      <c r="C240" s="4">
        <f t="shared" si="37"/>
        <v>13176690</v>
      </c>
      <c r="D240" s="2">
        <f t="shared" si="38"/>
        <v>12368113.17</v>
      </c>
      <c r="E240" s="19">
        <f t="shared" si="39"/>
        <v>808576.83</v>
      </c>
      <c r="F240" s="2">
        <f t="shared" si="40"/>
        <v>63468934.309999883</v>
      </c>
      <c r="G240" s="2">
        <f t="shared" si="41"/>
        <v>51100821.139999881</v>
      </c>
      <c r="H240" s="14">
        <f t="shared" si="42"/>
        <v>808576.83436027239</v>
      </c>
      <c r="I240" s="16">
        <f t="shared" si="43"/>
        <v>4.3602724326774478E-3</v>
      </c>
    </row>
    <row r="241" spans="1:9" x14ac:dyDescent="0.25">
      <c r="A241" s="36">
        <v>49069</v>
      </c>
      <c r="B241" s="1">
        <f t="shared" si="36"/>
        <v>30</v>
      </c>
      <c r="C241" s="4">
        <f t="shared" si="37"/>
        <v>13176690</v>
      </c>
      <c r="D241" s="2">
        <f t="shared" si="38"/>
        <v>12546679.880000001</v>
      </c>
      <c r="E241" s="19">
        <f t="shared" si="39"/>
        <v>630010.12</v>
      </c>
      <c r="F241" s="2">
        <f t="shared" si="40"/>
        <v>51100821.139999881</v>
      </c>
      <c r="G241" s="2">
        <f t="shared" si="41"/>
        <v>38554141.259999879</v>
      </c>
      <c r="H241" s="14">
        <f t="shared" si="42"/>
        <v>630010.12364383414</v>
      </c>
      <c r="I241" s="16">
        <f t="shared" si="43"/>
        <v>3.6438341485336423E-3</v>
      </c>
    </row>
    <row r="242" spans="1:9" x14ac:dyDescent="0.25">
      <c r="A242" s="36">
        <v>49100</v>
      </c>
      <c r="B242" s="1">
        <f t="shared" si="36"/>
        <v>31</v>
      </c>
      <c r="C242" s="4">
        <f t="shared" si="37"/>
        <v>13176690</v>
      </c>
      <c r="D242" s="2">
        <f t="shared" si="38"/>
        <v>12685520.800000001</v>
      </c>
      <c r="E242" s="19">
        <f t="shared" si="39"/>
        <v>491169.2</v>
      </c>
      <c r="F242" s="2">
        <f t="shared" si="40"/>
        <v>38554141.259999879</v>
      </c>
      <c r="G242" s="2">
        <f t="shared" si="41"/>
        <v>25868620.459999878</v>
      </c>
      <c r="H242" s="14">
        <f t="shared" si="42"/>
        <v>491169.19687397103</v>
      </c>
      <c r="I242" s="16">
        <f t="shared" si="43"/>
        <v>-3.1260289833880961E-3</v>
      </c>
    </row>
    <row r="243" spans="1:9" x14ac:dyDescent="0.25">
      <c r="A243" s="36">
        <v>49130</v>
      </c>
      <c r="B243" s="1">
        <f t="shared" si="36"/>
        <v>30</v>
      </c>
      <c r="C243" s="4">
        <f t="shared" si="37"/>
        <v>13176690</v>
      </c>
      <c r="D243" s="2">
        <f t="shared" si="38"/>
        <v>12857761.800000001</v>
      </c>
      <c r="E243" s="19">
        <f t="shared" si="39"/>
        <v>318928.2</v>
      </c>
      <c r="F243" s="2">
        <f t="shared" si="40"/>
        <v>25868620.459999878</v>
      </c>
      <c r="G243" s="2">
        <f t="shared" si="41"/>
        <v>13010858.659999877</v>
      </c>
      <c r="H243" s="14">
        <f t="shared" si="42"/>
        <v>318928.19745205325</v>
      </c>
      <c r="I243" s="16">
        <f t="shared" si="43"/>
        <v>-2.5479467585682869E-3</v>
      </c>
    </row>
    <row r="244" spans="1:9" x14ac:dyDescent="0.25">
      <c r="A244" s="36">
        <v>49161</v>
      </c>
      <c r="B244" s="1">
        <f t="shared" si="36"/>
        <v>31</v>
      </c>
      <c r="C244" s="4">
        <f t="shared" si="37"/>
        <v>13176690</v>
      </c>
      <c r="D244" s="2">
        <f t="shared" si="38"/>
        <v>13010858.659999877</v>
      </c>
      <c r="E244" s="19">
        <v>165831.34000012322</v>
      </c>
      <c r="F244" s="2">
        <f t="shared" si="40"/>
        <v>13010858.659999877</v>
      </c>
      <c r="G244" s="2">
        <f t="shared" si="41"/>
        <v>0</v>
      </c>
      <c r="H244" s="14">
        <f t="shared" si="42"/>
        <v>165754.77470958748</v>
      </c>
      <c r="I244" s="16">
        <f t="shared" si="43"/>
        <v>-76.565290535741951</v>
      </c>
    </row>
    <row r="245" spans="1:9" x14ac:dyDescent="0.25">
      <c r="A245" s="36">
        <v>42160</v>
      </c>
      <c r="B245" s="1">
        <f>_xlfn.DAYS(A14,A13)</f>
        <v>31</v>
      </c>
      <c r="C245" s="4">
        <f t="shared" si="37"/>
        <v>13176690</v>
      </c>
      <c r="D245" s="2">
        <f t="shared" si="38"/>
        <v>522238.84999999963</v>
      </c>
      <c r="E245" s="19">
        <f>ROUND(F14*$B$2*B14/365,2)</f>
        <v>12654451.15</v>
      </c>
      <c r="F245" s="2">
        <f>G13</f>
        <v>993306380.59000003</v>
      </c>
      <c r="G245" s="2">
        <f t="shared" si="41"/>
        <v>992784141.74000001</v>
      </c>
      <c r="H245" s="14">
        <f t="shared" si="42"/>
        <v>12654451.149982192</v>
      </c>
      <c r="I245" s="16">
        <f t="shared" si="43"/>
        <v>-1.780875027179718E-5</v>
      </c>
    </row>
    <row r="246" spans="1:9" x14ac:dyDescent="0.25">
      <c r="A246" s="36">
        <v>42190</v>
      </c>
      <c r="B246" s="1">
        <f t="shared" si="36"/>
        <v>30</v>
      </c>
      <c r="C246" s="4">
        <f>$F$1</f>
        <v>16940598</v>
      </c>
      <c r="D246" s="2">
        <f t="shared" si="38"/>
        <v>620858.6799999997</v>
      </c>
      <c r="E246" s="19">
        <f>ROUND(F246*$J$1*B246/365,2)</f>
        <v>16319739.32</v>
      </c>
      <c r="F246" s="2">
        <f t="shared" si="40"/>
        <v>992784141.74000001</v>
      </c>
      <c r="G246" s="2">
        <f t="shared" si="41"/>
        <v>992163283.06000006</v>
      </c>
      <c r="H246" s="14">
        <f t="shared" si="42"/>
        <v>12239804.487205479</v>
      </c>
      <c r="I246" s="16">
        <f t="shared" si="43"/>
        <v>-4079934.832794521</v>
      </c>
    </row>
    <row r="247" spans="1:9" x14ac:dyDescent="0.25">
      <c r="A247" s="36">
        <v>42221</v>
      </c>
      <c r="B247" s="1">
        <f t="shared" si="36"/>
        <v>31</v>
      </c>
      <c r="C247" s="4">
        <f t="shared" ref="C247:C310" si="44">$F$1</f>
        <v>16940598</v>
      </c>
      <c r="D247" s="2">
        <f t="shared" si="38"/>
        <v>87413.469999998808</v>
      </c>
      <c r="E247" s="19">
        <f t="shared" ref="E247:E310" si="45">ROUND(F247*$J$1*B247/365,2)</f>
        <v>16853184.530000001</v>
      </c>
      <c r="F247" s="2">
        <f t="shared" si="40"/>
        <v>992163283.06000006</v>
      </c>
      <c r="G247" s="2">
        <f t="shared" si="41"/>
        <v>992075869.59000003</v>
      </c>
      <c r="H247" s="14">
        <f t="shared" si="42"/>
        <v>12639888.400627397</v>
      </c>
      <c r="I247" s="16">
        <f t="shared" si="43"/>
        <v>-4213296.1293726042</v>
      </c>
    </row>
    <row r="248" spans="1:9" x14ac:dyDescent="0.25">
      <c r="A248" s="36">
        <v>42252</v>
      </c>
      <c r="B248" s="1">
        <f t="shared" si="36"/>
        <v>31</v>
      </c>
      <c r="C248" s="4">
        <f t="shared" si="44"/>
        <v>16940598</v>
      </c>
      <c r="D248" s="2">
        <f t="shared" si="38"/>
        <v>88898.300000000745</v>
      </c>
      <c r="E248" s="19">
        <f t="shared" si="45"/>
        <v>16851699.699999999</v>
      </c>
      <c r="F248" s="2">
        <f t="shared" si="40"/>
        <v>992075869.59000003</v>
      </c>
      <c r="G248" s="2">
        <f t="shared" si="41"/>
        <v>991986971.29000008</v>
      </c>
      <c r="H248" s="14">
        <f t="shared" si="42"/>
        <v>12638774.77696849</v>
      </c>
      <c r="I248" s="16">
        <f t="shared" si="43"/>
        <v>-4212924.9230315089</v>
      </c>
    </row>
    <row r="249" spans="1:9" x14ac:dyDescent="0.25">
      <c r="A249" s="36">
        <v>42282</v>
      </c>
      <c r="B249" s="1">
        <f t="shared" si="36"/>
        <v>30</v>
      </c>
      <c r="C249" s="4">
        <f t="shared" si="44"/>
        <v>16940598</v>
      </c>
      <c r="D249" s="2">
        <f t="shared" si="38"/>
        <v>633962.8599999994</v>
      </c>
      <c r="E249" s="19">
        <f t="shared" si="45"/>
        <v>16306635.140000001</v>
      </c>
      <c r="F249" s="2">
        <f t="shared" si="40"/>
        <v>991986971.29000008</v>
      </c>
      <c r="G249" s="2">
        <f t="shared" si="41"/>
        <v>991353008.43000007</v>
      </c>
      <c r="H249" s="14">
        <f t="shared" si="42"/>
        <v>12229976.358369865</v>
      </c>
      <c r="I249" s="16">
        <f t="shared" si="43"/>
        <v>-4076658.7816301361</v>
      </c>
    </row>
    <row r="250" spans="1:9" x14ac:dyDescent="0.25">
      <c r="A250" s="36">
        <v>42313</v>
      </c>
      <c r="B250" s="1">
        <f t="shared" si="36"/>
        <v>31</v>
      </c>
      <c r="C250" s="4">
        <f t="shared" si="44"/>
        <v>16940598</v>
      </c>
      <c r="D250" s="2">
        <f t="shared" si="38"/>
        <v>101177.03000000119</v>
      </c>
      <c r="E250" s="19">
        <f t="shared" si="45"/>
        <v>16839420.969999999</v>
      </c>
      <c r="F250" s="2">
        <f t="shared" si="40"/>
        <v>991353008.43000007</v>
      </c>
      <c r="G250" s="2">
        <f t="shared" si="41"/>
        <v>991251831.4000001</v>
      </c>
      <c r="H250" s="14">
        <f t="shared" si="42"/>
        <v>12629565.723834246</v>
      </c>
      <c r="I250" s="16">
        <f t="shared" si="43"/>
        <v>-4209855.2461657524</v>
      </c>
    </row>
    <row r="251" spans="1:9" x14ac:dyDescent="0.25">
      <c r="A251" s="36">
        <v>42343</v>
      </c>
      <c r="B251" s="1">
        <f t="shared" si="36"/>
        <v>30</v>
      </c>
      <c r="C251" s="4">
        <f t="shared" si="44"/>
        <v>16940598</v>
      </c>
      <c r="D251" s="2">
        <f t="shared" si="38"/>
        <v>646047.34999999963</v>
      </c>
      <c r="E251" s="19">
        <f t="shared" si="45"/>
        <v>16294550.65</v>
      </c>
      <c r="F251" s="2">
        <f t="shared" si="40"/>
        <v>991251831.4000001</v>
      </c>
      <c r="G251" s="2">
        <f t="shared" si="41"/>
        <v>990605784.05000007</v>
      </c>
      <c r="H251" s="14">
        <f t="shared" si="42"/>
        <v>12220912.989863014</v>
      </c>
      <c r="I251" s="16">
        <f t="shared" si="43"/>
        <v>-4073637.6601369865</v>
      </c>
    </row>
    <row r="252" spans="1:9" x14ac:dyDescent="0.25">
      <c r="A252" s="36">
        <v>42374</v>
      </c>
      <c r="B252" s="1">
        <f t="shared" si="36"/>
        <v>31</v>
      </c>
      <c r="C252" s="4">
        <f t="shared" si="44"/>
        <v>16940598</v>
      </c>
      <c r="D252" s="2">
        <f t="shared" si="38"/>
        <v>113869.6099999994</v>
      </c>
      <c r="E252" s="19">
        <f t="shared" si="45"/>
        <v>16826728.390000001</v>
      </c>
      <c r="F252" s="2">
        <f t="shared" si="40"/>
        <v>990605784.05000007</v>
      </c>
      <c r="G252" s="2">
        <f t="shared" si="41"/>
        <v>990491914.44000006</v>
      </c>
      <c r="H252" s="14">
        <f t="shared" si="42"/>
        <v>12620046.289952056</v>
      </c>
      <c r="I252" s="16">
        <f t="shared" si="43"/>
        <v>-4206682.1000479441</v>
      </c>
    </row>
    <row r="253" spans="1:9" x14ac:dyDescent="0.25">
      <c r="A253" s="36">
        <v>42405</v>
      </c>
      <c r="B253" s="1">
        <f t="shared" si="36"/>
        <v>31</v>
      </c>
      <c r="C253" s="4">
        <f t="shared" si="44"/>
        <v>16940598</v>
      </c>
      <c r="D253" s="2">
        <f t="shared" si="38"/>
        <v>115803.83999999985</v>
      </c>
      <c r="E253" s="19">
        <f t="shared" si="45"/>
        <v>16824794.16</v>
      </c>
      <c r="F253" s="2">
        <f t="shared" si="40"/>
        <v>990491914.44000006</v>
      </c>
      <c r="G253" s="2">
        <f t="shared" si="41"/>
        <v>990376110.60000002</v>
      </c>
      <c r="H253" s="14">
        <f t="shared" si="42"/>
        <v>12618595.622317808</v>
      </c>
      <c r="I253" s="16">
        <f t="shared" si="43"/>
        <v>-4206198.5376821924</v>
      </c>
    </row>
    <row r="254" spans="1:9" x14ac:dyDescent="0.25">
      <c r="A254" s="36">
        <v>42434</v>
      </c>
      <c r="B254" s="1">
        <f t="shared" si="36"/>
        <v>29</v>
      </c>
      <c r="C254" s="4">
        <f t="shared" si="44"/>
        <v>16940598</v>
      </c>
      <c r="D254" s="2">
        <f t="shared" si="38"/>
        <v>1203114.5999999996</v>
      </c>
      <c r="E254" s="19">
        <f t="shared" si="45"/>
        <v>15737483.4</v>
      </c>
      <c r="F254" s="2">
        <f t="shared" si="40"/>
        <v>990376110.60000002</v>
      </c>
      <c r="G254" s="2">
        <f t="shared" si="41"/>
        <v>989172996</v>
      </c>
      <c r="H254" s="14">
        <f t="shared" si="42"/>
        <v>11803112.550986301</v>
      </c>
      <c r="I254" s="16">
        <f t="shared" si="43"/>
        <v>-3934370.8490136992</v>
      </c>
    </row>
    <row r="255" spans="1:9" x14ac:dyDescent="0.25">
      <c r="A255" s="36">
        <v>42465</v>
      </c>
      <c r="B255" s="1">
        <f t="shared" si="36"/>
        <v>31</v>
      </c>
      <c r="C255" s="4">
        <f t="shared" si="44"/>
        <v>16940598</v>
      </c>
      <c r="D255" s="2">
        <f t="shared" si="38"/>
        <v>138207.37999999896</v>
      </c>
      <c r="E255" s="19">
        <f t="shared" si="45"/>
        <v>16802390.620000001</v>
      </c>
      <c r="F255" s="2">
        <f t="shared" si="40"/>
        <v>989172996</v>
      </c>
      <c r="G255" s="2">
        <f t="shared" si="41"/>
        <v>989034788.62</v>
      </c>
      <c r="H255" s="14">
        <f t="shared" si="42"/>
        <v>12601792.962739728</v>
      </c>
      <c r="I255" s="16">
        <f t="shared" si="43"/>
        <v>-4200597.6572602727</v>
      </c>
    </row>
    <row r="256" spans="1:9" x14ac:dyDescent="0.25">
      <c r="A256" s="36">
        <v>42495</v>
      </c>
      <c r="B256" s="1">
        <f t="shared" si="36"/>
        <v>30</v>
      </c>
      <c r="C256" s="4">
        <f t="shared" si="44"/>
        <v>16940598</v>
      </c>
      <c r="D256" s="2">
        <f t="shared" si="38"/>
        <v>682491.8900000006</v>
      </c>
      <c r="E256" s="19">
        <f t="shared" si="45"/>
        <v>16258106.109999999</v>
      </c>
      <c r="F256" s="2">
        <f t="shared" si="40"/>
        <v>989034788.62</v>
      </c>
      <c r="G256" s="2">
        <f t="shared" si="41"/>
        <v>988352296.73000002</v>
      </c>
      <c r="H256" s="14">
        <f t="shared" si="42"/>
        <v>12193579.585726025</v>
      </c>
      <c r="I256" s="16">
        <f t="shared" si="43"/>
        <v>-4064526.5242739748</v>
      </c>
    </row>
    <row r="257" spans="1:9" x14ac:dyDescent="0.25">
      <c r="A257" s="36">
        <v>42526</v>
      </c>
      <c r="B257" s="1">
        <f t="shared" si="36"/>
        <v>31</v>
      </c>
      <c r="C257" s="4">
        <f t="shared" si="44"/>
        <v>16940598</v>
      </c>
      <c r="D257" s="2">
        <f t="shared" si="38"/>
        <v>152148.03000000119</v>
      </c>
      <c r="E257" s="19">
        <f t="shared" si="45"/>
        <v>16788449.969999999</v>
      </c>
      <c r="F257" s="2">
        <f t="shared" si="40"/>
        <v>988352296.73000002</v>
      </c>
      <c r="G257" s="2">
        <f t="shared" si="41"/>
        <v>988200148.70000005</v>
      </c>
      <c r="H257" s="14">
        <f t="shared" si="42"/>
        <v>12591337.478889043</v>
      </c>
      <c r="I257" s="16">
        <f t="shared" si="43"/>
        <v>-4197112.4911109563</v>
      </c>
    </row>
    <row r="258" spans="1:9" x14ac:dyDescent="0.25">
      <c r="A258" s="36">
        <v>42556</v>
      </c>
      <c r="B258" s="1">
        <f t="shared" si="36"/>
        <v>30</v>
      </c>
      <c r="C258" s="4">
        <f t="shared" si="44"/>
        <v>16940598</v>
      </c>
      <c r="D258" s="2">
        <f t="shared" si="38"/>
        <v>696211.99000000022</v>
      </c>
      <c r="E258" s="19">
        <f t="shared" si="45"/>
        <v>16244386.01</v>
      </c>
      <c r="F258" s="2">
        <f t="shared" si="40"/>
        <v>988200148.70000005</v>
      </c>
      <c r="G258" s="2">
        <f t="shared" si="41"/>
        <v>987503936.71000004</v>
      </c>
      <c r="H258" s="14">
        <f t="shared" si="42"/>
        <v>12183289.50452055</v>
      </c>
      <c r="I258" s="16">
        <f t="shared" si="43"/>
        <v>-4061096.5054794494</v>
      </c>
    </row>
    <row r="259" spans="1:9" x14ac:dyDescent="0.25">
      <c r="A259" s="36">
        <v>42587</v>
      </c>
      <c r="B259" s="1">
        <f t="shared" si="36"/>
        <v>31</v>
      </c>
      <c r="C259" s="4">
        <f t="shared" si="44"/>
        <v>16940598</v>
      </c>
      <c r="D259" s="2">
        <f t="shared" si="38"/>
        <v>166558.52999999933</v>
      </c>
      <c r="E259" s="19">
        <f t="shared" si="45"/>
        <v>16774039.470000001</v>
      </c>
      <c r="F259" s="2">
        <f t="shared" si="40"/>
        <v>987503936.71000004</v>
      </c>
      <c r="G259" s="2">
        <f t="shared" si="41"/>
        <v>987337378.18000007</v>
      </c>
      <c r="H259" s="14">
        <f t="shared" si="42"/>
        <v>12580529.604661644</v>
      </c>
      <c r="I259" s="16">
        <f t="shared" si="43"/>
        <v>-4193509.8653383572</v>
      </c>
    </row>
    <row r="260" spans="1:9" x14ac:dyDescent="0.25">
      <c r="A260" s="36">
        <v>42618</v>
      </c>
      <c r="B260" s="1">
        <f t="shared" si="36"/>
        <v>31</v>
      </c>
      <c r="C260" s="4">
        <f t="shared" si="44"/>
        <v>16940598</v>
      </c>
      <c r="D260" s="2">
        <f t="shared" si="38"/>
        <v>169387.74000000022</v>
      </c>
      <c r="E260" s="19">
        <f t="shared" si="45"/>
        <v>16771210.26</v>
      </c>
      <c r="F260" s="2">
        <f t="shared" si="40"/>
        <v>987337378.18000007</v>
      </c>
      <c r="G260" s="2">
        <f t="shared" si="41"/>
        <v>987167990.44000006</v>
      </c>
      <c r="H260" s="14">
        <f t="shared" si="42"/>
        <v>12578407.694621917</v>
      </c>
      <c r="I260" s="16">
        <f t="shared" si="43"/>
        <v>-4192802.5653780829</v>
      </c>
    </row>
    <row r="261" spans="1:9" x14ac:dyDescent="0.25">
      <c r="A261" s="36">
        <v>42648</v>
      </c>
      <c r="B261" s="1">
        <f t="shared" si="36"/>
        <v>30</v>
      </c>
      <c r="C261" s="4">
        <f t="shared" si="44"/>
        <v>16940598</v>
      </c>
      <c r="D261" s="2">
        <f t="shared" si="38"/>
        <v>713178.98000000045</v>
      </c>
      <c r="E261" s="19">
        <f t="shared" si="45"/>
        <v>16227419.02</v>
      </c>
      <c r="F261" s="2">
        <f t="shared" si="40"/>
        <v>987167990.44000006</v>
      </c>
      <c r="G261" s="2">
        <f t="shared" si="41"/>
        <v>986454811.46000004</v>
      </c>
      <c r="H261" s="14">
        <f t="shared" si="42"/>
        <v>12170564.265698632</v>
      </c>
      <c r="I261" s="16">
        <f t="shared" si="43"/>
        <v>-4056854.7543013673</v>
      </c>
    </row>
    <row r="262" spans="1:9" x14ac:dyDescent="0.25">
      <c r="A262" s="36">
        <v>42679</v>
      </c>
      <c r="B262" s="1">
        <f t="shared" si="36"/>
        <v>31</v>
      </c>
      <c r="C262" s="4">
        <f t="shared" si="44"/>
        <v>16940598</v>
      </c>
      <c r="D262" s="2">
        <f t="shared" si="38"/>
        <v>184379.27999999933</v>
      </c>
      <c r="E262" s="19">
        <f t="shared" si="45"/>
        <v>16756218.720000001</v>
      </c>
      <c r="F262" s="2">
        <f t="shared" si="40"/>
        <v>986454811.46000004</v>
      </c>
      <c r="G262" s="2">
        <f t="shared" si="41"/>
        <v>986270432.18000007</v>
      </c>
      <c r="H262" s="14">
        <f t="shared" si="42"/>
        <v>12567164.036408221</v>
      </c>
      <c r="I262" s="16">
        <f t="shared" si="43"/>
        <v>-4189054.6835917793</v>
      </c>
    </row>
    <row r="263" spans="1:9" x14ac:dyDescent="0.25">
      <c r="A263" s="36">
        <v>42709</v>
      </c>
      <c r="B263" s="1">
        <f t="shared" ref="B263:B326" si="46">_xlfn.DAYS(A263,A262)</f>
        <v>30</v>
      </c>
      <c r="C263" s="4">
        <f t="shared" si="44"/>
        <v>16940598</v>
      </c>
      <c r="D263" s="2">
        <f t="shared" si="38"/>
        <v>727933.3599999994</v>
      </c>
      <c r="E263" s="19">
        <f t="shared" si="45"/>
        <v>16212664.640000001</v>
      </c>
      <c r="F263" s="2">
        <f t="shared" si="40"/>
        <v>986270432.18000007</v>
      </c>
      <c r="G263" s="2">
        <f t="shared" si="41"/>
        <v>985542498.82000005</v>
      </c>
      <c r="H263" s="14">
        <f t="shared" si="42"/>
        <v>12159498.478931505</v>
      </c>
      <c r="I263" s="16">
        <f t="shared" si="43"/>
        <v>-4053166.1610684954</v>
      </c>
    </row>
    <row r="264" spans="1:9" x14ac:dyDescent="0.25">
      <c r="A264" s="36">
        <v>42740</v>
      </c>
      <c r="B264" s="1">
        <f t="shared" si="46"/>
        <v>31</v>
      </c>
      <c r="C264" s="4">
        <f t="shared" si="44"/>
        <v>16940598</v>
      </c>
      <c r="D264" s="2">
        <f t="shared" si="38"/>
        <v>199876.09999999963</v>
      </c>
      <c r="E264" s="19">
        <f t="shared" si="45"/>
        <v>16740721.9</v>
      </c>
      <c r="F264" s="2">
        <f t="shared" si="40"/>
        <v>985542498.82000005</v>
      </c>
      <c r="G264" s="2">
        <f t="shared" si="41"/>
        <v>985342622.72000003</v>
      </c>
      <c r="H264" s="14">
        <f t="shared" si="42"/>
        <v>12555541.423323289</v>
      </c>
      <c r="I264" s="16">
        <f t="shared" si="43"/>
        <v>-4185180.4766767118</v>
      </c>
    </row>
    <row r="265" spans="1:9" x14ac:dyDescent="0.25">
      <c r="A265" s="36">
        <v>42771</v>
      </c>
      <c r="B265" s="1">
        <f t="shared" si="46"/>
        <v>31</v>
      </c>
      <c r="C265" s="4">
        <f t="shared" si="44"/>
        <v>16940598</v>
      </c>
      <c r="D265" s="2">
        <f t="shared" si="38"/>
        <v>203271.25999999978</v>
      </c>
      <c r="E265" s="19">
        <f t="shared" si="45"/>
        <v>16737326.74</v>
      </c>
      <c r="F265" s="2">
        <f t="shared" si="40"/>
        <v>985342622.72000003</v>
      </c>
      <c r="G265" s="2">
        <f t="shared" si="41"/>
        <v>985139351.46000004</v>
      </c>
      <c r="H265" s="14">
        <f t="shared" si="42"/>
        <v>12552995.056569863</v>
      </c>
      <c r="I265" s="16">
        <f t="shared" si="43"/>
        <v>-4184331.6834301371</v>
      </c>
    </row>
    <row r="266" spans="1:9" x14ac:dyDescent="0.25">
      <c r="A266" s="36">
        <v>42799</v>
      </c>
      <c r="B266" s="1">
        <f t="shared" si="46"/>
        <v>28</v>
      </c>
      <c r="C266" s="4">
        <f t="shared" si="44"/>
        <v>16940598</v>
      </c>
      <c r="D266" s="2">
        <f t="shared" si="38"/>
        <v>1826131.2400000002</v>
      </c>
      <c r="E266" s="19">
        <f t="shared" si="45"/>
        <v>15114466.76</v>
      </c>
      <c r="F266" s="2">
        <f t="shared" si="40"/>
        <v>985139351.46000004</v>
      </c>
      <c r="G266" s="2">
        <f t="shared" si="41"/>
        <v>983313220.22000003</v>
      </c>
      <c r="H266" s="14">
        <f t="shared" si="42"/>
        <v>11335850.071594521</v>
      </c>
      <c r="I266" s="16">
        <f t="shared" si="43"/>
        <v>-3778616.6884054784</v>
      </c>
    </row>
    <row r="267" spans="1:9" x14ac:dyDescent="0.25">
      <c r="A267" s="36">
        <v>42830</v>
      </c>
      <c r="B267" s="1">
        <f t="shared" si="46"/>
        <v>31</v>
      </c>
      <c r="C267" s="4">
        <f t="shared" si="44"/>
        <v>16940598</v>
      </c>
      <c r="D267" s="2">
        <f t="shared" ref="D267:D330" si="47">C267-E267</f>
        <v>237743.30000000075</v>
      </c>
      <c r="E267" s="19">
        <f t="shared" si="45"/>
        <v>16702854.699999999</v>
      </c>
      <c r="F267" s="2">
        <f t="shared" ref="F267:F330" si="48">G266</f>
        <v>983313220.22000003</v>
      </c>
      <c r="G267" s="2">
        <f t="shared" ref="G267:G330" si="49">F267-D267</f>
        <v>983075476.92000008</v>
      </c>
      <c r="H267" s="14">
        <f t="shared" ref="H267:H330" si="50">F267*$B$2*B267/365</f>
        <v>12527141.024720548</v>
      </c>
      <c r="I267" s="16">
        <f t="shared" ref="I267:I330" si="51">H267-E267</f>
        <v>-4175713.6752794515</v>
      </c>
    </row>
    <row r="268" spans="1:9" x14ac:dyDescent="0.25">
      <c r="A268" s="36">
        <v>42860</v>
      </c>
      <c r="B268" s="1">
        <f t="shared" si="46"/>
        <v>30</v>
      </c>
      <c r="C268" s="4">
        <f t="shared" si="44"/>
        <v>16940598</v>
      </c>
      <c r="D268" s="2">
        <f t="shared" si="47"/>
        <v>780453.16999999993</v>
      </c>
      <c r="E268" s="19">
        <f t="shared" si="45"/>
        <v>16160144.83</v>
      </c>
      <c r="F268" s="2">
        <f t="shared" si="48"/>
        <v>983075476.92000008</v>
      </c>
      <c r="G268" s="2">
        <f t="shared" si="49"/>
        <v>982295023.75000012</v>
      </c>
      <c r="H268" s="14">
        <f t="shared" si="50"/>
        <v>12120108.619561644</v>
      </c>
      <c r="I268" s="16">
        <f t="shared" si="51"/>
        <v>-4040036.2104383558</v>
      </c>
    </row>
    <row r="269" spans="1:9" x14ac:dyDescent="0.25">
      <c r="A269" s="36">
        <v>42891</v>
      </c>
      <c r="B269" s="1">
        <f t="shared" si="46"/>
        <v>31</v>
      </c>
      <c r="C269" s="4">
        <f t="shared" si="44"/>
        <v>16940598</v>
      </c>
      <c r="D269" s="2">
        <f t="shared" si="47"/>
        <v>255038.68999999948</v>
      </c>
      <c r="E269" s="19">
        <f t="shared" si="45"/>
        <v>16685559.310000001</v>
      </c>
      <c r="F269" s="2">
        <f t="shared" si="48"/>
        <v>982295023.75000012</v>
      </c>
      <c r="G269" s="2">
        <f t="shared" si="49"/>
        <v>982039985.06000006</v>
      </c>
      <c r="H269" s="14">
        <f t="shared" si="50"/>
        <v>12514169.480650686</v>
      </c>
      <c r="I269" s="16">
        <f t="shared" si="51"/>
        <v>-4171389.8293493148</v>
      </c>
    </row>
    <row r="270" spans="1:9" x14ac:dyDescent="0.25">
      <c r="A270" s="36">
        <v>42921</v>
      </c>
      <c r="B270" s="1">
        <f t="shared" si="46"/>
        <v>30</v>
      </c>
      <c r="C270" s="4">
        <f t="shared" si="44"/>
        <v>16940598</v>
      </c>
      <c r="D270" s="2">
        <f t="shared" si="47"/>
        <v>797474.96000000089</v>
      </c>
      <c r="E270" s="19">
        <f t="shared" si="45"/>
        <v>16143123.039999999</v>
      </c>
      <c r="F270" s="2">
        <f t="shared" si="48"/>
        <v>982039985.06000006</v>
      </c>
      <c r="G270" s="2">
        <f t="shared" si="49"/>
        <v>981242510.10000002</v>
      </c>
      <c r="H270" s="14">
        <f t="shared" si="50"/>
        <v>12107342.281561645</v>
      </c>
      <c r="I270" s="16">
        <f t="shared" si="51"/>
        <v>-4035780.7584383544</v>
      </c>
    </row>
    <row r="271" spans="1:9" x14ac:dyDescent="0.25">
      <c r="A271" s="36">
        <v>42952</v>
      </c>
      <c r="B271" s="1">
        <f t="shared" si="46"/>
        <v>31</v>
      </c>
      <c r="C271" s="4">
        <f t="shared" si="44"/>
        <v>16940598</v>
      </c>
      <c r="D271" s="2">
        <f t="shared" si="47"/>
        <v>272917.00999999978</v>
      </c>
      <c r="E271" s="19">
        <f t="shared" si="45"/>
        <v>16667680.99</v>
      </c>
      <c r="F271" s="2">
        <f t="shared" si="48"/>
        <v>981242510.10000002</v>
      </c>
      <c r="G271" s="2">
        <f t="shared" si="49"/>
        <v>980969593.09000003</v>
      </c>
      <c r="H271" s="14">
        <f t="shared" si="50"/>
        <v>12500760.745109586</v>
      </c>
      <c r="I271" s="16">
        <f t="shared" si="51"/>
        <v>-4166920.2448904142</v>
      </c>
    </row>
    <row r="272" spans="1:9" x14ac:dyDescent="0.25">
      <c r="A272" s="36">
        <v>42983</v>
      </c>
      <c r="B272" s="1">
        <f t="shared" si="46"/>
        <v>31</v>
      </c>
      <c r="C272" s="4">
        <f t="shared" si="44"/>
        <v>16940598</v>
      </c>
      <c r="D272" s="2">
        <f t="shared" si="47"/>
        <v>277552.8599999994</v>
      </c>
      <c r="E272" s="19">
        <f t="shared" si="45"/>
        <v>16663045.140000001</v>
      </c>
      <c r="F272" s="2">
        <f t="shared" si="48"/>
        <v>980969593.09000003</v>
      </c>
      <c r="G272" s="2">
        <f t="shared" si="49"/>
        <v>980692040.23000002</v>
      </c>
      <c r="H272" s="14">
        <f t="shared" si="50"/>
        <v>12497283.857173972</v>
      </c>
      <c r="I272" s="16">
        <f t="shared" si="51"/>
        <v>-4165761.2828260288</v>
      </c>
    </row>
    <row r="273" spans="1:9" x14ac:dyDescent="0.25">
      <c r="A273" s="36">
        <v>43013</v>
      </c>
      <c r="B273" s="1">
        <f t="shared" si="46"/>
        <v>30</v>
      </c>
      <c r="C273" s="4">
        <f t="shared" si="44"/>
        <v>16940598</v>
      </c>
      <c r="D273" s="2">
        <f t="shared" si="47"/>
        <v>819632.96000000089</v>
      </c>
      <c r="E273" s="19">
        <f t="shared" si="45"/>
        <v>16120965.039999999</v>
      </c>
      <c r="F273" s="2">
        <f t="shared" si="48"/>
        <v>980692040.23000002</v>
      </c>
      <c r="G273" s="2">
        <f t="shared" si="49"/>
        <v>979872407.26999998</v>
      </c>
      <c r="H273" s="14">
        <f t="shared" si="50"/>
        <v>12090723.783657534</v>
      </c>
      <c r="I273" s="16">
        <f t="shared" si="51"/>
        <v>-4030241.2563424651</v>
      </c>
    </row>
    <row r="274" spans="1:9" x14ac:dyDescent="0.25">
      <c r="A274" s="36">
        <v>43044</v>
      </c>
      <c r="B274" s="1">
        <f t="shared" si="46"/>
        <v>31</v>
      </c>
      <c r="C274" s="4">
        <f t="shared" si="44"/>
        <v>16940598</v>
      </c>
      <c r="D274" s="2">
        <f t="shared" si="47"/>
        <v>296189.99000000022</v>
      </c>
      <c r="E274" s="19">
        <f t="shared" si="45"/>
        <v>16644408.01</v>
      </c>
      <c r="F274" s="2">
        <f t="shared" si="48"/>
        <v>979872407.26999998</v>
      </c>
      <c r="G274" s="2">
        <f t="shared" si="49"/>
        <v>979576217.27999997</v>
      </c>
      <c r="H274" s="14">
        <f t="shared" si="50"/>
        <v>12483306.010426028</v>
      </c>
      <c r="I274" s="16">
        <f t="shared" si="51"/>
        <v>-4161101.9995739721</v>
      </c>
    </row>
    <row r="275" spans="1:9" x14ac:dyDescent="0.25">
      <c r="A275" s="36">
        <v>43074</v>
      </c>
      <c r="B275" s="1">
        <f t="shared" si="46"/>
        <v>30</v>
      </c>
      <c r="C275" s="4">
        <f t="shared" si="44"/>
        <v>16940598</v>
      </c>
      <c r="D275" s="2">
        <f t="shared" si="47"/>
        <v>837975.25</v>
      </c>
      <c r="E275" s="19">
        <f t="shared" si="45"/>
        <v>16102622.75</v>
      </c>
      <c r="F275" s="2">
        <f t="shared" si="48"/>
        <v>979576217.27999997</v>
      </c>
      <c r="G275" s="2">
        <f t="shared" si="49"/>
        <v>978738242.02999997</v>
      </c>
      <c r="H275" s="14">
        <f t="shared" si="50"/>
        <v>12076967.062356163</v>
      </c>
      <c r="I275" s="16">
        <f t="shared" si="51"/>
        <v>-4025655.6876438372</v>
      </c>
    </row>
    <row r="276" spans="1:9" x14ac:dyDescent="0.25">
      <c r="A276" s="36">
        <v>43105</v>
      </c>
      <c r="B276" s="1">
        <f t="shared" si="46"/>
        <v>31</v>
      </c>
      <c r="C276" s="4">
        <f t="shared" si="44"/>
        <v>16940598</v>
      </c>
      <c r="D276" s="2">
        <f t="shared" si="47"/>
        <v>315455.25999999978</v>
      </c>
      <c r="E276" s="19">
        <f t="shared" si="45"/>
        <v>16625142.74</v>
      </c>
      <c r="F276" s="2">
        <f t="shared" si="48"/>
        <v>978738242.02999997</v>
      </c>
      <c r="G276" s="2">
        <f t="shared" si="49"/>
        <v>978422786.76999998</v>
      </c>
      <c r="H276" s="14">
        <f t="shared" si="50"/>
        <v>12468857.055998629</v>
      </c>
      <c r="I276" s="16">
        <f t="shared" si="51"/>
        <v>-4156285.6840013713</v>
      </c>
    </row>
    <row r="277" spans="1:9" x14ac:dyDescent="0.25">
      <c r="A277" s="36">
        <v>43136</v>
      </c>
      <c r="B277" s="1">
        <f t="shared" si="46"/>
        <v>31</v>
      </c>
      <c r="C277" s="4">
        <f t="shared" si="44"/>
        <v>16940598</v>
      </c>
      <c r="D277" s="2">
        <f t="shared" si="47"/>
        <v>320813.6799999997</v>
      </c>
      <c r="E277" s="19">
        <f t="shared" si="45"/>
        <v>16619784.32</v>
      </c>
      <c r="F277" s="2">
        <f t="shared" si="48"/>
        <v>978422786.76999998</v>
      </c>
      <c r="G277" s="2">
        <f t="shared" si="49"/>
        <v>978101973.09000003</v>
      </c>
      <c r="H277" s="14">
        <f t="shared" si="50"/>
        <v>12464838.242412327</v>
      </c>
      <c r="I277" s="16">
        <f t="shared" si="51"/>
        <v>-4154946.0775876734</v>
      </c>
    </row>
    <row r="278" spans="1:9" x14ac:dyDescent="0.25">
      <c r="A278" s="36">
        <v>43164</v>
      </c>
      <c r="B278" s="1">
        <f t="shared" si="46"/>
        <v>28</v>
      </c>
      <c r="C278" s="4">
        <f t="shared" si="44"/>
        <v>16940598</v>
      </c>
      <c r="D278" s="2">
        <f t="shared" si="47"/>
        <v>1934101.9700000007</v>
      </c>
      <c r="E278" s="19">
        <f t="shared" si="45"/>
        <v>15006496.029999999</v>
      </c>
      <c r="F278" s="2">
        <f t="shared" si="48"/>
        <v>978101973.09000003</v>
      </c>
      <c r="G278" s="2">
        <f t="shared" si="49"/>
        <v>976167871.12</v>
      </c>
      <c r="H278" s="14">
        <f t="shared" si="50"/>
        <v>11254872.019117808</v>
      </c>
      <c r="I278" s="16">
        <f t="shared" si="51"/>
        <v>-3751624.0108821914</v>
      </c>
    </row>
    <row r="279" spans="1:9" x14ac:dyDescent="0.25">
      <c r="A279" s="36">
        <v>43195</v>
      </c>
      <c r="B279" s="1">
        <f t="shared" si="46"/>
        <v>31</v>
      </c>
      <c r="C279" s="4">
        <f t="shared" si="44"/>
        <v>16940598</v>
      </c>
      <c r="D279" s="2">
        <f t="shared" si="47"/>
        <v>359116.34999999963</v>
      </c>
      <c r="E279" s="19">
        <f t="shared" si="45"/>
        <v>16581481.65</v>
      </c>
      <c r="F279" s="2">
        <f t="shared" si="48"/>
        <v>976167871.12</v>
      </c>
      <c r="G279" s="2">
        <f t="shared" si="49"/>
        <v>975808754.76999998</v>
      </c>
      <c r="H279" s="14">
        <f t="shared" si="50"/>
        <v>12436111.234816436</v>
      </c>
      <c r="I279" s="16">
        <f t="shared" si="51"/>
        <v>-4145370.4151835646</v>
      </c>
    </row>
    <row r="280" spans="1:9" x14ac:dyDescent="0.25">
      <c r="A280" s="36">
        <v>43225</v>
      </c>
      <c r="B280" s="1">
        <f t="shared" si="46"/>
        <v>30</v>
      </c>
      <c r="C280" s="4">
        <f t="shared" si="44"/>
        <v>16940598</v>
      </c>
      <c r="D280" s="2">
        <f t="shared" si="47"/>
        <v>899906.1400000006</v>
      </c>
      <c r="E280" s="19">
        <f t="shared" si="45"/>
        <v>16040691.859999999</v>
      </c>
      <c r="F280" s="2">
        <f t="shared" si="48"/>
        <v>975808754.76999998</v>
      </c>
      <c r="G280" s="2">
        <f t="shared" si="49"/>
        <v>974908848.63</v>
      </c>
      <c r="H280" s="14">
        <f t="shared" si="50"/>
        <v>12030518.894424658</v>
      </c>
      <c r="I280" s="16">
        <f t="shared" si="51"/>
        <v>-4010172.9655753411</v>
      </c>
    </row>
    <row r="281" spans="1:9" x14ac:dyDescent="0.25">
      <c r="A281" s="36">
        <v>43256</v>
      </c>
      <c r="B281" s="1">
        <f t="shared" si="46"/>
        <v>31</v>
      </c>
      <c r="C281" s="4">
        <f t="shared" si="44"/>
        <v>16940598</v>
      </c>
      <c r="D281" s="2">
        <f t="shared" si="47"/>
        <v>380502.49000000022</v>
      </c>
      <c r="E281" s="19">
        <f t="shared" si="45"/>
        <v>16560095.51</v>
      </c>
      <c r="F281" s="2">
        <f t="shared" si="48"/>
        <v>974908848.63</v>
      </c>
      <c r="G281" s="2">
        <f t="shared" si="49"/>
        <v>974528346.13999999</v>
      </c>
      <c r="H281" s="14">
        <f t="shared" si="50"/>
        <v>12420071.633231506</v>
      </c>
      <c r="I281" s="16">
        <f t="shared" si="51"/>
        <v>-4140023.876768494</v>
      </c>
    </row>
    <row r="282" spans="1:9" x14ac:dyDescent="0.25">
      <c r="A282" s="36">
        <v>43286</v>
      </c>
      <c r="B282" s="1">
        <f t="shared" si="46"/>
        <v>30</v>
      </c>
      <c r="C282" s="4">
        <f t="shared" si="44"/>
        <v>16940598</v>
      </c>
      <c r="D282" s="2">
        <f t="shared" si="47"/>
        <v>920953.94999999925</v>
      </c>
      <c r="E282" s="19">
        <f t="shared" si="45"/>
        <v>16019644.050000001</v>
      </c>
      <c r="F282" s="2">
        <f t="shared" si="48"/>
        <v>974528346.13999999</v>
      </c>
      <c r="G282" s="2">
        <f t="shared" si="49"/>
        <v>973607392.18999994</v>
      </c>
      <c r="H282" s="14">
        <f t="shared" si="50"/>
        <v>12014733.034602741</v>
      </c>
      <c r="I282" s="16">
        <f t="shared" si="51"/>
        <v>-4004911.01539726</v>
      </c>
    </row>
    <row r="283" spans="1:9" x14ac:dyDescent="0.25">
      <c r="A283" s="36">
        <v>43317</v>
      </c>
      <c r="B283" s="1">
        <f t="shared" si="46"/>
        <v>31</v>
      </c>
      <c r="C283" s="4">
        <f t="shared" si="44"/>
        <v>16940598</v>
      </c>
      <c r="D283" s="2">
        <f t="shared" si="47"/>
        <v>402609.41999999993</v>
      </c>
      <c r="E283" s="19">
        <f t="shared" si="45"/>
        <v>16537988.58</v>
      </c>
      <c r="F283" s="2">
        <f t="shared" si="48"/>
        <v>973607392.18999994</v>
      </c>
      <c r="G283" s="2">
        <f t="shared" si="49"/>
        <v>973204782.76999998</v>
      </c>
      <c r="H283" s="14">
        <f t="shared" si="50"/>
        <v>12403491.434749313</v>
      </c>
      <c r="I283" s="16">
        <f t="shared" si="51"/>
        <v>-4134497.1452506874</v>
      </c>
    </row>
    <row r="284" spans="1:9" x14ac:dyDescent="0.25">
      <c r="A284" s="36">
        <v>43348</v>
      </c>
      <c r="B284" s="1">
        <f t="shared" si="46"/>
        <v>31</v>
      </c>
      <c r="C284" s="4">
        <f t="shared" si="44"/>
        <v>16940598</v>
      </c>
      <c r="D284" s="2">
        <f t="shared" si="47"/>
        <v>409448.26999999955</v>
      </c>
      <c r="E284" s="19">
        <f t="shared" si="45"/>
        <v>16531149.73</v>
      </c>
      <c r="F284" s="2">
        <f t="shared" si="48"/>
        <v>973204782.76999998</v>
      </c>
      <c r="G284" s="2">
        <f t="shared" si="49"/>
        <v>972795334.5</v>
      </c>
      <c r="H284" s="14">
        <f t="shared" si="50"/>
        <v>12398362.301042465</v>
      </c>
      <c r="I284" s="16">
        <f t="shared" si="51"/>
        <v>-4132787.428957535</v>
      </c>
    </row>
    <row r="285" spans="1:9" x14ac:dyDescent="0.25">
      <c r="A285" s="36">
        <v>43378</v>
      </c>
      <c r="B285" s="1">
        <f t="shared" si="46"/>
        <v>30</v>
      </c>
      <c r="C285" s="4">
        <f t="shared" si="44"/>
        <v>16940598</v>
      </c>
      <c r="D285" s="2">
        <f t="shared" si="47"/>
        <v>949441.8200000003</v>
      </c>
      <c r="E285" s="19">
        <f t="shared" si="45"/>
        <v>15991156.18</v>
      </c>
      <c r="F285" s="2">
        <f t="shared" si="48"/>
        <v>972795334.5</v>
      </c>
      <c r="G285" s="2">
        <f t="shared" si="49"/>
        <v>971845892.67999995</v>
      </c>
      <c r="H285" s="14">
        <f t="shared" si="50"/>
        <v>11993367.13767123</v>
      </c>
      <c r="I285" s="16">
        <f t="shared" si="51"/>
        <v>-3997789.0423287693</v>
      </c>
    </row>
    <row r="286" spans="1:9" x14ac:dyDescent="0.25">
      <c r="A286" s="36">
        <v>43409</v>
      </c>
      <c r="B286" s="1">
        <f t="shared" si="46"/>
        <v>31</v>
      </c>
      <c r="C286" s="4">
        <f t="shared" si="44"/>
        <v>16940598</v>
      </c>
      <c r="D286" s="2">
        <f t="shared" si="47"/>
        <v>432530.77999999933</v>
      </c>
      <c r="E286" s="19">
        <f t="shared" si="45"/>
        <v>16508067.220000001</v>
      </c>
      <c r="F286" s="2">
        <f t="shared" si="48"/>
        <v>971845892.67999995</v>
      </c>
      <c r="G286" s="2">
        <f t="shared" si="49"/>
        <v>971413361.89999998</v>
      </c>
      <c r="H286" s="14">
        <f t="shared" si="50"/>
        <v>12381050.413594518</v>
      </c>
      <c r="I286" s="16">
        <f t="shared" si="51"/>
        <v>-4127016.8064054828</v>
      </c>
    </row>
    <row r="287" spans="1:9" x14ac:dyDescent="0.25">
      <c r="A287" s="36">
        <v>43439</v>
      </c>
      <c r="B287" s="1">
        <f t="shared" si="46"/>
        <v>30</v>
      </c>
      <c r="C287" s="4">
        <f t="shared" si="44"/>
        <v>16940598</v>
      </c>
      <c r="D287" s="2">
        <f t="shared" si="47"/>
        <v>972159.16999999993</v>
      </c>
      <c r="E287" s="19">
        <f t="shared" si="45"/>
        <v>15968438.83</v>
      </c>
      <c r="F287" s="2">
        <f t="shared" si="48"/>
        <v>971413361.89999998</v>
      </c>
      <c r="G287" s="2">
        <f t="shared" si="49"/>
        <v>970441202.73000002</v>
      </c>
      <c r="H287" s="14">
        <f t="shared" si="50"/>
        <v>11976329.119315069</v>
      </c>
      <c r="I287" s="16">
        <f t="shared" si="51"/>
        <v>-3992109.7106849309</v>
      </c>
    </row>
    <row r="288" spans="1:9" x14ac:dyDescent="0.25">
      <c r="A288" s="36">
        <v>43470</v>
      </c>
      <c r="B288" s="1">
        <f t="shared" si="46"/>
        <v>31</v>
      </c>
      <c r="C288" s="4">
        <f t="shared" si="44"/>
        <v>16940598</v>
      </c>
      <c r="D288" s="2">
        <f t="shared" si="47"/>
        <v>456391.26999999955</v>
      </c>
      <c r="E288" s="19">
        <f t="shared" si="45"/>
        <v>16484206.73</v>
      </c>
      <c r="F288" s="2">
        <f t="shared" si="48"/>
        <v>970441202.73000002</v>
      </c>
      <c r="G288" s="2">
        <f t="shared" si="49"/>
        <v>969984811.46000004</v>
      </c>
      <c r="H288" s="14">
        <f t="shared" si="50"/>
        <v>12363155.048478082</v>
      </c>
      <c r="I288" s="16">
        <f t="shared" si="51"/>
        <v>-4121051.6815219186</v>
      </c>
    </row>
    <row r="289" spans="1:9" x14ac:dyDescent="0.25">
      <c r="A289" s="36">
        <v>43501</v>
      </c>
      <c r="B289" s="1">
        <f t="shared" si="46"/>
        <v>31</v>
      </c>
      <c r="C289" s="4">
        <f t="shared" si="44"/>
        <v>16940598</v>
      </c>
      <c r="D289" s="2">
        <f t="shared" si="47"/>
        <v>464143.66999999993</v>
      </c>
      <c r="E289" s="19">
        <f t="shared" si="45"/>
        <v>16476454.33</v>
      </c>
      <c r="F289" s="2">
        <f t="shared" si="48"/>
        <v>969984811.46000004</v>
      </c>
      <c r="G289" s="2">
        <f t="shared" si="49"/>
        <v>969520667.79000008</v>
      </c>
      <c r="H289" s="14">
        <f t="shared" si="50"/>
        <v>12357340.748736987</v>
      </c>
      <c r="I289" s="16">
        <f t="shared" si="51"/>
        <v>-4119113.5812630132</v>
      </c>
    </row>
    <row r="290" spans="1:9" x14ac:dyDescent="0.25">
      <c r="A290" s="36">
        <v>43529</v>
      </c>
      <c r="B290" s="1">
        <f t="shared" si="46"/>
        <v>28</v>
      </c>
      <c r="C290" s="4">
        <f t="shared" si="44"/>
        <v>16940598</v>
      </c>
      <c r="D290" s="2">
        <f t="shared" si="47"/>
        <v>2065760.3599999994</v>
      </c>
      <c r="E290" s="19">
        <f t="shared" si="45"/>
        <v>14874837.640000001</v>
      </c>
      <c r="F290" s="2">
        <f t="shared" si="48"/>
        <v>969520667.79000008</v>
      </c>
      <c r="G290" s="2">
        <f t="shared" si="49"/>
        <v>967454907.43000007</v>
      </c>
      <c r="H290" s="14">
        <f t="shared" si="50"/>
        <v>11156128.232104111</v>
      </c>
      <c r="I290" s="16">
        <f t="shared" si="51"/>
        <v>-3718709.4078958891</v>
      </c>
    </row>
    <row r="291" spans="1:9" x14ac:dyDescent="0.25">
      <c r="A291" s="36">
        <v>43560</v>
      </c>
      <c r="B291" s="1">
        <f t="shared" si="46"/>
        <v>31</v>
      </c>
      <c r="C291" s="4">
        <f t="shared" si="44"/>
        <v>16940598</v>
      </c>
      <c r="D291" s="2">
        <f t="shared" si="47"/>
        <v>507117.38000000082</v>
      </c>
      <c r="E291" s="19">
        <f t="shared" si="45"/>
        <v>16433480.619999999</v>
      </c>
      <c r="F291" s="2">
        <f t="shared" si="48"/>
        <v>967454907.43000007</v>
      </c>
      <c r="G291" s="2">
        <f t="shared" si="49"/>
        <v>966947790.05000007</v>
      </c>
      <c r="H291" s="14">
        <f t="shared" si="50"/>
        <v>12325110.464519178</v>
      </c>
      <c r="I291" s="16">
        <f t="shared" si="51"/>
        <v>-4108370.1554808207</v>
      </c>
    </row>
    <row r="292" spans="1:9" x14ac:dyDescent="0.25">
      <c r="A292" s="36">
        <v>43590</v>
      </c>
      <c r="B292" s="1">
        <f t="shared" si="46"/>
        <v>30</v>
      </c>
      <c r="C292" s="4">
        <f t="shared" si="44"/>
        <v>16940598</v>
      </c>
      <c r="D292" s="2">
        <f t="shared" si="47"/>
        <v>1045565.8300000001</v>
      </c>
      <c r="E292" s="19">
        <f t="shared" si="45"/>
        <v>15895032.17</v>
      </c>
      <c r="F292" s="2">
        <f t="shared" si="48"/>
        <v>966947790.05000007</v>
      </c>
      <c r="G292" s="2">
        <f t="shared" si="49"/>
        <v>965902224.22000003</v>
      </c>
      <c r="H292" s="14">
        <f t="shared" si="50"/>
        <v>11921274.123904107</v>
      </c>
      <c r="I292" s="16">
        <f t="shared" si="51"/>
        <v>-3973758.0460958928</v>
      </c>
    </row>
    <row r="293" spans="1:9" x14ac:dyDescent="0.25">
      <c r="A293" s="36">
        <v>43621</v>
      </c>
      <c r="B293" s="1">
        <f t="shared" si="46"/>
        <v>31</v>
      </c>
      <c r="C293" s="4">
        <f t="shared" si="44"/>
        <v>16940598</v>
      </c>
      <c r="D293" s="2">
        <f t="shared" si="47"/>
        <v>533491.73000000045</v>
      </c>
      <c r="E293" s="19">
        <f t="shared" si="45"/>
        <v>16407106.27</v>
      </c>
      <c r="F293" s="2">
        <f t="shared" si="48"/>
        <v>965902224.22000003</v>
      </c>
      <c r="G293" s="2">
        <f t="shared" si="49"/>
        <v>965368732.49000001</v>
      </c>
      <c r="H293" s="14">
        <f t="shared" si="50"/>
        <v>12305329.705816437</v>
      </c>
      <c r="I293" s="16">
        <f t="shared" si="51"/>
        <v>-4101776.564183563</v>
      </c>
    </row>
    <row r="294" spans="1:9" x14ac:dyDescent="0.25">
      <c r="A294" s="36">
        <v>43651</v>
      </c>
      <c r="B294" s="1">
        <f t="shared" si="46"/>
        <v>30</v>
      </c>
      <c r="C294" s="4">
        <f t="shared" si="44"/>
        <v>16940598</v>
      </c>
      <c r="D294" s="2">
        <f t="shared" si="47"/>
        <v>1071522.9499999993</v>
      </c>
      <c r="E294" s="19">
        <f t="shared" si="45"/>
        <v>15869075.050000001</v>
      </c>
      <c r="F294" s="2">
        <f t="shared" si="48"/>
        <v>965368732.49000001</v>
      </c>
      <c r="G294" s="2">
        <f t="shared" si="49"/>
        <v>964297209.53999996</v>
      </c>
      <c r="H294" s="14">
        <f t="shared" si="50"/>
        <v>11901806.290972602</v>
      </c>
      <c r="I294" s="16">
        <f t="shared" si="51"/>
        <v>-3967268.7590273991</v>
      </c>
    </row>
    <row r="295" spans="1:9" x14ac:dyDescent="0.25">
      <c r="A295" s="36">
        <v>43682</v>
      </c>
      <c r="B295" s="1">
        <f t="shared" si="46"/>
        <v>31</v>
      </c>
      <c r="C295" s="4">
        <f t="shared" si="44"/>
        <v>16940598</v>
      </c>
      <c r="D295" s="2">
        <f t="shared" si="47"/>
        <v>560754.99000000022</v>
      </c>
      <c r="E295" s="19">
        <f t="shared" si="45"/>
        <v>16379843.01</v>
      </c>
      <c r="F295" s="2">
        <f t="shared" si="48"/>
        <v>964297209.53999996</v>
      </c>
      <c r="G295" s="2">
        <f t="shared" si="49"/>
        <v>963736454.54999995</v>
      </c>
      <c r="H295" s="14">
        <f t="shared" si="50"/>
        <v>12284882.258523287</v>
      </c>
      <c r="I295" s="16">
        <f t="shared" si="51"/>
        <v>-4094960.7514767125</v>
      </c>
    </row>
    <row r="296" spans="1:9" x14ac:dyDescent="0.25">
      <c r="A296" s="36">
        <v>43713</v>
      </c>
      <c r="B296" s="1">
        <f t="shared" si="46"/>
        <v>31</v>
      </c>
      <c r="C296" s="4">
        <f t="shared" si="44"/>
        <v>16940598</v>
      </c>
      <c r="D296" s="2">
        <f t="shared" si="47"/>
        <v>570280.1400000006</v>
      </c>
      <c r="E296" s="19">
        <f t="shared" si="45"/>
        <v>16370317.859999999</v>
      </c>
      <c r="F296" s="2">
        <f t="shared" si="48"/>
        <v>963736454.54999995</v>
      </c>
      <c r="G296" s="2">
        <f t="shared" si="49"/>
        <v>963166174.40999997</v>
      </c>
      <c r="H296" s="14">
        <f t="shared" si="50"/>
        <v>12277738.393582189</v>
      </c>
      <c r="I296" s="16">
        <f t="shared" si="51"/>
        <v>-4092579.4664178099</v>
      </c>
    </row>
    <row r="297" spans="1:9" x14ac:dyDescent="0.25">
      <c r="A297" s="36">
        <v>43743</v>
      </c>
      <c r="B297" s="1">
        <f t="shared" si="46"/>
        <v>30</v>
      </c>
      <c r="C297" s="4">
        <f t="shared" si="44"/>
        <v>16940598</v>
      </c>
      <c r="D297" s="2">
        <f t="shared" si="47"/>
        <v>1107729.3800000008</v>
      </c>
      <c r="E297" s="19">
        <f t="shared" si="45"/>
        <v>15832868.619999999</v>
      </c>
      <c r="F297" s="2">
        <f t="shared" si="48"/>
        <v>963166174.40999997</v>
      </c>
      <c r="G297" s="2">
        <f t="shared" si="49"/>
        <v>962058445.02999997</v>
      </c>
      <c r="H297" s="14">
        <f t="shared" si="50"/>
        <v>11874651.465328766</v>
      </c>
      <c r="I297" s="16">
        <f t="shared" si="51"/>
        <v>-3958217.1546712331</v>
      </c>
    </row>
    <row r="298" spans="1:9" x14ac:dyDescent="0.25">
      <c r="A298" s="36">
        <v>43774</v>
      </c>
      <c r="B298" s="1">
        <f t="shared" si="46"/>
        <v>31</v>
      </c>
      <c r="C298" s="4">
        <f t="shared" si="44"/>
        <v>16940598</v>
      </c>
      <c r="D298" s="2">
        <f t="shared" si="47"/>
        <v>598783.3200000003</v>
      </c>
      <c r="E298" s="19">
        <f t="shared" si="45"/>
        <v>16341814.68</v>
      </c>
      <c r="F298" s="2">
        <f t="shared" si="48"/>
        <v>962058445.02999997</v>
      </c>
      <c r="G298" s="2">
        <f t="shared" si="49"/>
        <v>961459661.70999992</v>
      </c>
      <c r="H298" s="14">
        <f t="shared" si="50"/>
        <v>12256361.012026027</v>
      </c>
      <c r="I298" s="16">
        <f t="shared" si="51"/>
        <v>-4085453.6679739729</v>
      </c>
    </row>
    <row r="299" spans="1:9" x14ac:dyDescent="0.25">
      <c r="A299" s="36">
        <v>43804</v>
      </c>
      <c r="B299" s="1">
        <f t="shared" si="46"/>
        <v>30</v>
      </c>
      <c r="C299" s="4">
        <f t="shared" si="44"/>
        <v>16940598</v>
      </c>
      <c r="D299" s="2">
        <f t="shared" si="47"/>
        <v>1135781.6400000006</v>
      </c>
      <c r="E299" s="19">
        <f t="shared" si="45"/>
        <v>15804816.359999999</v>
      </c>
      <c r="F299" s="2">
        <f t="shared" si="48"/>
        <v>961459661.70999992</v>
      </c>
      <c r="G299" s="2">
        <f t="shared" si="49"/>
        <v>960323880.06999993</v>
      </c>
      <c r="H299" s="14">
        <f t="shared" si="50"/>
        <v>11853612.267657533</v>
      </c>
      <c r="I299" s="16">
        <f t="shared" si="51"/>
        <v>-3951204.0923424661</v>
      </c>
    </row>
    <row r="300" spans="1:9" x14ac:dyDescent="0.25">
      <c r="A300" s="36">
        <v>43835</v>
      </c>
      <c r="B300" s="1">
        <f t="shared" si="46"/>
        <v>31</v>
      </c>
      <c r="C300" s="4">
        <f t="shared" si="44"/>
        <v>16940598</v>
      </c>
      <c r="D300" s="2">
        <f t="shared" si="47"/>
        <v>628247.16000000015</v>
      </c>
      <c r="E300" s="19">
        <f t="shared" si="45"/>
        <v>16312350.84</v>
      </c>
      <c r="F300" s="2">
        <f t="shared" si="48"/>
        <v>960323880.06999993</v>
      </c>
      <c r="G300" s="2">
        <f t="shared" si="49"/>
        <v>959695632.90999997</v>
      </c>
      <c r="H300" s="14">
        <f t="shared" si="50"/>
        <v>12234263.129658902</v>
      </c>
      <c r="I300" s="16">
        <f t="shared" si="51"/>
        <v>-4078087.7103410978</v>
      </c>
    </row>
    <row r="301" spans="1:9" x14ac:dyDescent="0.25">
      <c r="A301" s="36">
        <v>43866</v>
      </c>
      <c r="B301" s="1">
        <f t="shared" si="46"/>
        <v>31</v>
      </c>
      <c r="C301" s="4">
        <f t="shared" si="44"/>
        <v>16940598</v>
      </c>
      <c r="D301" s="2">
        <f t="shared" si="47"/>
        <v>638918.75999999978</v>
      </c>
      <c r="E301" s="19">
        <f t="shared" si="45"/>
        <v>16301679.24</v>
      </c>
      <c r="F301" s="2">
        <f t="shared" si="48"/>
        <v>959695632.90999997</v>
      </c>
      <c r="G301" s="2">
        <f t="shared" si="49"/>
        <v>959056714.14999998</v>
      </c>
      <c r="H301" s="14">
        <f t="shared" si="50"/>
        <v>12226259.432963014</v>
      </c>
      <c r="I301" s="16">
        <f t="shared" si="51"/>
        <v>-4075419.8070369866</v>
      </c>
    </row>
    <row r="302" spans="1:9" x14ac:dyDescent="0.25">
      <c r="A302" s="36">
        <v>43895</v>
      </c>
      <c r="B302" s="1">
        <f t="shared" si="46"/>
        <v>29</v>
      </c>
      <c r="C302" s="4">
        <f t="shared" si="44"/>
        <v>16940598</v>
      </c>
      <c r="D302" s="2">
        <f t="shared" si="47"/>
        <v>1700792.6799999997</v>
      </c>
      <c r="E302" s="19">
        <f t="shared" si="45"/>
        <v>15239805.32</v>
      </c>
      <c r="F302" s="2">
        <f t="shared" si="48"/>
        <v>959056714.14999998</v>
      </c>
      <c r="G302" s="2">
        <f t="shared" si="49"/>
        <v>957355921.47000003</v>
      </c>
      <c r="H302" s="14">
        <f t="shared" si="50"/>
        <v>11429853.990554795</v>
      </c>
      <c r="I302" s="16">
        <f t="shared" si="51"/>
        <v>-3809951.3294452056</v>
      </c>
    </row>
    <row r="303" spans="1:9" x14ac:dyDescent="0.25">
      <c r="A303" s="36">
        <v>43926</v>
      </c>
      <c r="B303" s="1">
        <f t="shared" si="46"/>
        <v>31</v>
      </c>
      <c r="C303" s="4">
        <f t="shared" si="44"/>
        <v>16940598</v>
      </c>
      <c r="D303" s="2">
        <f t="shared" si="47"/>
        <v>678661.80000000075</v>
      </c>
      <c r="E303" s="19">
        <f t="shared" si="45"/>
        <v>16261936.199999999</v>
      </c>
      <c r="F303" s="2">
        <f t="shared" si="48"/>
        <v>957355921.47000003</v>
      </c>
      <c r="G303" s="2">
        <f t="shared" si="49"/>
        <v>956677259.67000008</v>
      </c>
      <c r="H303" s="14">
        <f t="shared" si="50"/>
        <v>12196452.150234247</v>
      </c>
      <c r="I303" s="16">
        <f t="shared" si="51"/>
        <v>-4065484.0497657526</v>
      </c>
    </row>
    <row r="304" spans="1:9" x14ac:dyDescent="0.25">
      <c r="A304" s="36">
        <v>43956</v>
      </c>
      <c r="B304" s="1">
        <f t="shared" si="46"/>
        <v>30</v>
      </c>
      <c r="C304" s="4">
        <f t="shared" si="44"/>
        <v>16940598</v>
      </c>
      <c r="D304" s="2">
        <f t="shared" si="47"/>
        <v>1214396.4700000007</v>
      </c>
      <c r="E304" s="19">
        <f t="shared" si="45"/>
        <v>15726201.529999999</v>
      </c>
      <c r="F304" s="2">
        <f t="shared" si="48"/>
        <v>956677259.67000008</v>
      </c>
      <c r="G304" s="2">
        <f t="shared" si="49"/>
        <v>955462863.20000005</v>
      </c>
      <c r="H304" s="14">
        <f t="shared" si="50"/>
        <v>11794651.146616438</v>
      </c>
      <c r="I304" s="16">
        <f t="shared" si="51"/>
        <v>-3931550.3833835609</v>
      </c>
    </row>
    <row r="305" spans="1:9" x14ac:dyDescent="0.25">
      <c r="A305" s="36">
        <v>43987</v>
      </c>
      <c r="B305" s="1">
        <f t="shared" si="46"/>
        <v>31</v>
      </c>
      <c r="C305" s="4">
        <f t="shared" si="44"/>
        <v>16940598</v>
      </c>
      <c r="D305" s="2">
        <f t="shared" si="47"/>
        <v>710817.8599999994</v>
      </c>
      <c r="E305" s="19">
        <f t="shared" si="45"/>
        <v>16229780.140000001</v>
      </c>
      <c r="F305" s="2">
        <f t="shared" si="48"/>
        <v>955462863.20000005</v>
      </c>
      <c r="G305" s="2">
        <f t="shared" si="49"/>
        <v>954752045.34000003</v>
      </c>
      <c r="H305" s="14">
        <f t="shared" si="50"/>
        <v>12172335.106520548</v>
      </c>
      <c r="I305" s="16">
        <f t="shared" si="51"/>
        <v>-4057445.0334794521</v>
      </c>
    </row>
    <row r="306" spans="1:9" x14ac:dyDescent="0.25">
      <c r="A306" s="36">
        <v>44017</v>
      </c>
      <c r="B306" s="1">
        <f t="shared" si="46"/>
        <v>30</v>
      </c>
      <c r="C306" s="4">
        <f t="shared" si="44"/>
        <v>16940598</v>
      </c>
      <c r="D306" s="2">
        <f t="shared" si="47"/>
        <v>1246043.83</v>
      </c>
      <c r="E306" s="19">
        <f t="shared" si="45"/>
        <v>15694554.17</v>
      </c>
      <c r="F306" s="2">
        <f t="shared" si="48"/>
        <v>954752045.34000003</v>
      </c>
      <c r="G306" s="2">
        <f t="shared" si="49"/>
        <v>953506001.50999999</v>
      </c>
      <c r="H306" s="14">
        <f t="shared" si="50"/>
        <v>11770915.627479451</v>
      </c>
      <c r="I306" s="16">
        <f t="shared" si="51"/>
        <v>-3923638.5425205491</v>
      </c>
    </row>
    <row r="307" spans="1:9" x14ac:dyDescent="0.25">
      <c r="A307" s="36">
        <v>44048</v>
      </c>
      <c r="B307" s="1">
        <f t="shared" si="46"/>
        <v>31</v>
      </c>
      <c r="C307" s="4">
        <f t="shared" si="44"/>
        <v>16940598</v>
      </c>
      <c r="D307" s="2">
        <f t="shared" si="47"/>
        <v>744057.69999999925</v>
      </c>
      <c r="E307" s="19">
        <f t="shared" si="45"/>
        <v>16196540.300000001</v>
      </c>
      <c r="F307" s="2">
        <f t="shared" si="48"/>
        <v>953506001.50999999</v>
      </c>
      <c r="G307" s="2">
        <f t="shared" si="49"/>
        <v>952761943.80999994</v>
      </c>
      <c r="H307" s="14">
        <f t="shared" si="50"/>
        <v>12147405.22471644</v>
      </c>
      <c r="I307" s="16">
        <f t="shared" si="51"/>
        <v>-4049135.0752835609</v>
      </c>
    </row>
    <row r="308" spans="1:9" x14ac:dyDescent="0.25">
      <c r="A308" s="36">
        <v>44079</v>
      </c>
      <c r="B308" s="1">
        <f t="shared" si="46"/>
        <v>31</v>
      </c>
      <c r="C308" s="4">
        <f t="shared" si="44"/>
        <v>16940598</v>
      </c>
      <c r="D308" s="2">
        <f t="shared" si="47"/>
        <v>756696.49000000022</v>
      </c>
      <c r="E308" s="19">
        <f t="shared" si="45"/>
        <v>16183901.51</v>
      </c>
      <c r="F308" s="2">
        <f t="shared" si="48"/>
        <v>952761943.80999994</v>
      </c>
      <c r="G308" s="2">
        <f t="shared" si="49"/>
        <v>952005247.31999993</v>
      </c>
      <c r="H308" s="14">
        <f t="shared" si="50"/>
        <v>12137926.133469861</v>
      </c>
      <c r="I308" s="16">
        <f t="shared" si="51"/>
        <v>-4045975.3765301388</v>
      </c>
    </row>
    <row r="309" spans="1:9" x14ac:dyDescent="0.25">
      <c r="A309" s="36">
        <v>44109</v>
      </c>
      <c r="B309" s="1">
        <f t="shared" si="46"/>
        <v>30</v>
      </c>
      <c r="C309" s="4">
        <f t="shared" si="44"/>
        <v>16940598</v>
      </c>
      <c r="D309" s="2">
        <f t="shared" si="47"/>
        <v>1291196.67</v>
      </c>
      <c r="E309" s="19">
        <f t="shared" si="45"/>
        <v>15649401.33</v>
      </c>
      <c r="F309" s="2">
        <f t="shared" si="48"/>
        <v>952005247.31999993</v>
      </c>
      <c r="G309" s="2">
        <f t="shared" si="49"/>
        <v>950714050.64999998</v>
      </c>
      <c r="H309" s="14">
        <f t="shared" si="50"/>
        <v>11737050.994356163</v>
      </c>
      <c r="I309" s="16">
        <f t="shared" si="51"/>
        <v>-3912350.3356438372</v>
      </c>
    </row>
    <row r="310" spans="1:9" x14ac:dyDescent="0.25">
      <c r="A310" s="36">
        <v>44140</v>
      </c>
      <c r="B310" s="1">
        <f t="shared" si="46"/>
        <v>31</v>
      </c>
      <c r="C310" s="4">
        <f t="shared" si="44"/>
        <v>16940598</v>
      </c>
      <c r="D310" s="2">
        <f t="shared" si="47"/>
        <v>791482.61999999918</v>
      </c>
      <c r="E310" s="19">
        <f t="shared" si="45"/>
        <v>16149115.380000001</v>
      </c>
      <c r="F310" s="2">
        <f t="shared" si="48"/>
        <v>950714050.64999998</v>
      </c>
      <c r="G310" s="2">
        <f t="shared" si="49"/>
        <v>949922568.02999997</v>
      </c>
      <c r="H310" s="14">
        <f t="shared" si="50"/>
        <v>12111836.535678083</v>
      </c>
      <c r="I310" s="16">
        <f t="shared" si="51"/>
        <v>-4037278.8443219177</v>
      </c>
    </row>
    <row r="311" spans="1:9" x14ac:dyDescent="0.25">
      <c r="A311" s="36">
        <v>44170</v>
      </c>
      <c r="B311" s="1">
        <f t="shared" si="46"/>
        <v>30</v>
      </c>
      <c r="C311" s="4">
        <f t="shared" ref="C311:C374" si="52">$F$1</f>
        <v>16940598</v>
      </c>
      <c r="D311" s="2">
        <f t="shared" si="47"/>
        <v>1325432.5</v>
      </c>
      <c r="E311" s="19">
        <f t="shared" ref="E311:E374" si="53">ROUND(F311*$J$1*B311/365,2)</f>
        <v>15615165.5</v>
      </c>
      <c r="F311" s="2">
        <f t="shared" si="48"/>
        <v>949922568.02999997</v>
      </c>
      <c r="G311" s="2">
        <f t="shared" si="49"/>
        <v>948597135.52999997</v>
      </c>
      <c r="H311" s="14">
        <f t="shared" si="50"/>
        <v>11711374.12639726</v>
      </c>
      <c r="I311" s="16">
        <f t="shared" si="51"/>
        <v>-3903791.3736027405</v>
      </c>
    </row>
    <row r="312" spans="1:9" x14ac:dyDescent="0.25">
      <c r="A312" s="36">
        <v>44201</v>
      </c>
      <c r="B312" s="1">
        <f t="shared" si="46"/>
        <v>31</v>
      </c>
      <c r="C312" s="4">
        <f t="shared" si="52"/>
        <v>16940598</v>
      </c>
      <c r="D312" s="2">
        <f t="shared" si="47"/>
        <v>827441.1799999997</v>
      </c>
      <c r="E312" s="19">
        <f t="shared" si="53"/>
        <v>16113156.82</v>
      </c>
      <c r="F312" s="2">
        <f t="shared" si="48"/>
        <v>948597135.52999997</v>
      </c>
      <c r="G312" s="2">
        <f t="shared" si="49"/>
        <v>947769694.35000002</v>
      </c>
      <c r="H312" s="14">
        <f t="shared" si="50"/>
        <v>12084867.617026025</v>
      </c>
      <c r="I312" s="16">
        <f t="shared" si="51"/>
        <v>-4028289.2029739749</v>
      </c>
    </row>
    <row r="313" spans="1:9" x14ac:dyDescent="0.25">
      <c r="A313" s="36">
        <v>44232</v>
      </c>
      <c r="B313" s="1">
        <f t="shared" si="46"/>
        <v>31</v>
      </c>
      <c r="C313" s="4">
        <f t="shared" si="52"/>
        <v>16940598</v>
      </c>
      <c r="D313" s="2">
        <f t="shared" si="47"/>
        <v>841496.33999999985</v>
      </c>
      <c r="E313" s="19">
        <f t="shared" si="53"/>
        <v>16099101.66</v>
      </c>
      <c r="F313" s="2">
        <f t="shared" si="48"/>
        <v>947769694.35000002</v>
      </c>
      <c r="G313" s="2">
        <f t="shared" si="49"/>
        <v>946928198.00999999</v>
      </c>
      <c r="H313" s="14">
        <f t="shared" si="50"/>
        <v>12074326.243089041</v>
      </c>
      <c r="I313" s="16">
        <f t="shared" si="51"/>
        <v>-4024775.4169109594</v>
      </c>
    </row>
    <row r="314" spans="1:9" x14ac:dyDescent="0.25">
      <c r="A314" s="36">
        <v>44260</v>
      </c>
      <c r="B314" s="1">
        <f t="shared" si="46"/>
        <v>28</v>
      </c>
      <c r="C314" s="4">
        <f t="shared" si="52"/>
        <v>16940598</v>
      </c>
      <c r="D314" s="2">
        <f t="shared" si="47"/>
        <v>2412384.5500000007</v>
      </c>
      <c r="E314" s="19">
        <f t="shared" si="53"/>
        <v>14528213.449999999</v>
      </c>
      <c r="F314" s="2">
        <f t="shared" si="48"/>
        <v>946928198.00999999</v>
      </c>
      <c r="G314" s="2">
        <f t="shared" si="49"/>
        <v>944515813.46000004</v>
      </c>
      <c r="H314" s="14">
        <f t="shared" si="50"/>
        <v>10896160.086690411</v>
      </c>
      <c r="I314" s="16">
        <f t="shared" si="51"/>
        <v>-3632053.3633095883</v>
      </c>
    </row>
    <row r="315" spans="1:9" x14ac:dyDescent="0.25">
      <c r="A315" s="36">
        <v>44291</v>
      </c>
      <c r="B315" s="1">
        <f t="shared" si="46"/>
        <v>31</v>
      </c>
      <c r="C315" s="4">
        <f t="shared" si="52"/>
        <v>16940598</v>
      </c>
      <c r="D315" s="2">
        <f t="shared" si="47"/>
        <v>896767.74000000022</v>
      </c>
      <c r="E315" s="19">
        <f t="shared" si="53"/>
        <v>16043830.26</v>
      </c>
      <c r="F315" s="2">
        <f t="shared" si="48"/>
        <v>944515813.46000004</v>
      </c>
      <c r="G315" s="2">
        <f t="shared" si="49"/>
        <v>943619045.72000003</v>
      </c>
      <c r="H315" s="14">
        <f t="shared" si="50"/>
        <v>12032872.692024658</v>
      </c>
      <c r="I315" s="16">
        <f t="shared" si="51"/>
        <v>-4010957.5679753423</v>
      </c>
    </row>
    <row r="316" spans="1:9" x14ac:dyDescent="0.25">
      <c r="A316" s="36">
        <v>44321</v>
      </c>
      <c r="B316" s="1">
        <f t="shared" si="46"/>
        <v>30</v>
      </c>
      <c r="C316" s="4">
        <f t="shared" si="52"/>
        <v>16940598</v>
      </c>
      <c r="D316" s="2">
        <f t="shared" si="47"/>
        <v>1429052.0399999991</v>
      </c>
      <c r="E316" s="19">
        <f t="shared" si="53"/>
        <v>15511545.960000001</v>
      </c>
      <c r="F316" s="2">
        <f t="shared" si="48"/>
        <v>943619045.72000003</v>
      </c>
      <c r="G316" s="2">
        <f t="shared" si="49"/>
        <v>942189993.68000007</v>
      </c>
      <c r="H316" s="14">
        <f t="shared" si="50"/>
        <v>11633659.467780823</v>
      </c>
      <c r="I316" s="16">
        <f t="shared" si="51"/>
        <v>-3877886.492219178</v>
      </c>
    </row>
    <row r="317" spans="1:9" x14ac:dyDescent="0.25">
      <c r="A317" s="36">
        <v>44352</v>
      </c>
      <c r="B317" s="1">
        <f t="shared" si="46"/>
        <v>31</v>
      </c>
      <c r="C317" s="4">
        <f t="shared" si="52"/>
        <v>16940598</v>
      </c>
      <c r="D317" s="2">
        <f t="shared" si="47"/>
        <v>936274.8200000003</v>
      </c>
      <c r="E317" s="19">
        <f t="shared" si="53"/>
        <v>16004323.18</v>
      </c>
      <c r="F317" s="2">
        <f t="shared" si="48"/>
        <v>942189993.68000007</v>
      </c>
      <c r="G317" s="2">
        <f t="shared" si="49"/>
        <v>941253718.86000001</v>
      </c>
      <c r="H317" s="14">
        <f t="shared" si="50"/>
        <v>12003242.385238357</v>
      </c>
      <c r="I317" s="16">
        <f t="shared" si="51"/>
        <v>-4001080.7947616428</v>
      </c>
    </row>
    <row r="318" spans="1:9" x14ac:dyDescent="0.25">
      <c r="A318" s="36">
        <v>44382</v>
      </c>
      <c r="B318" s="1">
        <f t="shared" si="46"/>
        <v>30</v>
      </c>
      <c r="C318" s="4">
        <f t="shared" si="52"/>
        <v>16940598</v>
      </c>
      <c r="D318" s="2">
        <f t="shared" si="47"/>
        <v>1467934.1300000008</v>
      </c>
      <c r="E318" s="19">
        <f t="shared" si="53"/>
        <v>15472663.869999999</v>
      </c>
      <c r="F318" s="2">
        <f t="shared" si="48"/>
        <v>941253718.86000001</v>
      </c>
      <c r="G318" s="2">
        <f t="shared" si="49"/>
        <v>939785784.73000002</v>
      </c>
      <c r="H318" s="14">
        <f t="shared" si="50"/>
        <v>11604497.903753424</v>
      </c>
      <c r="I318" s="16">
        <f t="shared" si="51"/>
        <v>-3868165.9662465751</v>
      </c>
    </row>
    <row r="319" spans="1:9" x14ac:dyDescent="0.25">
      <c r="A319" s="36">
        <v>44413</v>
      </c>
      <c r="B319" s="1">
        <f t="shared" si="46"/>
        <v>31</v>
      </c>
      <c r="C319" s="4">
        <f t="shared" si="52"/>
        <v>16940598</v>
      </c>
      <c r="D319" s="2">
        <f t="shared" si="47"/>
        <v>977113.43999999948</v>
      </c>
      <c r="E319" s="19">
        <f t="shared" si="53"/>
        <v>15963484.560000001</v>
      </c>
      <c r="F319" s="2">
        <f t="shared" si="48"/>
        <v>939785784.73000002</v>
      </c>
      <c r="G319" s="2">
        <f t="shared" si="49"/>
        <v>938808671.28999996</v>
      </c>
      <c r="H319" s="14">
        <f t="shared" si="50"/>
        <v>11972613.421902737</v>
      </c>
      <c r="I319" s="16">
        <f t="shared" si="51"/>
        <v>-3990871.1380972639</v>
      </c>
    </row>
    <row r="320" spans="1:9" x14ac:dyDescent="0.25">
      <c r="A320" s="36">
        <v>44444</v>
      </c>
      <c r="B320" s="1">
        <f t="shared" si="46"/>
        <v>31</v>
      </c>
      <c r="C320" s="4">
        <f t="shared" si="52"/>
        <v>16940598</v>
      </c>
      <c r="D320" s="2">
        <f t="shared" si="47"/>
        <v>993710.98000000045</v>
      </c>
      <c r="E320" s="19">
        <f t="shared" si="53"/>
        <v>15946887.02</v>
      </c>
      <c r="F320" s="2">
        <f t="shared" si="48"/>
        <v>938808671.28999996</v>
      </c>
      <c r="G320" s="2">
        <f t="shared" si="49"/>
        <v>937814960.30999994</v>
      </c>
      <c r="H320" s="14">
        <f t="shared" si="50"/>
        <v>11960165.264379451</v>
      </c>
      <c r="I320" s="16">
        <f t="shared" si="51"/>
        <v>-3986721.7556205485</v>
      </c>
    </row>
    <row r="321" spans="1:9" x14ac:dyDescent="0.25">
      <c r="A321" s="36">
        <v>44474</v>
      </c>
      <c r="B321" s="1">
        <f t="shared" si="46"/>
        <v>30</v>
      </c>
      <c r="C321" s="4">
        <f t="shared" si="52"/>
        <v>16940598</v>
      </c>
      <c r="D321" s="2">
        <f t="shared" si="47"/>
        <v>1524461.67</v>
      </c>
      <c r="E321" s="19">
        <f t="shared" si="53"/>
        <v>15416136.33</v>
      </c>
      <c r="F321" s="2">
        <f t="shared" si="48"/>
        <v>937814960.30999994</v>
      </c>
      <c r="G321" s="2">
        <f t="shared" si="49"/>
        <v>936290498.63999999</v>
      </c>
      <c r="H321" s="14">
        <f t="shared" si="50"/>
        <v>11562102.250397259</v>
      </c>
      <c r="I321" s="16">
        <f t="shared" si="51"/>
        <v>-3854034.0796027407</v>
      </c>
    </row>
    <row r="322" spans="1:9" x14ac:dyDescent="0.25">
      <c r="A322" s="36">
        <v>44505</v>
      </c>
      <c r="B322" s="1">
        <f t="shared" si="46"/>
        <v>31</v>
      </c>
      <c r="C322" s="4">
        <f t="shared" si="52"/>
        <v>16940598</v>
      </c>
      <c r="D322" s="2">
        <f t="shared" si="47"/>
        <v>1036485.4199999999</v>
      </c>
      <c r="E322" s="19">
        <f t="shared" si="53"/>
        <v>15904112.58</v>
      </c>
      <c r="F322" s="2">
        <f t="shared" si="48"/>
        <v>936290498.63999999</v>
      </c>
      <c r="G322" s="2">
        <f t="shared" si="49"/>
        <v>935254013.22000003</v>
      </c>
      <c r="H322" s="14">
        <f t="shared" si="50"/>
        <v>11928084.43472877</v>
      </c>
      <c r="I322" s="16">
        <f t="shared" si="51"/>
        <v>-3976028.1452712305</v>
      </c>
    </row>
    <row r="323" spans="1:9" x14ac:dyDescent="0.25">
      <c r="A323" s="36">
        <v>44535</v>
      </c>
      <c r="B323" s="1">
        <f t="shared" si="46"/>
        <v>30</v>
      </c>
      <c r="C323" s="4">
        <f t="shared" si="52"/>
        <v>16940598</v>
      </c>
      <c r="D323" s="2">
        <f t="shared" si="47"/>
        <v>1566559.4299999997</v>
      </c>
      <c r="E323" s="19">
        <f t="shared" si="53"/>
        <v>15374038.57</v>
      </c>
      <c r="F323" s="2">
        <f t="shared" si="48"/>
        <v>935254013.22000003</v>
      </c>
      <c r="G323" s="2">
        <f t="shared" si="49"/>
        <v>933687453.79000008</v>
      </c>
      <c r="H323" s="14">
        <f t="shared" si="50"/>
        <v>11530528.93010959</v>
      </c>
      <c r="I323" s="16">
        <f t="shared" si="51"/>
        <v>-3843509.63989041</v>
      </c>
    </row>
    <row r="324" spans="1:9" x14ac:dyDescent="0.25">
      <c r="A324" s="36">
        <v>44566</v>
      </c>
      <c r="B324" s="1">
        <f t="shared" si="46"/>
        <v>31</v>
      </c>
      <c r="C324" s="4">
        <f t="shared" si="52"/>
        <v>16940598</v>
      </c>
      <c r="D324" s="2">
        <f t="shared" si="47"/>
        <v>1080701.5199999996</v>
      </c>
      <c r="E324" s="19">
        <f t="shared" si="53"/>
        <v>15859896.48</v>
      </c>
      <c r="F324" s="2">
        <f t="shared" si="48"/>
        <v>933687453.79000008</v>
      </c>
      <c r="G324" s="2">
        <f t="shared" si="49"/>
        <v>932606752.2700001</v>
      </c>
      <c r="H324" s="14">
        <f t="shared" si="50"/>
        <v>11894922.356502742</v>
      </c>
      <c r="I324" s="16">
        <f t="shared" si="51"/>
        <v>-3964974.1234972589</v>
      </c>
    </row>
    <row r="325" spans="1:9" x14ac:dyDescent="0.25">
      <c r="A325" s="36">
        <v>44597</v>
      </c>
      <c r="B325" s="1">
        <f t="shared" si="46"/>
        <v>31</v>
      </c>
      <c r="C325" s="4">
        <f t="shared" si="52"/>
        <v>16940598</v>
      </c>
      <c r="D325" s="2">
        <f t="shared" si="47"/>
        <v>1099058.6500000004</v>
      </c>
      <c r="E325" s="19">
        <f t="shared" si="53"/>
        <v>15841539.35</v>
      </c>
      <c r="F325" s="2">
        <f t="shared" si="48"/>
        <v>932606752.2700001</v>
      </c>
      <c r="G325" s="2">
        <f t="shared" si="49"/>
        <v>931507693.62000012</v>
      </c>
      <c r="H325" s="14">
        <f t="shared" si="50"/>
        <v>11881154.515220549</v>
      </c>
      <c r="I325" s="16">
        <f t="shared" si="51"/>
        <v>-3960384.8347794507</v>
      </c>
    </row>
    <row r="326" spans="1:9" x14ac:dyDescent="0.25">
      <c r="A326" s="36">
        <v>44625</v>
      </c>
      <c r="B326" s="1">
        <f t="shared" si="46"/>
        <v>28</v>
      </c>
      <c r="C326" s="4">
        <f t="shared" si="52"/>
        <v>16940598</v>
      </c>
      <c r="D326" s="2">
        <f t="shared" si="47"/>
        <v>2648973.1099999994</v>
      </c>
      <c r="E326" s="19">
        <f t="shared" si="53"/>
        <v>14291624.890000001</v>
      </c>
      <c r="F326" s="2">
        <f t="shared" si="48"/>
        <v>931507693.62000012</v>
      </c>
      <c r="G326" s="2">
        <f t="shared" si="49"/>
        <v>928858720.51000011</v>
      </c>
      <c r="H326" s="14">
        <f t="shared" si="50"/>
        <v>10718718.666312329</v>
      </c>
      <c r="I326" s="16">
        <f t="shared" si="51"/>
        <v>-3572906.2236876711</v>
      </c>
    </row>
    <row r="327" spans="1:9" x14ac:dyDescent="0.25">
      <c r="A327" s="36">
        <v>44656</v>
      </c>
      <c r="B327" s="1">
        <f t="shared" ref="B327:B390" si="54">_xlfn.DAYS(A327,A326)</f>
        <v>31</v>
      </c>
      <c r="C327" s="4">
        <f t="shared" si="52"/>
        <v>16940598</v>
      </c>
      <c r="D327" s="2">
        <f t="shared" si="47"/>
        <v>1162723.8399999999</v>
      </c>
      <c r="E327" s="19">
        <f t="shared" si="53"/>
        <v>15777874.16</v>
      </c>
      <c r="F327" s="2">
        <f t="shared" si="48"/>
        <v>928858720.51000011</v>
      </c>
      <c r="G327" s="2">
        <f t="shared" si="49"/>
        <v>927695996.67000008</v>
      </c>
      <c r="H327" s="14">
        <f t="shared" si="50"/>
        <v>11833405.617456164</v>
      </c>
      <c r="I327" s="16">
        <f t="shared" si="51"/>
        <v>-3944468.5425438359</v>
      </c>
    </row>
    <row r="328" spans="1:9" x14ac:dyDescent="0.25">
      <c r="A328" s="36">
        <v>44686</v>
      </c>
      <c r="B328" s="1">
        <f t="shared" si="54"/>
        <v>30</v>
      </c>
      <c r="C328" s="4">
        <f t="shared" si="52"/>
        <v>16940598</v>
      </c>
      <c r="D328" s="2">
        <f t="shared" si="47"/>
        <v>1690800.7899999991</v>
      </c>
      <c r="E328" s="19">
        <f t="shared" si="53"/>
        <v>15249797.210000001</v>
      </c>
      <c r="F328" s="2">
        <f t="shared" si="48"/>
        <v>927695996.67000008</v>
      </c>
      <c r="G328" s="2">
        <f t="shared" si="49"/>
        <v>926005195.88000011</v>
      </c>
      <c r="H328" s="14">
        <f t="shared" si="50"/>
        <v>11437347.904150685</v>
      </c>
      <c r="I328" s="16">
        <f t="shared" si="51"/>
        <v>-3812449.3058493156</v>
      </c>
    </row>
    <row r="329" spans="1:9" x14ac:dyDescent="0.25">
      <c r="A329" s="36">
        <v>44717</v>
      </c>
      <c r="B329" s="1">
        <f t="shared" si="54"/>
        <v>31</v>
      </c>
      <c r="C329" s="4">
        <f t="shared" si="52"/>
        <v>16940598</v>
      </c>
      <c r="D329" s="2">
        <f t="shared" si="47"/>
        <v>1211194.67</v>
      </c>
      <c r="E329" s="19">
        <f t="shared" si="53"/>
        <v>15729403.33</v>
      </c>
      <c r="F329" s="2">
        <f t="shared" si="48"/>
        <v>926005195.88000011</v>
      </c>
      <c r="G329" s="2">
        <f t="shared" si="49"/>
        <v>924794001.21000016</v>
      </c>
      <c r="H329" s="14">
        <f t="shared" si="50"/>
        <v>11797052.495457534</v>
      </c>
      <c r="I329" s="16">
        <f t="shared" si="51"/>
        <v>-3932350.8345424663</v>
      </c>
    </row>
    <row r="330" spans="1:9" x14ac:dyDescent="0.25">
      <c r="A330" s="36">
        <v>44747</v>
      </c>
      <c r="B330" s="1">
        <f t="shared" si="54"/>
        <v>30</v>
      </c>
      <c r="C330" s="4">
        <f t="shared" si="52"/>
        <v>16940598</v>
      </c>
      <c r="D330" s="2">
        <f t="shared" si="47"/>
        <v>1738504.83</v>
      </c>
      <c r="E330" s="19">
        <f t="shared" si="53"/>
        <v>15202093.17</v>
      </c>
      <c r="F330" s="2">
        <f t="shared" si="48"/>
        <v>924794001.21000016</v>
      </c>
      <c r="G330" s="2">
        <f t="shared" si="49"/>
        <v>923055496.38000011</v>
      </c>
      <c r="H330" s="14">
        <f t="shared" si="50"/>
        <v>11401569.877931509</v>
      </c>
      <c r="I330" s="16">
        <f t="shared" si="51"/>
        <v>-3800523.2920684908</v>
      </c>
    </row>
    <row r="331" spans="1:9" x14ac:dyDescent="0.25">
      <c r="A331" s="36">
        <v>44778</v>
      </c>
      <c r="B331" s="1">
        <f t="shared" si="54"/>
        <v>31</v>
      </c>
      <c r="C331" s="4">
        <f t="shared" si="52"/>
        <v>16940598</v>
      </c>
      <c r="D331" s="2">
        <f t="shared" ref="D331:D394" si="55">C331-E331</f>
        <v>1261299.1600000001</v>
      </c>
      <c r="E331" s="19">
        <f t="shared" si="53"/>
        <v>15679298.84</v>
      </c>
      <c r="F331" s="2">
        <f t="shared" ref="F331:F394" si="56">G330</f>
        <v>923055496.38000011</v>
      </c>
      <c r="G331" s="2">
        <f t="shared" ref="G331:G394" si="57">F331-D331</f>
        <v>921794197.22000015</v>
      </c>
      <c r="H331" s="14">
        <f t="shared" ref="H331:H394" si="58">F331*$B$2*B331/365</f>
        <v>11759474.131964386</v>
      </c>
      <c r="I331" s="16">
        <f t="shared" ref="I331:I394" si="59">H331-E331</f>
        <v>-3919824.7080356143</v>
      </c>
    </row>
    <row r="332" spans="1:9" x14ac:dyDescent="0.25">
      <c r="A332" s="36">
        <v>44809</v>
      </c>
      <c r="B332" s="1">
        <f t="shared" si="54"/>
        <v>31</v>
      </c>
      <c r="C332" s="4">
        <f t="shared" si="52"/>
        <v>16940598</v>
      </c>
      <c r="D332" s="2">
        <f t="shared" si="55"/>
        <v>1282723.9700000007</v>
      </c>
      <c r="E332" s="19">
        <f t="shared" si="53"/>
        <v>15657874.029999999</v>
      </c>
      <c r="F332" s="2">
        <f t="shared" si="56"/>
        <v>921794197.22000015</v>
      </c>
      <c r="G332" s="2">
        <f t="shared" si="57"/>
        <v>920511473.25000012</v>
      </c>
      <c r="H332" s="14">
        <f t="shared" si="58"/>
        <v>11743405.526227398</v>
      </c>
      <c r="I332" s="16">
        <f t="shared" si="59"/>
        <v>-3914468.5037726015</v>
      </c>
    </row>
    <row r="333" spans="1:9" x14ac:dyDescent="0.25">
      <c r="A333" s="36">
        <v>44839</v>
      </c>
      <c r="B333" s="1">
        <f t="shared" si="54"/>
        <v>30</v>
      </c>
      <c r="C333" s="4">
        <f t="shared" si="52"/>
        <v>16940598</v>
      </c>
      <c r="D333" s="2">
        <f t="shared" si="55"/>
        <v>1808902.5500000007</v>
      </c>
      <c r="E333" s="19">
        <f t="shared" si="53"/>
        <v>15131695.449999999</v>
      </c>
      <c r="F333" s="2">
        <f t="shared" si="56"/>
        <v>920511473.25000012</v>
      </c>
      <c r="G333" s="2">
        <f t="shared" si="57"/>
        <v>918702570.70000017</v>
      </c>
      <c r="H333" s="14">
        <f t="shared" si="58"/>
        <v>11348771.588013699</v>
      </c>
      <c r="I333" s="16">
        <f t="shared" si="59"/>
        <v>-3782923.8619863</v>
      </c>
    </row>
    <row r="334" spans="1:9" x14ac:dyDescent="0.25">
      <c r="A334" s="36">
        <v>44870</v>
      </c>
      <c r="B334" s="1">
        <f t="shared" si="54"/>
        <v>31</v>
      </c>
      <c r="C334" s="4">
        <f t="shared" si="52"/>
        <v>16940598</v>
      </c>
      <c r="D334" s="2">
        <f t="shared" si="55"/>
        <v>1335239.2599999998</v>
      </c>
      <c r="E334" s="19">
        <f t="shared" si="53"/>
        <v>15605358.74</v>
      </c>
      <c r="F334" s="2">
        <f t="shared" si="56"/>
        <v>918702570.70000017</v>
      </c>
      <c r="G334" s="2">
        <f t="shared" si="57"/>
        <v>917367331.44000018</v>
      </c>
      <c r="H334" s="14">
        <f t="shared" si="58"/>
        <v>11704019.051383562</v>
      </c>
      <c r="I334" s="16">
        <f t="shared" si="59"/>
        <v>-3901339.6886164378</v>
      </c>
    </row>
    <row r="335" spans="1:9" x14ac:dyDescent="0.25">
      <c r="A335" s="36">
        <v>44900</v>
      </c>
      <c r="B335" s="1">
        <f t="shared" si="54"/>
        <v>30</v>
      </c>
      <c r="C335" s="4">
        <f t="shared" si="52"/>
        <v>16940598</v>
      </c>
      <c r="D335" s="2">
        <f t="shared" si="55"/>
        <v>1860587.0700000003</v>
      </c>
      <c r="E335" s="19">
        <f t="shared" si="53"/>
        <v>15080010.93</v>
      </c>
      <c r="F335" s="2">
        <f t="shared" si="56"/>
        <v>917367331.44000018</v>
      </c>
      <c r="G335" s="2">
        <f t="shared" si="57"/>
        <v>915506744.37000012</v>
      </c>
      <c r="H335" s="14">
        <f t="shared" si="58"/>
        <v>11310008.195835618</v>
      </c>
      <c r="I335" s="16">
        <f t="shared" si="59"/>
        <v>-3770002.7341643814</v>
      </c>
    </row>
    <row r="336" spans="1:9" x14ac:dyDescent="0.25">
      <c r="A336" s="36">
        <v>44931</v>
      </c>
      <c r="B336" s="1">
        <f t="shared" si="54"/>
        <v>31</v>
      </c>
      <c r="C336" s="4">
        <f t="shared" si="52"/>
        <v>16940598</v>
      </c>
      <c r="D336" s="2">
        <f t="shared" si="55"/>
        <v>1389524.5299999993</v>
      </c>
      <c r="E336" s="19">
        <f t="shared" si="53"/>
        <v>15551073.470000001</v>
      </c>
      <c r="F336" s="2">
        <f t="shared" si="56"/>
        <v>915506744.37000012</v>
      </c>
      <c r="G336" s="2">
        <f t="shared" si="57"/>
        <v>914117219.84000015</v>
      </c>
      <c r="H336" s="14">
        <f t="shared" si="58"/>
        <v>11663305.099508222</v>
      </c>
      <c r="I336" s="16">
        <f t="shared" si="59"/>
        <v>-3887768.3704917785</v>
      </c>
    </row>
    <row r="337" spans="1:9" x14ac:dyDescent="0.25">
      <c r="A337" s="36">
        <v>44962</v>
      </c>
      <c r="B337" s="1">
        <f t="shared" si="54"/>
        <v>31</v>
      </c>
      <c r="C337" s="4">
        <f t="shared" si="52"/>
        <v>16940598</v>
      </c>
      <c r="D337" s="2">
        <f t="shared" si="55"/>
        <v>1413127.42</v>
      </c>
      <c r="E337" s="19">
        <f t="shared" si="53"/>
        <v>15527470.58</v>
      </c>
      <c r="F337" s="2">
        <f t="shared" si="56"/>
        <v>914117219.84000015</v>
      </c>
      <c r="G337" s="2">
        <f t="shared" si="57"/>
        <v>912704092.4200002</v>
      </c>
      <c r="H337" s="14">
        <f t="shared" si="58"/>
        <v>11645602.937687673</v>
      </c>
      <c r="I337" s="16">
        <f t="shared" si="59"/>
        <v>-3881867.6423123274</v>
      </c>
    </row>
    <row r="338" spans="1:9" x14ac:dyDescent="0.25">
      <c r="A338" s="36">
        <v>44990</v>
      </c>
      <c r="B338" s="1">
        <f t="shared" si="54"/>
        <v>28</v>
      </c>
      <c r="C338" s="4">
        <f t="shared" si="52"/>
        <v>16940598</v>
      </c>
      <c r="D338" s="2">
        <f t="shared" si="55"/>
        <v>2937466.7200000007</v>
      </c>
      <c r="E338" s="19">
        <f t="shared" si="53"/>
        <v>14003131.279999999</v>
      </c>
      <c r="F338" s="2">
        <f t="shared" si="56"/>
        <v>912704092.4200002</v>
      </c>
      <c r="G338" s="2">
        <f t="shared" si="57"/>
        <v>909766625.70000017</v>
      </c>
      <c r="H338" s="14">
        <f t="shared" si="58"/>
        <v>10502348.46072329</v>
      </c>
      <c r="I338" s="16">
        <f t="shared" si="59"/>
        <v>-3500782.8192767091</v>
      </c>
    </row>
    <row r="339" spans="1:9" x14ac:dyDescent="0.25">
      <c r="A339" s="36">
        <v>45021</v>
      </c>
      <c r="B339" s="1">
        <f t="shared" si="54"/>
        <v>31</v>
      </c>
      <c r="C339" s="4">
        <f t="shared" si="52"/>
        <v>16940598</v>
      </c>
      <c r="D339" s="2">
        <f t="shared" si="55"/>
        <v>1487027.92</v>
      </c>
      <c r="E339" s="19">
        <f t="shared" si="53"/>
        <v>15453570.08</v>
      </c>
      <c r="F339" s="2">
        <f t="shared" si="56"/>
        <v>909766625.70000017</v>
      </c>
      <c r="G339" s="2">
        <f t="shared" si="57"/>
        <v>908279597.78000021</v>
      </c>
      <c r="H339" s="14">
        <f t="shared" si="58"/>
        <v>11590177.560287673</v>
      </c>
      <c r="I339" s="16">
        <f t="shared" si="59"/>
        <v>-3863392.519712327</v>
      </c>
    </row>
    <row r="340" spans="1:9" x14ac:dyDescent="0.25">
      <c r="A340" s="36">
        <v>45051</v>
      </c>
      <c r="B340" s="1">
        <f t="shared" si="54"/>
        <v>30</v>
      </c>
      <c r="C340" s="4">
        <f t="shared" si="52"/>
        <v>16940598</v>
      </c>
      <c r="D340" s="2">
        <f t="shared" si="55"/>
        <v>2009974.4700000007</v>
      </c>
      <c r="E340" s="19">
        <f t="shared" si="53"/>
        <v>14930623.529999999</v>
      </c>
      <c r="F340" s="2">
        <f t="shared" si="56"/>
        <v>908279597.78000021</v>
      </c>
      <c r="G340" s="2">
        <f t="shared" si="57"/>
        <v>906269623.31000018</v>
      </c>
      <c r="H340" s="14">
        <f t="shared" si="58"/>
        <v>11197967.643863015</v>
      </c>
      <c r="I340" s="16">
        <f t="shared" si="59"/>
        <v>-3732655.8861369845</v>
      </c>
    </row>
    <row r="341" spans="1:9" x14ac:dyDescent="0.25">
      <c r="A341" s="36">
        <v>45082</v>
      </c>
      <c r="B341" s="1">
        <f t="shared" si="54"/>
        <v>31</v>
      </c>
      <c r="C341" s="4">
        <f t="shared" si="52"/>
        <v>16940598</v>
      </c>
      <c r="D341" s="2">
        <f t="shared" si="55"/>
        <v>1546429.0600000005</v>
      </c>
      <c r="E341" s="19">
        <f t="shared" si="53"/>
        <v>15394168.939999999</v>
      </c>
      <c r="F341" s="2">
        <f t="shared" si="56"/>
        <v>906269623.31000018</v>
      </c>
      <c r="G341" s="2">
        <f t="shared" si="57"/>
        <v>904723194.25000024</v>
      </c>
      <c r="H341" s="14">
        <f t="shared" si="58"/>
        <v>11545626.707921918</v>
      </c>
      <c r="I341" s="16">
        <f t="shared" si="59"/>
        <v>-3848542.232078081</v>
      </c>
    </row>
    <row r="342" spans="1:9" x14ac:dyDescent="0.25">
      <c r="A342" s="36">
        <v>45112</v>
      </c>
      <c r="B342" s="1">
        <f t="shared" si="54"/>
        <v>30</v>
      </c>
      <c r="C342" s="4">
        <f t="shared" si="52"/>
        <v>16940598</v>
      </c>
      <c r="D342" s="2">
        <f t="shared" si="55"/>
        <v>2068435.9000000004</v>
      </c>
      <c r="E342" s="19">
        <f t="shared" si="53"/>
        <v>14872162.1</v>
      </c>
      <c r="F342" s="2">
        <f t="shared" si="56"/>
        <v>904723194.25000024</v>
      </c>
      <c r="G342" s="2">
        <f t="shared" si="57"/>
        <v>902654758.35000026</v>
      </c>
      <c r="H342" s="14">
        <f t="shared" si="58"/>
        <v>11154121.572945207</v>
      </c>
      <c r="I342" s="16">
        <f t="shared" si="59"/>
        <v>-3718040.5270547923</v>
      </c>
    </row>
    <row r="343" spans="1:9" x14ac:dyDescent="0.25">
      <c r="A343" s="36">
        <v>45143</v>
      </c>
      <c r="B343" s="1">
        <f t="shared" si="54"/>
        <v>31</v>
      </c>
      <c r="C343" s="4">
        <f t="shared" si="52"/>
        <v>16940598</v>
      </c>
      <c r="D343" s="2">
        <f t="shared" si="55"/>
        <v>1607832.2400000002</v>
      </c>
      <c r="E343" s="19">
        <f t="shared" si="53"/>
        <v>15332765.76</v>
      </c>
      <c r="F343" s="2">
        <f t="shared" si="56"/>
        <v>902654758.35000026</v>
      </c>
      <c r="G343" s="2">
        <f t="shared" si="57"/>
        <v>901046926.11000025</v>
      </c>
      <c r="H343" s="14">
        <f t="shared" si="58"/>
        <v>11499574.318705482</v>
      </c>
      <c r="I343" s="16">
        <f t="shared" si="59"/>
        <v>-3833191.4412945174</v>
      </c>
    </row>
    <row r="344" spans="1:9" x14ac:dyDescent="0.25">
      <c r="A344" s="36">
        <v>45174</v>
      </c>
      <c r="B344" s="1">
        <f t="shared" si="54"/>
        <v>31</v>
      </c>
      <c r="C344" s="4">
        <f t="shared" si="52"/>
        <v>16940598</v>
      </c>
      <c r="D344" s="2">
        <f t="shared" si="55"/>
        <v>1635143.3599999994</v>
      </c>
      <c r="E344" s="19">
        <f t="shared" si="53"/>
        <v>15305454.640000001</v>
      </c>
      <c r="F344" s="2">
        <f t="shared" si="56"/>
        <v>901046926.11000025</v>
      </c>
      <c r="G344" s="2">
        <f t="shared" si="57"/>
        <v>899411782.75000024</v>
      </c>
      <c r="H344" s="14">
        <f t="shared" si="58"/>
        <v>11479090.976469865</v>
      </c>
      <c r="I344" s="16">
        <f t="shared" si="59"/>
        <v>-3826363.6635301355</v>
      </c>
    </row>
    <row r="345" spans="1:9" x14ac:dyDescent="0.25">
      <c r="A345" s="36">
        <v>45204</v>
      </c>
      <c r="B345" s="1">
        <f t="shared" si="54"/>
        <v>30</v>
      </c>
      <c r="C345" s="4">
        <f t="shared" si="52"/>
        <v>16940598</v>
      </c>
      <c r="D345" s="2">
        <f t="shared" si="55"/>
        <v>2155746.7799999993</v>
      </c>
      <c r="E345" s="19">
        <f t="shared" si="53"/>
        <v>14784851.220000001</v>
      </c>
      <c r="F345" s="2">
        <f t="shared" si="56"/>
        <v>899411782.75000024</v>
      </c>
      <c r="G345" s="2">
        <f t="shared" si="57"/>
        <v>897256035.97000027</v>
      </c>
      <c r="H345" s="14">
        <f t="shared" si="58"/>
        <v>11088638.417465756</v>
      </c>
      <c r="I345" s="16">
        <f t="shared" si="59"/>
        <v>-3696212.802534245</v>
      </c>
    </row>
    <row r="346" spans="1:9" x14ac:dyDescent="0.25">
      <c r="A346" s="36">
        <v>45235</v>
      </c>
      <c r="B346" s="1">
        <f t="shared" si="54"/>
        <v>31</v>
      </c>
      <c r="C346" s="4">
        <f t="shared" si="52"/>
        <v>16940598</v>
      </c>
      <c r="D346" s="2">
        <f t="shared" si="55"/>
        <v>1699536.5700000003</v>
      </c>
      <c r="E346" s="19">
        <f t="shared" si="53"/>
        <v>15241061.43</v>
      </c>
      <c r="F346" s="2">
        <f t="shared" si="56"/>
        <v>897256035.97000027</v>
      </c>
      <c r="G346" s="2">
        <f t="shared" si="57"/>
        <v>895556499.40000021</v>
      </c>
      <c r="H346" s="14">
        <f t="shared" si="58"/>
        <v>11430796.074686304</v>
      </c>
      <c r="I346" s="16">
        <f t="shared" si="59"/>
        <v>-3810265.355313696</v>
      </c>
    </row>
    <row r="347" spans="1:9" x14ac:dyDescent="0.25">
      <c r="A347" s="36">
        <v>45265</v>
      </c>
      <c r="B347" s="1">
        <f t="shared" si="54"/>
        <v>30</v>
      </c>
      <c r="C347" s="4">
        <f t="shared" si="52"/>
        <v>16940598</v>
      </c>
      <c r="D347" s="2">
        <f t="shared" si="55"/>
        <v>2219121.3000000007</v>
      </c>
      <c r="E347" s="19">
        <f t="shared" si="53"/>
        <v>14721476.699999999</v>
      </c>
      <c r="F347" s="2">
        <f t="shared" si="56"/>
        <v>895556499.40000021</v>
      </c>
      <c r="G347" s="2">
        <f t="shared" si="57"/>
        <v>893337378.10000026</v>
      </c>
      <c r="H347" s="14">
        <f t="shared" si="58"/>
        <v>11041107.526849316</v>
      </c>
      <c r="I347" s="16">
        <f t="shared" si="59"/>
        <v>-3680369.1731506828</v>
      </c>
    </row>
    <row r="348" spans="1:9" x14ac:dyDescent="0.25">
      <c r="A348" s="36">
        <v>45296</v>
      </c>
      <c r="B348" s="1">
        <f t="shared" si="54"/>
        <v>31</v>
      </c>
      <c r="C348" s="4">
        <f t="shared" si="52"/>
        <v>16940598</v>
      </c>
      <c r="D348" s="2">
        <f t="shared" si="55"/>
        <v>1766100.0700000003</v>
      </c>
      <c r="E348" s="19">
        <f t="shared" si="53"/>
        <v>15174497.93</v>
      </c>
      <c r="F348" s="2">
        <f t="shared" si="56"/>
        <v>893337378.10000026</v>
      </c>
      <c r="G348" s="2">
        <f t="shared" si="57"/>
        <v>891571278.03000021</v>
      </c>
      <c r="H348" s="14">
        <f t="shared" si="58"/>
        <v>11380873.4470274</v>
      </c>
      <c r="I348" s="16">
        <f t="shared" si="59"/>
        <v>-3793624.4829725996</v>
      </c>
    </row>
    <row r="349" spans="1:9" x14ac:dyDescent="0.25">
      <c r="A349" s="36">
        <v>45327</v>
      </c>
      <c r="B349" s="1">
        <f t="shared" si="54"/>
        <v>31</v>
      </c>
      <c r="C349" s="4">
        <f t="shared" si="52"/>
        <v>16940598</v>
      </c>
      <c r="D349" s="2">
        <f t="shared" si="55"/>
        <v>1796099.58</v>
      </c>
      <c r="E349" s="19">
        <f t="shared" si="53"/>
        <v>15144498.42</v>
      </c>
      <c r="F349" s="2">
        <f t="shared" si="56"/>
        <v>891571278.03000021</v>
      </c>
      <c r="G349" s="2">
        <f t="shared" si="57"/>
        <v>889775178.45000017</v>
      </c>
      <c r="H349" s="14">
        <f t="shared" si="58"/>
        <v>11358373.815998631</v>
      </c>
      <c r="I349" s="16">
        <f t="shared" si="59"/>
        <v>-3786124.6040013693</v>
      </c>
    </row>
    <row r="350" spans="1:9" x14ac:dyDescent="0.25">
      <c r="A350" s="36">
        <v>45356</v>
      </c>
      <c r="B350" s="1">
        <f t="shared" si="54"/>
        <v>29</v>
      </c>
      <c r="C350" s="4">
        <f t="shared" si="52"/>
        <v>16940598</v>
      </c>
      <c r="D350" s="2">
        <f t="shared" si="55"/>
        <v>2801704.75</v>
      </c>
      <c r="E350" s="19">
        <f t="shared" si="53"/>
        <v>14138893.25</v>
      </c>
      <c r="F350" s="2">
        <f t="shared" si="56"/>
        <v>889775178.45000017</v>
      </c>
      <c r="G350" s="2">
        <f t="shared" si="57"/>
        <v>886973473.70000017</v>
      </c>
      <c r="H350" s="14">
        <f t="shared" si="58"/>
        <v>10604169.934952056</v>
      </c>
      <c r="I350" s="16">
        <f t="shared" si="59"/>
        <v>-3534723.315047944</v>
      </c>
    </row>
    <row r="351" spans="1:9" x14ac:dyDescent="0.25">
      <c r="A351" s="36">
        <v>45387</v>
      </c>
      <c r="B351" s="1">
        <f t="shared" si="54"/>
        <v>31</v>
      </c>
      <c r="C351" s="4">
        <f t="shared" si="52"/>
        <v>16940598</v>
      </c>
      <c r="D351" s="2">
        <f t="shared" si="55"/>
        <v>1874199.2699999996</v>
      </c>
      <c r="E351" s="19">
        <f t="shared" si="53"/>
        <v>15066398.73</v>
      </c>
      <c r="F351" s="2">
        <f t="shared" si="56"/>
        <v>886973473.70000017</v>
      </c>
      <c r="G351" s="2">
        <f t="shared" si="57"/>
        <v>885099274.43000019</v>
      </c>
      <c r="H351" s="14">
        <f t="shared" si="58"/>
        <v>11299799.048506852</v>
      </c>
      <c r="I351" s="16">
        <f t="shared" si="59"/>
        <v>-3766599.6814931482</v>
      </c>
    </row>
    <row r="352" spans="1:9" x14ac:dyDescent="0.25">
      <c r="A352" s="36">
        <v>45417</v>
      </c>
      <c r="B352" s="1">
        <f t="shared" si="54"/>
        <v>30</v>
      </c>
      <c r="C352" s="4">
        <f t="shared" si="52"/>
        <v>16940598</v>
      </c>
      <c r="D352" s="2">
        <f t="shared" si="55"/>
        <v>2391020.8900000006</v>
      </c>
      <c r="E352" s="19">
        <f t="shared" si="53"/>
        <v>14549577.109999999</v>
      </c>
      <c r="F352" s="2">
        <f t="shared" si="56"/>
        <v>885099274.43000019</v>
      </c>
      <c r="G352" s="2">
        <f t="shared" si="57"/>
        <v>882708253.5400002</v>
      </c>
      <c r="H352" s="14">
        <f t="shared" si="58"/>
        <v>10912182.83543836</v>
      </c>
      <c r="I352" s="16">
        <f t="shared" si="59"/>
        <v>-3637394.2745616399</v>
      </c>
    </row>
    <row r="353" spans="1:9" x14ac:dyDescent="0.25">
      <c r="A353" s="36">
        <v>45448</v>
      </c>
      <c r="B353" s="1">
        <f t="shared" si="54"/>
        <v>31</v>
      </c>
      <c r="C353" s="4">
        <f t="shared" si="52"/>
        <v>16940598</v>
      </c>
      <c r="D353" s="2">
        <f t="shared" si="55"/>
        <v>1946649.58</v>
      </c>
      <c r="E353" s="19">
        <f t="shared" si="53"/>
        <v>14993948.42</v>
      </c>
      <c r="F353" s="2">
        <f t="shared" si="56"/>
        <v>882708253.5400002</v>
      </c>
      <c r="G353" s="2">
        <f t="shared" si="57"/>
        <v>880761603.96000016</v>
      </c>
      <c r="H353" s="14">
        <f t="shared" si="58"/>
        <v>11245461.312221918</v>
      </c>
      <c r="I353" s="16">
        <f t="shared" si="59"/>
        <v>-3748487.1077780817</v>
      </c>
    </row>
    <row r="354" spans="1:9" x14ac:dyDescent="0.25">
      <c r="A354" s="36">
        <v>45478</v>
      </c>
      <c r="B354" s="1">
        <f t="shared" si="54"/>
        <v>30</v>
      </c>
      <c r="C354" s="4">
        <f t="shared" si="52"/>
        <v>16940598</v>
      </c>
      <c r="D354" s="2">
        <f t="shared" si="55"/>
        <v>2462325.0600000005</v>
      </c>
      <c r="E354" s="19">
        <f t="shared" si="53"/>
        <v>14478272.939999999</v>
      </c>
      <c r="F354" s="2">
        <f t="shared" si="56"/>
        <v>880761603.96000016</v>
      </c>
      <c r="G354" s="2">
        <f t="shared" si="57"/>
        <v>878299278.90000021</v>
      </c>
      <c r="H354" s="14">
        <f t="shared" si="58"/>
        <v>10858704.706356164</v>
      </c>
      <c r="I354" s="16">
        <f t="shared" si="59"/>
        <v>-3619568.2336438354</v>
      </c>
    </row>
    <row r="355" spans="1:9" x14ac:dyDescent="0.25">
      <c r="A355" s="36">
        <v>45509</v>
      </c>
      <c r="B355" s="1">
        <f t="shared" si="54"/>
        <v>31</v>
      </c>
      <c r="C355" s="4">
        <f t="shared" si="52"/>
        <v>16940598</v>
      </c>
      <c r="D355" s="2">
        <f t="shared" si="55"/>
        <v>2021541.7599999998</v>
      </c>
      <c r="E355" s="19">
        <f t="shared" si="53"/>
        <v>14919056.24</v>
      </c>
      <c r="F355" s="2">
        <f t="shared" si="56"/>
        <v>878299278.90000021</v>
      </c>
      <c r="G355" s="2">
        <f t="shared" si="57"/>
        <v>876277737.14000022</v>
      </c>
      <c r="H355" s="14">
        <f t="shared" si="58"/>
        <v>11189292.183246577</v>
      </c>
      <c r="I355" s="16">
        <f t="shared" si="59"/>
        <v>-3729764.0567534231</v>
      </c>
    </row>
    <row r="356" spans="1:9" x14ac:dyDescent="0.25">
      <c r="A356" s="36">
        <v>45540</v>
      </c>
      <c r="B356" s="1">
        <f t="shared" si="54"/>
        <v>31</v>
      </c>
      <c r="C356" s="4">
        <f t="shared" si="52"/>
        <v>16940598</v>
      </c>
      <c r="D356" s="2">
        <f t="shared" si="55"/>
        <v>2055880.2699999996</v>
      </c>
      <c r="E356" s="19">
        <f t="shared" si="53"/>
        <v>14884717.73</v>
      </c>
      <c r="F356" s="2">
        <f t="shared" si="56"/>
        <v>876277737.14000022</v>
      </c>
      <c r="G356" s="2">
        <f t="shared" si="57"/>
        <v>874221856.87000024</v>
      </c>
      <c r="H356" s="14">
        <f t="shared" si="58"/>
        <v>11163538.295071235</v>
      </c>
      <c r="I356" s="16">
        <f t="shared" si="59"/>
        <v>-3721179.4349287655</v>
      </c>
    </row>
    <row r="357" spans="1:9" x14ac:dyDescent="0.25">
      <c r="A357" s="36">
        <v>45570</v>
      </c>
      <c r="B357" s="1">
        <f t="shared" si="54"/>
        <v>30</v>
      </c>
      <c r="C357" s="4">
        <f t="shared" si="52"/>
        <v>16940598</v>
      </c>
      <c r="D357" s="2">
        <f t="shared" si="55"/>
        <v>2569827.75</v>
      </c>
      <c r="E357" s="19">
        <f t="shared" si="53"/>
        <v>14370770.25</v>
      </c>
      <c r="F357" s="2">
        <f t="shared" si="56"/>
        <v>874221856.87000024</v>
      </c>
      <c r="G357" s="2">
        <f t="shared" si="57"/>
        <v>871652029.12000024</v>
      </c>
      <c r="H357" s="14">
        <f t="shared" si="58"/>
        <v>10778077.687438359</v>
      </c>
      <c r="I357" s="16">
        <f t="shared" si="59"/>
        <v>-3592692.5625616405</v>
      </c>
    </row>
    <row r="358" spans="1:9" x14ac:dyDescent="0.25">
      <c r="A358" s="36">
        <v>45601</v>
      </c>
      <c r="B358" s="1">
        <f t="shared" si="54"/>
        <v>31</v>
      </c>
      <c r="C358" s="4">
        <f t="shared" si="52"/>
        <v>16940598</v>
      </c>
      <c r="D358" s="2">
        <f t="shared" si="55"/>
        <v>2134453.9399999995</v>
      </c>
      <c r="E358" s="19">
        <f t="shared" si="53"/>
        <v>14806144.060000001</v>
      </c>
      <c r="F358" s="2">
        <f t="shared" si="56"/>
        <v>871652029.12000024</v>
      </c>
      <c r="G358" s="2">
        <f t="shared" si="57"/>
        <v>869517575.18000019</v>
      </c>
      <c r="H358" s="14">
        <f t="shared" si="58"/>
        <v>11104608.042213701</v>
      </c>
      <c r="I358" s="16">
        <f t="shared" si="59"/>
        <v>-3701536.0177862998</v>
      </c>
    </row>
    <row r="359" spans="1:9" x14ac:dyDescent="0.25">
      <c r="A359" s="36">
        <v>45631</v>
      </c>
      <c r="B359" s="1">
        <f t="shared" si="54"/>
        <v>30</v>
      </c>
      <c r="C359" s="4">
        <f t="shared" si="52"/>
        <v>16940598</v>
      </c>
      <c r="D359" s="2">
        <f t="shared" si="55"/>
        <v>2647158.41</v>
      </c>
      <c r="E359" s="19">
        <f t="shared" si="53"/>
        <v>14293439.59</v>
      </c>
      <c r="F359" s="2">
        <f t="shared" si="56"/>
        <v>869517575.18000019</v>
      </c>
      <c r="G359" s="2">
        <f t="shared" si="57"/>
        <v>866870416.77000022</v>
      </c>
      <c r="H359" s="14">
        <f t="shared" si="58"/>
        <v>10720079.694000002</v>
      </c>
      <c r="I359" s="16">
        <f t="shared" si="59"/>
        <v>-3573359.8959999979</v>
      </c>
    </row>
    <row r="360" spans="1:9" x14ac:dyDescent="0.25">
      <c r="A360" s="36">
        <v>45662</v>
      </c>
      <c r="B360" s="1">
        <f t="shared" si="54"/>
        <v>31</v>
      </c>
      <c r="C360" s="4">
        <f t="shared" si="52"/>
        <v>16940598</v>
      </c>
      <c r="D360" s="2">
        <f t="shared" si="55"/>
        <v>2215675.8499999996</v>
      </c>
      <c r="E360" s="19">
        <f t="shared" si="53"/>
        <v>14724922.15</v>
      </c>
      <c r="F360" s="2">
        <f t="shared" si="56"/>
        <v>866870416.77000022</v>
      </c>
      <c r="G360" s="2">
        <f t="shared" si="57"/>
        <v>864654740.9200002</v>
      </c>
      <c r="H360" s="14">
        <f t="shared" si="58"/>
        <v>11043691.610905482</v>
      </c>
      <c r="I360" s="16">
        <f t="shared" si="59"/>
        <v>-3681230.5390945189</v>
      </c>
    </row>
    <row r="361" spans="1:9" x14ac:dyDescent="0.25">
      <c r="A361" s="36">
        <v>45693</v>
      </c>
      <c r="B361" s="1">
        <f t="shared" si="54"/>
        <v>31</v>
      </c>
      <c r="C361" s="4">
        <f t="shared" si="52"/>
        <v>16940598</v>
      </c>
      <c r="D361" s="2">
        <f t="shared" si="55"/>
        <v>2253311.9900000002</v>
      </c>
      <c r="E361" s="19">
        <f t="shared" si="53"/>
        <v>14687286.01</v>
      </c>
      <c r="F361" s="2">
        <f t="shared" si="56"/>
        <v>864654740.9200002</v>
      </c>
      <c r="G361" s="2">
        <f t="shared" si="57"/>
        <v>862401428.93000019</v>
      </c>
      <c r="H361" s="14">
        <f t="shared" si="58"/>
        <v>11015464.507610962</v>
      </c>
      <c r="I361" s="16">
        <f t="shared" si="59"/>
        <v>-3671821.502389038</v>
      </c>
    </row>
    <row r="362" spans="1:9" x14ac:dyDescent="0.25">
      <c r="A362" s="36">
        <v>45721</v>
      </c>
      <c r="B362" s="1">
        <f t="shared" si="54"/>
        <v>28</v>
      </c>
      <c r="C362" s="4">
        <f t="shared" si="52"/>
        <v>16940598</v>
      </c>
      <c r="D362" s="2">
        <f t="shared" si="55"/>
        <v>3709233.6099999994</v>
      </c>
      <c r="E362" s="19">
        <f t="shared" si="53"/>
        <v>13231364.390000001</v>
      </c>
      <c r="F362" s="2">
        <f t="shared" si="56"/>
        <v>862401428.93000019</v>
      </c>
      <c r="G362" s="2">
        <f t="shared" si="57"/>
        <v>858692195.32000017</v>
      </c>
      <c r="H362" s="14">
        <f t="shared" si="58"/>
        <v>9923523.2917972617</v>
      </c>
      <c r="I362" s="16">
        <f t="shared" si="59"/>
        <v>-3307841.0982027389</v>
      </c>
    </row>
    <row r="363" spans="1:9" x14ac:dyDescent="0.25">
      <c r="A363" s="36">
        <v>45752</v>
      </c>
      <c r="B363" s="1">
        <f t="shared" si="54"/>
        <v>31</v>
      </c>
      <c r="C363" s="4">
        <f t="shared" si="52"/>
        <v>16940598</v>
      </c>
      <c r="D363" s="2">
        <f t="shared" si="55"/>
        <v>2354593.59</v>
      </c>
      <c r="E363" s="19">
        <f t="shared" si="53"/>
        <v>14586004.41</v>
      </c>
      <c r="F363" s="2">
        <f t="shared" si="56"/>
        <v>858692195.32000017</v>
      </c>
      <c r="G363" s="2">
        <f t="shared" si="57"/>
        <v>856337601.73000014</v>
      </c>
      <c r="H363" s="14">
        <f t="shared" si="58"/>
        <v>10939503.310241098</v>
      </c>
      <c r="I363" s="16">
        <f t="shared" si="59"/>
        <v>-3646501.0997589026</v>
      </c>
    </row>
    <row r="364" spans="1:9" x14ac:dyDescent="0.25">
      <c r="A364" s="36">
        <v>45782</v>
      </c>
      <c r="B364" s="1">
        <f t="shared" si="54"/>
        <v>30</v>
      </c>
      <c r="C364" s="4">
        <f t="shared" si="52"/>
        <v>16940598</v>
      </c>
      <c r="D364" s="2">
        <f t="shared" si="55"/>
        <v>2863815.51</v>
      </c>
      <c r="E364" s="19">
        <f t="shared" si="53"/>
        <v>14076782.49</v>
      </c>
      <c r="F364" s="2">
        <f t="shared" si="56"/>
        <v>856337601.73000014</v>
      </c>
      <c r="G364" s="2">
        <f t="shared" si="57"/>
        <v>853473786.22000015</v>
      </c>
      <c r="H364" s="14">
        <f t="shared" si="58"/>
        <v>10557586.870643837</v>
      </c>
      <c r="I364" s="16">
        <f t="shared" si="59"/>
        <v>-3519195.6193561628</v>
      </c>
    </row>
    <row r="365" spans="1:9" x14ac:dyDescent="0.25">
      <c r="A365" s="36">
        <v>45813</v>
      </c>
      <c r="B365" s="1">
        <f t="shared" si="54"/>
        <v>31</v>
      </c>
      <c r="C365" s="4">
        <f t="shared" si="52"/>
        <v>16940598</v>
      </c>
      <c r="D365" s="2">
        <f t="shared" si="55"/>
        <v>2443235.0600000005</v>
      </c>
      <c r="E365" s="19">
        <f t="shared" si="53"/>
        <v>14497362.939999999</v>
      </c>
      <c r="F365" s="2">
        <f t="shared" si="56"/>
        <v>853473786.22000015</v>
      </c>
      <c r="G365" s="2">
        <f t="shared" si="57"/>
        <v>851030551.16000021</v>
      </c>
      <c r="H365" s="14">
        <f t="shared" si="58"/>
        <v>10873022.20800822</v>
      </c>
      <c r="I365" s="16">
        <f t="shared" si="59"/>
        <v>-3624340.7319917791</v>
      </c>
    </row>
    <row r="366" spans="1:9" x14ac:dyDescent="0.25">
      <c r="A366" s="36">
        <v>45843</v>
      </c>
      <c r="B366" s="1">
        <f t="shared" si="54"/>
        <v>30</v>
      </c>
      <c r="C366" s="4">
        <f t="shared" si="52"/>
        <v>16940598</v>
      </c>
      <c r="D366" s="2">
        <f t="shared" si="55"/>
        <v>2951054.6899999995</v>
      </c>
      <c r="E366" s="19">
        <f t="shared" si="53"/>
        <v>13989543.310000001</v>
      </c>
      <c r="F366" s="2">
        <f t="shared" si="56"/>
        <v>851030551.16000021</v>
      </c>
      <c r="G366" s="2">
        <f t="shared" si="57"/>
        <v>848079496.47000015</v>
      </c>
      <c r="H366" s="14">
        <f t="shared" si="58"/>
        <v>10492157.480054796</v>
      </c>
      <c r="I366" s="16">
        <f t="shared" si="59"/>
        <v>-3497385.8299452048</v>
      </c>
    </row>
    <row r="367" spans="1:9" x14ac:dyDescent="0.25">
      <c r="A367" s="36">
        <v>45874</v>
      </c>
      <c r="B367" s="1">
        <f t="shared" si="54"/>
        <v>31</v>
      </c>
      <c r="C367" s="4">
        <f t="shared" si="52"/>
        <v>16940598</v>
      </c>
      <c r="D367" s="2">
        <f t="shared" si="55"/>
        <v>2534864.09</v>
      </c>
      <c r="E367" s="19">
        <f t="shared" si="53"/>
        <v>14405733.91</v>
      </c>
      <c r="F367" s="2">
        <f t="shared" si="56"/>
        <v>848079496.47000015</v>
      </c>
      <c r="G367" s="2">
        <f t="shared" si="57"/>
        <v>845544632.38000011</v>
      </c>
      <c r="H367" s="14">
        <f t="shared" si="58"/>
        <v>10804300.434480824</v>
      </c>
      <c r="I367" s="16">
        <f t="shared" si="59"/>
        <v>-3601433.4755191766</v>
      </c>
    </row>
    <row r="368" spans="1:9" x14ac:dyDescent="0.25">
      <c r="A368" s="36">
        <v>45905</v>
      </c>
      <c r="B368" s="1">
        <f t="shared" si="54"/>
        <v>31</v>
      </c>
      <c r="C368" s="4">
        <f t="shared" si="52"/>
        <v>16940598</v>
      </c>
      <c r="D368" s="2">
        <f t="shared" si="55"/>
        <v>2577922.0500000007</v>
      </c>
      <c r="E368" s="19">
        <f t="shared" si="53"/>
        <v>14362675.949999999</v>
      </c>
      <c r="F368" s="2">
        <f t="shared" si="56"/>
        <v>845544632.38000011</v>
      </c>
      <c r="G368" s="2">
        <f t="shared" si="57"/>
        <v>842966710.33000016</v>
      </c>
      <c r="H368" s="14">
        <f t="shared" si="58"/>
        <v>10772006.960457535</v>
      </c>
      <c r="I368" s="16">
        <f t="shared" si="59"/>
        <v>-3590668.9895424638</v>
      </c>
    </row>
    <row r="369" spans="1:9" x14ac:dyDescent="0.25">
      <c r="A369" s="36">
        <v>45935</v>
      </c>
      <c r="B369" s="1">
        <f t="shared" si="54"/>
        <v>30</v>
      </c>
      <c r="C369" s="4">
        <f t="shared" si="52"/>
        <v>16940598</v>
      </c>
      <c r="D369" s="2">
        <f t="shared" si="55"/>
        <v>3083610.9800000004</v>
      </c>
      <c r="E369" s="19">
        <f t="shared" si="53"/>
        <v>13856987.02</v>
      </c>
      <c r="F369" s="2">
        <f t="shared" si="56"/>
        <v>842966710.33000016</v>
      </c>
      <c r="G369" s="2">
        <f t="shared" si="57"/>
        <v>839883099.35000014</v>
      </c>
      <c r="H369" s="14">
        <f t="shared" si="58"/>
        <v>10392740.264342468</v>
      </c>
      <c r="I369" s="16">
        <f t="shared" si="59"/>
        <v>-3464246.7556575313</v>
      </c>
    </row>
    <row r="370" spans="1:9" x14ac:dyDescent="0.25">
      <c r="A370" s="36">
        <v>45966</v>
      </c>
      <c r="B370" s="1">
        <f t="shared" si="54"/>
        <v>31</v>
      </c>
      <c r="C370" s="4">
        <f t="shared" si="52"/>
        <v>16940598</v>
      </c>
      <c r="D370" s="2">
        <f t="shared" si="55"/>
        <v>2674090.5600000005</v>
      </c>
      <c r="E370" s="19">
        <f t="shared" si="53"/>
        <v>14266507.439999999</v>
      </c>
      <c r="F370" s="2">
        <f t="shared" si="56"/>
        <v>839883099.35000014</v>
      </c>
      <c r="G370" s="2">
        <f t="shared" si="57"/>
        <v>837209008.7900002</v>
      </c>
      <c r="H370" s="14">
        <f t="shared" si="58"/>
        <v>10699880.580760276</v>
      </c>
      <c r="I370" s="16">
        <f t="shared" si="59"/>
        <v>-3566626.8592397235</v>
      </c>
    </row>
    <row r="371" spans="1:9" x14ac:dyDescent="0.25">
      <c r="A371" s="36">
        <v>45996</v>
      </c>
      <c r="B371" s="1">
        <f t="shared" si="54"/>
        <v>30</v>
      </c>
      <c r="C371" s="4">
        <f t="shared" si="52"/>
        <v>16940598</v>
      </c>
      <c r="D371" s="2">
        <f t="shared" si="55"/>
        <v>3178258.1300000008</v>
      </c>
      <c r="E371" s="19">
        <f t="shared" si="53"/>
        <v>13762339.869999999</v>
      </c>
      <c r="F371" s="2">
        <f t="shared" si="56"/>
        <v>837209008.7900002</v>
      </c>
      <c r="G371" s="2">
        <f t="shared" si="57"/>
        <v>834030750.66000021</v>
      </c>
      <c r="H371" s="14">
        <f t="shared" si="58"/>
        <v>10321754.902890414</v>
      </c>
      <c r="I371" s="16">
        <f t="shared" si="59"/>
        <v>-3440584.9671095852</v>
      </c>
    </row>
    <row r="372" spans="1:9" x14ac:dyDescent="0.25">
      <c r="A372" s="36">
        <v>46027</v>
      </c>
      <c r="B372" s="1">
        <f t="shared" si="54"/>
        <v>31</v>
      </c>
      <c r="C372" s="4">
        <f t="shared" si="52"/>
        <v>16940598</v>
      </c>
      <c r="D372" s="2">
        <f t="shared" si="55"/>
        <v>2773500.3200000003</v>
      </c>
      <c r="E372" s="19">
        <f t="shared" si="53"/>
        <v>14167097.68</v>
      </c>
      <c r="F372" s="2">
        <f t="shared" si="56"/>
        <v>834030750.66000021</v>
      </c>
      <c r="G372" s="2">
        <f t="shared" si="57"/>
        <v>831257250.34000015</v>
      </c>
      <c r="H372" s="14">
        <f t="shared" si="58"/>
        <v>10625323.261832878</v>
      </c>
      <c r="I372" s="16">
        <f t="shared" si="59"/>
        <v>-3541774.4181671217</v>
      </c>
    </row>
    <row r="373" spans="1:9" x14ac:dyDescent="0.25">
      <c r="A373" s="36">
        <v>46058</v>
      </c>
      <c r="B373" s="1">
        <f t="shared" si="54"/>
        <v>31</v>
      </c>
      <c r="C373" s="4">
        <f t="shared" si="52"/>
        <v>16940598</v>
      </c>
      <c r="D373" s="2">
        <f t="shared" si="55"/>
        <v>2820611.83</v>
      </c>
      <c r="E373" s="19">
        <f t="shared" si="53"/>
        <v>14119986.17</v>
      </c>
      <c r="F373" s="2">
        <f t="shared" si="56"/>
        <v>831257250.34000015</v>
      </c>
      <c r="G373" s="2">
        <f t="shared" si="57"/>
        <v>828436638.51000011</v>
      </c>
      <c r="H373" s="14">
        <f t="shared" si="58"/>
        <v>10589989.627619179</v>
      </c>
      <c r="I373" s="16">
        <f t="shared" si="59"/>
        <v>-3529996.542380821</v>
      </c>
    </row>
    <row r="374" spans="1:9" x14ac:dyDescent="0.25">
      <c r="A374" s="36">
        <v>46086</v>
      </c>
      <c r="B374" s="1">
        <f t="shared" si="54"/>
        <v>28</v>
      </c>
      <c r="C374" s="4">
        <f t="shared" si="52"/>
        <v>16940598</v>
      </c>
      <c r="D374" s="2">
        <f t="shared" si="55"/>
        <v>4230337.24</v>
      </c>
      <c r="E374" s="19">
        <f t="shared" si="53"/>
        <v>12710260.76</v>
      </c>
      <c r="F374" s="2">
        <f t="shared" si="56"/>
        <v>828436638.51000011</v>
      </c>
      <c r="G374" s="2">
        <f t="shared" si="57"/>
        <v>824206301.2700001</v>
      </c>
      <c r="H374" s="14">
        <f t="shared" si="58"/>
        <v>9532695.5664164405</v>
      </c>
      <c r="I374" s="16">
        <f t="shared" si="59"/>
        <v>-3177565.1935835592</v>
      </c>
    </row>
    <row r="375" spans="1:9" x14ac:dyDescent="0.25">
      <c r="A375" s="36">
        <v>46117</v>
      </c>
      <c r="B375" s="1">
        <f t="shared" si="54"/>
        <v>31</v>
      </c>
      <c r="C375" s="4">
        <f t="shared" ref="C375:C438" si="60">$F$1</f>
        <v>16940598</v>
      </c>
      <c r="D375" s="2">
        <f t="shared" si="55"/>
        <v>2940381.3800000008</v>
      </c>
      <c r="E375" s="19">
        <f t="shared" ref="E375:E438" si="61">ROUND(F375*$J$1*B375/365,2)</f>
        <v>14000216.619999999</v>
      </c>
      <c r="F375" s="2">
        <f t="shared" si="56"/>
        <v>824206301.2700001</v>
      </c>
      <c r="G375" s="2">
        <f t="shared" si="57"/>
        <v>821265919.8900001</v>
      </c>
      <c r="H375" s="14">
        <f t="shared" si="58"/>
        <v>10500162.468234248</v>
      </c>
      <c r="I375" s="16">
        <f t="shared" si="59"/>
        <v>-3500054.1517657507</v>
      </c>
    </row>
    <row r="376" spans="1:9" x14ac:dyDescent="0.25">
      <c r="A376" s="36">
        <v>46147</v>
      </c>
      <c r="B376" s="1">
        <f t="shared" si="54"/>
        <v>30</v>
      </c>
      <c r="C376" s="4">
        <f t="shared" si="60"/>
        <v>16940598</v>
      </c>
      <c r="D376" s="2">
        <f t="shared" si="55"/>
        <v>3440336.3000000007</v>
      </c>
      <c r="E376" s="19">
        <f t="shared" si="61"/>
        <v>13500261.699999999</v>
      </c>
      <c r="F376" s="2">
        <f t="shared" si="56"/>
        <v>821265919.8900001</v>
      </c>
      <c r="G376" s="2">
        <f t="shared" si="57"/>
        <v>817825583.59000015</v>
      </c>
      <c r="H376" s="14">
        <f t="shared" si="58"/>
        <v>10125196.272616439</v>
      </c>
      <c r="I376" s="16">
        <f t="shared" si="59"/>
        <v>-3375065.4273835607</v>
      </c>
    </row>
    <row r="377" spans="1:9" x14ac:dyDescent="0.25">
      <c r="A377" s="36">
        <v>46178</v>
      </c>
      <c r="B377" s="1">
        <f t="shared" si="54"/>
        <v>31</v>
      </c>
      <c r="C377" s="4">
        <f t="shared" si="60"/>
        <v>16940598</v>
      </c>
      <c r="D377" s="2">
        <f t="shared" si="55"/>
        <v>3048766.17</v>
      </c>
      <c r="E377" s="19">
        <f t="shared" si="61"/>
        <v>13891831.83</v>
      </c>
      <c r="F377" s="2">
        <f t="shared" si="56"/>
        <v>817825583.59000015</v>
      </c>
      <c r="G377" s="2">
        <f t="shared" si="57"/>
        <v>814776817.4200002</v>
      </c>
      <c r="H377" s="14">
        <f t="shared" si="58"/>
        <v>10418873.873132879</v>
      </c>
      <c r="I377" s="16">
        <f t="shared" si="59"/>
        <v>-3472957.9568671212</v>
      </c>
    </row>
    <row r="378" spans="1:9" x14ac:dyDescent="0.25">
      <c r="A378" s="36">
        <v>46208</v>
      </c>
      <c r="B378" s="1">
        <f t="shared" si="54"/>
        <v>30</v>
      </c>
      <c r="C378" s="4">
        <f t="shared" si="60"/>
        <v>16940598</v>
      </c>
      <c r="D378" s="2">
        <f t="shared" si="55"/>
        <v>3547006.4800000004</v>
      </c>
      <c r="E378" s="19">
        <f t="shared" si="61"/>
        <v>13393591.52</v>
      </c>
      <c r="F378" s="2">
        <f t="shared" si="56"/>
        <v>814776817.4200002</v>
      </c>
      <c r="G378" s="2">
        <f t="shared" si="57"/>
        <v>811229810.94000018</v>
      </c>
      <c r="H378" s="14">
        <f t="shared" si="58"/>
        <v>10045193.639424659</v>
      </c>
      <c r="I378" s="16">
        <f t="shared" si="59"/>
        <v>-3348397.8805753402</v>
      </c>
    </row>
    <row r="379" spans="1:9" x14ac:dyDescent="0.25">
      <c r="A379" s="36">
        <v>46239</v>
      </c>
      <c r="B379" s="1">
        <f t="shared" si="54"/>
        <v>31</v>
      </c>
      <c r="C379" s="4">
        <f t="shared" si="60"/>
        <v>16940598</v>
      </c>
      <c r="D379" s="2">
        <f t="shared" si="55"/>
        <v>3160803.9499999993</v>
      </c>
      <c r="E379" s="19">
        <f t="shared" si="61"/>
        <v>13779794.050000001</v>
      </c>
      <c r="F379" s="2">
        <f t="shared" si="56"/>
        <v>811229810.94000018</v>
      </c>
      <c r="G379" s="2">
        <f t="shared" si="57"/>
        <v>808069006.99000013</v>
      </c>
      <c r="H379" s="14">
        <f t="shared" si="58"/>
        <v>10334845.536632879</v>
      </c>
      <c r="I379" s="16">
        <f t="shared" si="59"/>
        <v>-3444948.513367122</v>
      </c>
    </row>
    <row r="380" spans="1:9" x14ac:dyDescent="0.25">
      <c r="A380" s="36">
        <v>46270</v>
      </c>
      <c r="B380" s="1">
        <f t="shared" si="54"/>
        <v>31</v>
      </c>
      <c r="C380" s="4">
        <f t="shared" si="60"/>
        <v>16940598</v>
      </c>
      <c r="D380" s="2">
        <f t="shared" si="55"/>
        <v>3214494.3200000003</v>
      </c>
      <c r="E380" s="19">
        <f t="shared" si="61"/>
        <v>13726103.68</v>
      </c>
      <c r="F380" s="2">
        <f t="shared" si="56"/>
        <v>808069006.99000013</v>
      </c>
      <c r="G380" s="2">
        <f t="shared" si="57"/>
        <v>804854512.67000008</v>
      </c>
      <c r="H380" s="14">
        <f t="shared" si="58"/>
        <v>10294577.760283563</v>
      </c>
      <c r="I380" s="16">
        <f t="shared" si="59"/>
        <v>-3431525.9197164364</v>
      </c>
    </row>
    <row r="381" spans="1:9" x14ac:dyDescent="0.25">
      <c r="A381" s="36">
        <v>46300</v>
      </c>
      <c r="B381" s="1">
        <f t="shared" si="54"/>
        <v>30</v>
      </c>
      <c r="C381" s="4">
        <f t="shared" si="60"/>
        <v>16940598</v>
      </c>
      <c r="D381" s="2">
        <f t="shared" si="55"/>
        <v>3710112.8599999994</v>
      </c>
      <c r="E381" s="19">
        <f t="shared" si="61"/>
        <v>13230485.140000001</v>
      </c>
      <c r="F381" s="2">
        <f t="shared" si="56"/>
        <v>804854512.67000008</v>
      </c>
      <c r="G381" s="2">
        <f t="shared" si="57"/>
        <v>801144399.81000006</v>
      </c>
      <c r="H381" s="14">
        <f t="shared" si="58"/>
        <v>9922863.8548356164</v>
      </c>
      <c r="I381" s="16">
        <f t="shared" si="59"/>
        <v>-3307621.2851643842</v>
      </c>
    </row>
    <row r="382" spans="1:9" x14ac:dyDescent="0.25">
      <c r="A382" s="36">
        <v>46331</v>
      </c>
      <c r="B382" s="1">
        <f t="shared" si="54"/>
        <v>31</v>
      </c>
      <c r="C382" s="4">
        <f t="shared" si="60"/>
        <v>16940598</v>
      </c>
      <c r="D382" s="2">
        <f t="shared" si="55"/>
        <v>3332117.7799999993</v>
      </c>
      <c r="E382" s="19">
        <f t="shared" si="61"/>
        <v>13608480.220000001</v>
      </c>
      <c r="F382" s="2">
        <f t="shared" si="56"/>
        <v>801144399.81000006</v>
      </c>
      <c r="G382" s="2">
        <f t="shared" si="57"/>
        <v>797812282.03000009</v>
      </c>
      <c r="H382" s="14">
        <f t="shared" si="58"/>
        <v>10206360.161963014</v>
      </c>
      <c r="I382" s="16">
        <f t="shared" si="59"/>
        <v>-3402120.0580369867</v>
      </c>
    </row>
    <row r="383" spans="1:9" x14ac:dyDescent="0.25">
      <c r="A383" s="36">
        <v>46361</v>
      </c>
      <c r="B383" s="1">
        <f t="shared" si="54"/>
        <v>30</v>
      </c>
      <c r="C383" s="4">
        <f t="shared" si="60"/>
        <v>16940598</v>
      </c>
      <c r="D383" s="2">
        <f t="shared" si="55"/>
        <v>3825875.5600000005</v>
      </c>
      <c r="E383" s="19">
        <f t="shared" si="61"/>
        <v>13114722.439999999</v>
      </c>
      <c r="F383" s="2">
        <f t="shared" si="56"/>
        <v>797812282.03000009</v>
      </c>
      <c r="G383" s="2">
        <f t="shared" si="57"/>
        <v>793986406.47000015</v>
      </c>
      <c r="H383" s="14">
        <f t="shared" si="58"/>
        <v>9836041.8332465757</v>
      </c>
      <c r="I383" s="16">
        <f t="shared" si="59"/>
        <v>-3278680.6067534238</v>
      </c>
    </row>
    <row r="384" spans="1:9" x14ac:dyDescent="0.25">
      <c r="A384" s="36">
        <v>46392</v>
      </c>
      <c r="B384" s="1">
        <f t="shared" si="54"/>
        <v>31</v>
      </c>
      <c r="C384" s="4">
        <f t="shared" si="60"/>
        <v>16940598</v>
      </c>
      <c r="D384" s="2">
        <f t="shared" si="55"/>
        <v>3453705.6199999992</v>
      </c>
      <c r="E384" s="19">
        <f t="shared" si="61"/>
        <v>13486892.380000001</v>
      </c>
      <c r="F384" s="2">
        <f t="shared" si="56"/>
        <v>793986406.47000015</v>
      </c>
      <c r="G384" s="2">
        <f t="shared" si="57"/>
        <v>790532700.85000014</v>
      </c>
      <c r="H384" s="14">
        <f t="shared" si="58"/>
        <v>10115169.287905481</v>
      </c>
      <c r="I384" s="16">
        <f t="shared" si="59"/>
        <v>-3371723.0920945201</v>
      </c>
    </row>
    <row r="385" spans="1:9" x14ac:dyDescent="0.25">
      <c r="A385" s="36">
        <v>46423</v>
      </c>
      <c r="B385" s="1">
        <f t="shared" si="54"/>
        <v>31</v>
      </c>
      <c r="C385" s="4">
        <f t="shared" si="60"/>
        <v>16940598</v>
      </c>
      <c r="D385" s="2">
        <f t="shared" si="55"/>
        <v>3512371.3000000007</v>
      </c>
      <c r="E385" s="19">
        <f t="shared" si="61"/>
        <v>13428226.699999999</v>
      </c>
      <c r="F385" s="2">
        <f t="shared" si="56"/>
        <v>790532700.85000014</v>
      </c>
      <c r="G385" s="2">
        <f t="shared" si="57"/>
        <v>787020329.55000019</v>
      </c>
      <c r="H385" s="14">
        <f t="shared" si="58"/>
        <v>10071170.024527399</v>
      </c>
      <c r="I385" s="16">
        <f t="shared" si="59"/>
        <v>-3357056.6754726004</v>
      </c>
    </row>
    <row r="386" spans="1:9" x14ac:dyDescent="0.25">
      <c r="A386" s="36">
        <v>46451</v>
      </c>
      <c r="B386" s="1">
        <f t="shared" si="54"/>
        <v>28</v>
      </c>
      <c r="C386" s="4">
        <f t="shared" si="60"/>
        <v>16940598</v>
      </c>
      <c r="D386" s="2">
        <f t="shared" si="55"/>
        <v>4865765.5500000007</v>
      </c>
      <c r="E386" s="19">
        <f t="shared" si="61"/>
        <v>12074832.449999999</v>
      </c>
      <c r="F386" s="2">
        <f t="shared" si="56"/>
        <v>787020329.55000019</v>
      </c>
      <c r="G386" s="2">
        <f t="shared" si="57"/>
        <v>782154564.00000024</v>
      </c>
      <c r="H386" s="14">
        <f t="shared" si="58"/>
        <v>9056124.3400273994</v>
      </c>
      <c r="I386" s="16">
        <f t="shared" si="59"/>
        <v>-3018708.1099725999</v>
      </c>
    </row>
    <row r="387" spans="1:9" x14ac:dyDescent="0.25">
      <c r="A387" s="36">
        <v>46482</v>
      </c>
      <c r="B387" s="1">
        <f t="shared" si="54"/>
        <v>31</v>
      </c>
      <c r="C387" s="4">
        <f t="shared" si="60"/>
        <v>16940598</v>
      </c>
      <c r="D387" s="2">
        <f t="shared" si="55"/>
        <v>3654684.8599999994</v>
      </c>
      <c r="E387" s="19">
        <f t="shared" si="61"/>
        <v>13285913.140000001</v>
      </c>
      <c r="F387" s="2">
        <f t="shared" si="56"/>
        <v>782154564.00000024</v>
      </c>
      <c r="G387" s="2">
        <f t="shared" si="57"/>
        <v>778499879.14000022</v>
      </c>
      <c r="H387" s="14">
        <f t="shared" si="58"/>
        <v>9964434.8564383592</v>
      </c>
      <c r="I387" s="16">
        <f t="shared" si="59"/>
        <v>-3321478.2835616414</v>
      </c>
    </row>
    <row r="388" spans="1:9" x14ac:dyDescent="0.25">
      <c r="A388" s="36">
        <v>46512</v>
      </c>
      <c r="B388" s="1">
        <f t="shared" si="54"/>
        <v>30</v>
      </c>
      <c r="C388" s="4">
        <f t="shared" si="60"/>
        <v>16940598</v>
      </c>
      <c r="D388" s="2">
        <f t="shared" si="55"/>
        <v>4143339.7100000009</v>
      </c>
      <c r="E388" s="19">
        <f t="shared" si="61"/>
        <v>12797258.289999999</v>
      </c>
      <c r="F388" s="2">
        <f t="shared" si="56"/>
        <v>778499879.14000022</v>
      </c>
      <c r="G388" s="2">
        <f t="shared" si="57"/>
        <v>774356539.43000019</v>
      </c>
      <c r="H388" s="14">
        <f t="shared" si="58"/>
        <v>9597943.7154246606</v>
      </c>
      <c r="I388" s="16">
        <f t="shared" si="59"/>
        <v>-3199314.5745753385</v>
      </c>
    </row>
    <row r="389" spans="1:9" x14ac:dyDescent="0.25">
      <c r="A389" s="36">
        <v>46543</v>
      </c>
      <c r="B389" s="1">
        <f t="shared" si="54"/>
        <v>31</v>
      </c>
      <c r="C389" s="4">
        <f t="shared" si="60"/>
        <v>16940598</v>
      </c>
      <c r="D389" s="2">
        <f t="shared" si="55"/>
        <v>3787144.4499999993</v>
      </c>
      <c r="E389" s="19">
        <f t="shared" si="61"/>
        <v>13153453.550000001</v>
      </c>
      <c r="F389" s="2">
        <f t="shared" si="56"/>
        <v>774356539.43000019</v>
      </c>
      <c r="G389" s="2">
        <f t="shared" si="57"/>
        <v>770569394.98000014</v>
      </c>
      <c r="H389" s="14">
        <f t="shared" si="58"/>
        <v>9865090.1598616447</v>
      </c>
      <c r="I389" s="16">
        <f t="shared" si="59"/>
        <v>-3288363.390138356</v>
      </c>
    </row>
    <row r="390" spans="1:9" x14ac:dyDescent="0.25">
      <c r="A390" s="36">
        <v>46573</v>
      </c>
      <c r="B390" s="1">
        <f t="shared" si="54"/>
        <v>30</v>
      </c>
      <c r="C390" s="4">
        <f t="shared" si="60"/>
        <v>16940598</v>
      </c>
      <c r="D390" s="2">
        <f t="shared" si="55"/>
        <v>4273703.84</v>
      </c>
      <c r="E390" s="19">
        <f t="shared" si="61"/>
        <v>12666894.16</v>
      </c>
      <c r="F390" s="2">
        <f t="shared" si="56"/>
        <v>770569394.98000014</v>
      </c>
      <c r="G390" s="2">
        <f t="shared" si="57"/>
        <v>766295691.1400001</v>
      </c>
      <c r="H390" s="14">
        <f t="shared" si="58"/>
        <v>9500170.6230410989</v>
      </c>
      <c r="I390" s="16">
        <f t="shared" si="59"/>
        <v>-3166723.5369589012</v>
      </c>
    </row>
    <row r="391" spans="1:9" x14ac:dyDescent="0.25">
      <c r="A391" s="36">
        <v>46604</v>
      </c>
      <c r="B391" s="1">
        <f t="shared" ref="B391:B454" si="62">_xlfn.DAYS(A391,A390)</f>
        <v>31</v>
      </c>
      <c r="C391" s="4">
        <f t="shared" si="60"/>
        <v>16940598</v>
      </c>
      <c r="D391" s="2">
        <f t="shared" si="55"/>
        <v>3924068.4499999993</v>
      </c>
      <c r="E391" s="19">
        <f t="shared" si="61"/>
        <v>13016529.550000001</v>
      </c>
      <c r="F391" s="2">
        <f t="shared" si="56"/>
        <v>766295691.1400001</v>
      </c>
      <c r="G391" s="2">
        <f t="shared" si="57"/>
        <v>762371622.69000006</v>
      </c>
      <c r="H391" s="14">
        <f t="shared" si="58"/>
        <v>9762397.1610986311</v>
      </c>
      <c r="I391" s="16">
        <f t="shared" si="59"/>
        <v>-3254132.3889013696</v>
      </c>
    </row>
    <row r="392" spans="1:9" x14ac:dyDescent="0.25">
      <c r="A392" s="36">
        <v>46635</v>
      </c>
      <c r="B392" s="1">
        <f t="shared" si="62"/>
        <v>31</v>
      </c>
      <c r="C392" s="4">
        <f t="shared" si="60"/>
        <v>16940598</v>
      </c>
      <c r="D392" s="2">
        <f t="shared" si="55"/>
        <v>3990723.8599999994</v>
      </c>
      <c r="E392" s="19">
        <f t="shared" si="61"/>
        <v>12949874.140000001</v>
      </c>
      <c r="F392" s="2">
        <f t="shared" si="56"/>
        <v>762371622.69000006</v>
      </c>
      <c r="G392" s="2">
        <f t="shared" si="57"/>
        <v>758380898.83000004</v>
      </c>
      <c r="H392" s="14">
        <f t="shared" si="58"/>
        <v>9712405.6041328777</v>
      </c>
      <c r="I392" s="16">
        <f t="shared" si="59"/>
        <v>-3237468.5358671229</v>
      </c>
    </row>
    <row r="393" spans="1:9" x14ac:dyDescent="0.25">
      <c r="A393" s="36">
        <v>46665</v>
      </c>
      <c r="B393" s="1">
        <f t="shared" si="62"/>
        <v>30</v>
      </c>
      <c r="C393" s="4">
        <f t="shared" si="60"/>
        <v>16940598</v>
      </c>
      <c r="D393" s="2">
        <f t="shared" si="55"/>
        <v>4474062.68</v>
      </c>
      <c r="E393" s="19">
        <f t="shared" si="61"/>
        <v>12466535.32</v>
      </c>
      <c r="F393" s="2">
        <f t="shared" si="56"/>
        <v>758380898.83000004</v>
      </c>
      <c r="G393" s="2">
        <f t="shared" si="57"/>
        <v>753906836.1500001</v>
      </c>
      <c r="H393" s="14">
        <f t="shared" si="58"/>
        <v>9349901.4924246576</v>
      </c>
      <c r="I393" s="16">
        <f t="shared" si="59"/>
        <v>-3116633.8275753427</v>
      </c>
    </row>
    <row r="394" spans="1:9" x14ac:dyDescent="0.25">
      <c r="A394" s="36">
        <v>46696</v>
      </c>
      <c r="B394" s="1">
        <f t="shared" si="62"/>
        <v>31</v>
      </c>
      <c r="C394" s="4">
        <f t="shared" si="60"/>
        <v>16940598</v>
      </c>
      <c r="D394" s="2">
        <f t="shared" si="55"/>
        <v>4134509.2799999993</v>
      </c>
      <c r="E394" s="19">
        <f t="shared" si="61"/>
        <v>12806088.720000001</v>
      </c>
      <c r="F394" s="2">
        <f t="shared" si="56"/>
        <v>753906836.1500001</v>
      </c>
      <c r="G394" s="2">
        <f t="shared" si="57"/>
        <v>749772326.87000012</v>
      </c>
      <c r="H394" s="14">
        <f t="shared" si="58"/>
        <v>9604566.5427328777</v>
      </c>
      <c r="I394" s="16">
        <f t="shared" si="59"/>
        <v>-3201522.177267123</v>
      </c>
    </row>
    <row r="395" spans="1:9" x14ac:dyDescent="0.25">
      <c r="A395" s="36">
        <v>46726</v>
      </c>
      <c r="B395" s="1">
        <f t="shared" si="62"/>
        <v>30</v>
      </c>
      <c r="C395" s="4">
        <f t="shared" si="60"/>
        <v>16940598</v>
      </c>
      <c r="D395" s="2">
        <f t="shared" ref="D395:D458" si="63">C395-E395</f>
        <v>4615573.4499999993</v>
      </c>
      <c r="E395" s="19">
        <f t="shared" si="61"/>
        <v>12325024.550000001</v>
      </c>
      <c r="F395" s="2">
        <f t="shared" ref="F395:F458" si="64">G394</f>
        <v>749772326.87000012</v>
      </c>
      <c r="G395" s="2">
        <f t="shared" ref="G395:G458" si="65">F395-D395</f>
        <v>745156753.42000008</v>
      </c>
      <c r="H395" s="14">
        <f t="shared" ref="H395:H458" si="66">F395*$B$2*B395/365</f>
        <v>9243768.4134657551</v>
      </c>
      <c r="I395" s="16">
        <f t="shared" ref="I395:I458" si="67">H395-E395</f>
        <v>-3081256.1365342457</v>
      </c>
    </row>
    <row r="396" spans="1:9" x14ac:dyDescent="0.25">
      <c r="A396" s="36">
        <v>46757</v>
      </c>
      <c r="B396" s="1">
        <f t="shared" si="62"/>
        <v>31</v>
      </c>
      <c r="C396" s="4">
        <f t="shared" si="60"/>
        <v>16940598</v>
      </c>
      <c r="D396" s="2">
        <f t="shared" si="63"/>
        <v>4283140.82</v>
      </c>
      <c r="E396" s="19">
        <f t="shared" si="61"/>
        <v>12657457.18</v>
      </c>
      <c r="F396" s="2">
        <f t="shared" si="64"/>
        <v>745156753.42000008</v>
      </c>
      <c r="G396" s="2">
        <f t="shared" si="65"/>
        <v>740873612.60000002</v>
      </c>
      <c r="H396" s="14">
        <f t="shared" si="66"/>
        <v>9493092.8860356174</v>
      </c>
      <c r="I396" s="16">
        <f t="shared" si="67"/>
        <v>-3164364.2939643823</v>
      </c>
    </row>
    <row r="397" spans="1:9" x14ac:dyDescent="0.25">
      <c r="A397" s="36">
        <v>46788</v>
      </c>
      <c r="B397" s="1">
        <f t="shared" si="62"/>
        <v>31</v>
      </c>
      <c r="C397" s="4">
        <f t="shared" si="60"/>
        <v>16940598</v>
      </c>
      <c r="D397" s="2">
        <f t="shared" si="63"/>
        <v>4355895.5399999991</v>
      </c>
      <c r="E397" s="19">
        <f t="shared" si="61"/>
        <v>12584702.460000001</v>
      </c>
      <c r="F397" s="2">
        <f t="shared" si="64"/>
        <v>740873612.60000002</v>
      </c>
      <c r="G397" s="2">
        <f t="shared" si="65"/>
        <v>736517717.06000006</v>
      </c>
      <c r="H397" s="14">
        <f t="shared" si="66"/>
        <v>9438526.8454520553</v>
      </c>
      <c r="I397" s="16">
        <f t="shared" si="67"/>
        <v>-3146175.6145479456</v>
      </c>
    </row>
    <row r="398" spans="1:9" x14ac:dyDescent="0.25">
      <c r="A398" s="36">
        <v>46817</v>
      </c>
      <c r="B398" s="1">
        <f t="shared" si="62"/>
        <v>29</v>
      </c>
      <c r="C398" s="4">
        <f t="shared" si="60"/>
        <v>16940598</v>
      </c>
      <c r="D398" s="2">
        <f t="shared" si="63"/>
        <v>5237028.8000000007</v>
      </c>
      <c r="E398" s="19">
        <f t="shared" si="61"/>
        <v>11703569.199999999</v>
      </c>
      <c r="F398" s="2">
        <f t="shared" si="64"/>
        <v>736517717.06000006</v>
      </c>
      <c r="G398" s="2">
        <f t="shared" si="65"/>
        <v>731280688.26000011</v>
      </c>
      <c r="H398" s="14">
        <f t="shared" si="66"/>
        <v>8777676.9019479454</v>
      </c>
      <c r="I398" s="16">
        <f t="shared" si="67"/>
        <v>-2925892.2980520539</v>
      </c>
    </row>
    <row r="399" spans="1:9" x14ac:dyDescent="0.25">
      <c r="A399" s="36">
        <v>46848</v>
      </c>
      <c r="B399" s="1">
        <f t="shared" si="62"/>
        <v>31</v>
      </c>
      <c r="C399" s="4">
        <f t="shared" si="60"/>
        <v>16940598</v>
      </c>
      <c r="D399" s="2">
        <f t="shared" si="63"/>
        <v>4518843.84</v>
      </c>
      <c r="E399" s="19">
        <f t="shared" si="61"/>
        <v>12421754.16</v>
      </c>
      <c r="F399" s="2">
        <f t="shared" si="64"/>
        <v>731280688.26000011</v>
      </c>
      <c r="G399" s="2">
        <f t="shared" si="65"/>
        <v>726761844.42000008</v>
      </c>
      <c r="H399" s="14">
        <f t="shared" si="66"/>
        <v>9316315.6175589059</v>
      </c>
      <c r="I399" s="16">
        <f t="shared" si="67"/>
        <v>-3105438.5424410943</v>
      </c>
    </row>
    <row r="400" spans="1:9" x14ac:dyDescent="0.25">
      <c r="A400" s="36">
        <v>46878</v>
      </c>
      <c r="B400" s="1">
        <f t="shared" si="62"/>
        <v>30</v>
      </c>
      <c r="C400" s="4">
        <f t="shared" si="60"/>
        <v>16940598</v>
      </c>
      <c r="D400" s="2">
        <f t="shared" si="63"/>
        <v>4993827.9499999993</v>
      </c>
      <c r="E400" s="19">
        <f t="shared" si="61"/>
        <v>11946770.050000001</v>
      </c>
      <c r="F400" s="2">
        <f t="shared" si="64"/>
        <v>726761844.42000008</v>
      </c>
      <c r="G400" s="2">
        <f t="shared" si="65"/>
        <v>721768016.47000003</v>
      </c>
      <c r="H400" s="14">
        <f t="shared" si="66"/>
        <v>8960077.5339452047</v>
      </c>
      <c r="I400" s="16">
        <f t="shared" si="67"/>
        <v>-2986692.5160547961</v>
      </c>
    </row>
    <row r="401" spans="1:9" x14ac:dyDescent="0.25">
      <c r="A401" s="36">
        <v>46909</v>
      </c>
      <c r="B401" s="1">
        <f t="shared" si="62"/>
        <v>31</v>
      </c>
      <c r="C401" s="4">
        <f t="shared" si="60"/>
        <v>16940598</v>
      </c>
      <c r="D401" s="2">
        <f t="shared" si="63"/>
        <v>4680428.9499999993</v>
      </c>
      <c r="E401" s="19">
        <f t="shared" si="61"/>
        <v>12260169.050000001</v>
      </c>
      <c r="F401" s="2">
        <f t="shared" si="64"/>
        <v>721768016.47000003</v>
      </c>
      <c r="G401" s="2">
        <f t="shared" si="65"/>
        <v>717087587.51999998</v>
      </c>
      <c r="H401" s="14">
        <f t="shared" si="66"/>
        <v>9195126.7851657532</v>
      </c>
      <c r="I401" s="16">
        <f t="shared" si="67"/>
        <v>-3065042.2648342475</v>
      </c>
    </row>
    <row r="402" spans="1:9" x14ac:dyDescent="0.25">
      <c r="A402" s="36">
        <v>46939</v>
      </c>
      <c r="B402" s="1">
        <f t="shared" si="62"/>
        <v>30</v>
      </c>
      <c r="C402" s="4">
        <f t="shared" si="60"/>
        <v>16940598</v>
      </c>
      <c r="D402" s="2">
        <f t="shared" si="63"/>
        <v>5152856.84</v>
      </c>
      <c r="E402" s="19">
        <f t="shared" si="61"/>
        <v>11787741.16</v>
      </c>
      <c r="F402" s="2">
        <f t="shared" si="64"/>
        <v>717087587.51999998</v>
      </c>
      <c r="G402" s="2">
        <f t="shared" si="65"/>
        <v>711934730.67999995</v>
      </c>
      <c r="H402" s="14">
        <f t="shared" si="66"/>
        <v>8840805.8735342454</v>
      </c>
      <c r="I402" s="16">
        <f t="shared" si="67"/>
        <v>-2946935.2864657547</v>
      </c>
    </row>
    <row r="403" spans="1:9" x14ac:dyDescent="0.25">
      <c r="A403" s="36">
        <v>46970</v>
      </c>
      <c r="B403" s="1">
        <f t="shared" si="62"/>
        <v>31</v>
      </c>
      <c r="C403" s="4">
        <f t="shared" si="60"/>
        <v>16940598</v>
      </c>
      <c r="D403" s="2">
        <f t="shared" si="63"/>
        <v>4847460.1099999994</v>
      </c>
      <c r="E403" s="19">
        <f t="shared" si="61"/>
        <v>12093137.890000001</v>
      </c>
      <c r="F403" s="2">
        <f t="shared" si="64"/>
        <v>711934730.67999995</v>
      </c>
      <c r="G403" s="2">
        <f t="shared" si="65"/>
        <v>707087270.56999993</v>
      </c>
      <c r="H403" s="14">
        <f t="shared" si="66"/>
        <v>9069853.4182520546</v>
      </c>
      <c r="I403" s="16">
        <f t="shared" si="67"/>
        <v>-3023284.471747946</v>
      </c>
    </row>
    <row r="404" spans="1:9" x14ac:dyDescent="0.25">
      <c r="A404" s="36">
        <v>47001</v>
      </c>
      <c r="B404" s="1">
        <f t="shared" si="62"/>
        <v>31</v>
      </c>
      <c r="C404" s="4">
        <f t="shared" si="60"/>
        <v>16940598</v>
      </c>
      <c r="D404" s="2">
        <f t="shared" si="63"/>
        <v>4929800.5299999993</v>
      </c>
      <c r="E404" s="19">
        <f t="shared" si="61"/>
        <v>12010797.470000001</v>
      </c>
      <c r="F404" s="2">
        <f t="shared" si="64"/>
        <v>707087270.56999993</v>
      </c>
      <c r="G404" s="2">
        <f t="shared" si="65"/>
        <v>702157470.03999996</v>
      </c>
      <c r="H404" s="14">
        <f t="shared" si="66"/>
        <v>9008098.1045219172</v>
      </c>
      <c r="I404" s="16">
        <f t="shared" si="67"/>
        <v>-3002699.3654780835</v>
      </c>
    </row>
    <row r="405" spans="1:9" x14ac:dyDescent="0.25">
      <c r="A405" s="36">
        <v>47031</v>
      </c>
      <c r="B405" s="1">
        <f t="shared" si="62"/>
        <v>30</v>
      </c>
      <c r="C405" s="4">
        <f t="shared" si="60"/>
        <v>16940598</v>
      </c>
      <c r="D405" s="2">
        <f t="shared" si="63"/>
        <v>5398283.4199999999</v>
      </c>
      <c r="E405" s="19">
        <f t="shared" si="61"/>
        <v>11542314.58</v>
      </c>
      <c r="F405" s="2">
        <f t="shared" si="64"/>
        <v>702157470.03999996</v>
      </c>
      <c r="G405" s="2">
        <f t="shared" si="65"/>
        <v>696759186.62</v>
      </c>
      <c r="H405" s="14">
        <f t="shared" si="66"/>
        <v>8656735.932</v>
      </c>
      <c r="I405" s="16">
        <f t="shared" si="67"/>
        <v>-2885578.648</v>
      </c>
    </row>
    <row r="406" spans="1:9" x14ac:dyDescent="0.25">
      <c r="A406" s="36">
        <v>47062</v>
      </c>
      <c r="B406" s="1">
        <f t="shared" si="62"/>
        <v>31</v>
      </c>
      <c r="C406" s="4">
        <f t="shared" si="60"/>
        <v>16940598</v>
      </c>
      <c r="D406" s="2">
        <f t="shared" si="63"/>
        <v>5105236.4700000007</v>
      </c>
      <c r="E406" s="19">
        <f t="shared" si="61"/>
        <v>11835361.529999999</v>
      </c>
      <c r="F406" s="2">
        <f t="shared" si="64"/>
        <v>696759186.62</v>
      </c>
      <c r="G406" s="2">
        <f t="shared" si="65"/>
        <v>691653950.14999998</v>
      </c>
      <c r="H406" s="14">
        <f t="shared" si="66"/>
        <v>8876521.1446109582</v>
      </c>
      <c r="I406" s="16">
        <f t="shared" si="67"/>
        <v>-2958840.3853890412</v>
      </c>
    </row>
    <row r="407" spans="1:9" x14ac:dyDescent="0.25">
      <c r="A407" s="36">
        <v>47092</v>
      </c>
      <c r="B407" s="1">
        <f t="shared" si="62"/>
        <v>30</v>
      </c>
      <c r="C407" s="4">
        <f t="shared" si="60"/>
        <v>16940598</v>
      </c>
      <c r="D407" s="2">
        <f t="shared" si="63"/>
        <v>5570944.0199999996</v>
      </c>
      <c r="E407" s="19">
        <f t="shared" si="61"/>
        <v>11369653.98</v>
      </c>
      <c r="F407" s="2">
        <f t="shared" si="64"/>
        <v>691653950.14999998</v>
      </c>
      <c r="G407" s="2">
        <f t="shared" si="65"/>
        <v>686083006.13</v>
      </c>
      <c r="H407" s="14">
        <f t="shared" si="66"/>
        <v>8527240.4813013691</v>
      </c>
      <c r="I407" s="16">
        <f t="shared" si="67"/>
        <v>-2842413.4986986313</v>
      </c>
    </row>
    <row r="408" spans="1:9" x14ac:dyDescent="0.25">
      <c r="A408" s="36">
        <v>47123</v>
      </c>
      <c r="B408" s="1">
        <f t="shared" si="62"/>
        <v>31</v>
      </c>
      <c r="C408" s="4">
        <f t="shared" si="60"/>
        <v>16940598</v>
      </c>
      <c r="D408" s="2">
        <f t="shared" si="63"/>
        <v>5286585.2899999991</v>
      </c>
      <c r="E408" s="19">
        <f t="shared" si="61"/>
        <v>11654012.710000001</v>
      </c>
      <c r="F408" s="2">
        <f t="shared" si="64"/>
        <v>686083006.13</v>
      </c>
      <c r="G408" s="2">
        <f t="shared" si="65"/>
        <v>680796420.84000003</v>
      </c>
      <c r="H408" s="14">
        <f t="shared" si="66"/>
        <v>8740509.5301493146</v>
      </c>
      <c r="I408" s="16">
        <f t="shared" si="67"/>
        <v>-2913503.1798506863</v>
      </c>
    </row>
    <row r="409" spans="1:9" x14ac:dyDescent="0.25">
      <c r="A409" s="36">
        <v>47154</v>
      </c>
      <c r="B409" s="1">
        <f t="shared" si="62"/>
        <v>31</v>
      </c>
      <c r="C409" s="4">
        <f t="shared" si="60"/>
        <v>16940598</v>
      </c>
      <c r="D409" s="2">
        <f t="shared" si="63"/>
        <v>5376384.8200000003</v>
      </c>
      <c r="E409" s="19">
        <f t="shared" si="61"/>
        <v>11564213.18</v>
      </c>
      <c r="F409" s="2">
        <f t="shared" si="64"/>
        <v>680796420.84000003</v>
      </c>
      <c r="G409" s="2">
        <f t="shared" si="65"/>
        <v>675420036.01999998</v>
      </c>
      <c r="H409" s="14">
        <f t="shared" si="66"/>
        <v>8673159.881934246</v>
      </c>
      <c r="I409" s="16">
        <f t="shared" si="67"/>
        <v>-2891053.2980657537</v>
      </c>
    </row>
    <row r="410" spans="1:9" x14ac:dyDescent="0.25">
      <c r="A410" s="36">
        <v>47182</v>
      </c>
      <c r="B410" s="1">
        <f t="shared" si="62"/>
        <v>28</v>
      </c>
      <c r="C410" s="4">
        <f t="shared" si="60"/>
        <v>16940598</v>
      </c>
      <c r="D410" s="2">
        <f t="shared" si="63"/>
        <v>6577989.2300000004</v>
      </c>
      <c r="E410" s="19">
        <f t="shared" si="61"/>
        <v>10362608.77</v>
      </c>
      <c r="F410" s="2">
        <f t="shared" si="64"/>
        <v>675420036.01999998</v>
      </c>
      <c r="G410" s="2">
        <f t="shared" si="65"/>
        <v>668842046.78999996</v>
      </c>
      <c r="H410" s="14">
        <f t="shared" si="66"/>
        <v>7771956.5788602736</v>
      </c>
      <c r="I410" s="16">
        <f t="shared" si="67"/>
        <v>-2590652.191139726</v>
      </c>
    </row>
    <row r="411" spans="1:9" x14ac:dyDescent="0.25">
      <c r="A411" s="36">
        <v>47213</v>
      </c>
      <c r="B411" s="1">
        <f t="shared" si="62"/>
        <v>31</v>
      </c>
      <c r="C411" s="4">
        <f t="shared" si="60"/>
        <v>16940598</v>
      </c>
      <c r="D411" s="2">
        <f t="shared" si="63"/>
        <v>5579445.4199999999</v>
      </c>
      <c r="E411" s="19">
        <f t="shared" si="61"/>
        <v>11361152.58</v>
      </c>
      <c r="F411" s="2">
        <f t="shared" si="64"/>
        <v>668842046.78999996</v>
      </c>
      <c r="G411" s="2">
        <f t="shared" si="65"/>
        <v>663262601.37</v>
      </c>
      <c r="H411" s="14">
        <f t="shared" si="66"/>
        <v>8520864.4317082185</v>
      </c>
      <c r="I411" s="16">
        <f t="shared" si="67"/>
        <v>-2840288.1482917815</v>
      </c>
    </row>
    <row r="412" spans="1:9" x14ac:dyDescent="0.25">
      <c r="A412" s="36">
        <v>47243</v>
      </c>
      <c r="B412" s="1">
        <f t="shared" si="62"/>
        <v>30</v>
      </c>
      <c r="C412" s="4">
        <f t="shared" si="60"/>
        <v>16940598</v>
      </c>
      <c r="D412" s="2">
        <f t="shared" si="63"/>
        <v>6037651.1300000008</v>
      </c>
      <c r="E412" s="19">
        <f t="shared" si="61"/>
        <v>10902946.869999999</v>
      </c>
      <c r="F412" s="2">
        <f t="shared" si="64"/>
        <v>663262601.37</v>
      </c>
      <c r="G412" s="2">
        <f t="shared" si="65"/>
        <v>657224950.24000001</v>
      </c>
      <c r="H412" s="14">
        <f t="shared" si="66"/>
        <v>8177210.1538767125</v>
      </c>
      <c r="I412" s="16">
        <f t="shared" si="67"/>
        <v>-2725736.7161232866</v>
      </c>
    </row>
    <row r="413" spans="1:9" x14ac:dyDescent="0.25">
      <c r="A413" s="36">
        <v>47274</v>
      </c>
      <c r="B413" s="1">
        <f t="shared" si="62"/>
        <v>31</v>
      </c>
      <c r="C413" s="4">
        <f t="shared" si="60"/>
        <v>16940598</v>
      </c>
      <c r="D413" s="2">
        <f t="shared" si="63"/>
        <v>5776776.9299999997</v>
      </c>
      <c r="E413" s="19">
        <f t="shared" si="61"/>
        <v>11163821.07</v>
      </c>
      <c r="F413" s="2">
        <f t="shared" si="64"/>
        <v>657224950.24000001</v>
      </c>
      <c r="G413" s="2">
        <f t="shared" si="65"/>
        <v>651448173.31000006</v>
      </c>
      <c r="H413" s="14">
        <f t="shared" si="66"/>
        <v>8372865.8044273974</v>
      </c>
      <c r="I413" s="16">
        <f t="shared" si="67"/>
        <v>-2790955.2655726029</v>
      </c>
    </row>
    <row r="414" spans="1:9" x14ac:dyDescent="0.25">
      <c r="A414" s="36">
        <v>47304</v>
      </c>
      <c r="B414" s="1">
        <f t="shared" si="62"/>
        <v>30</v>
      </c>
      <c r="C414" s="4">
        <f t="shared" si="60"/>
        <v>16940598</v>
      </c>
      <c r="D414" s="2">
        <f t="shared" si="63"/>
        <v>6231860.9000000004</v>
      </c>
      <c r="E414" s="19">
        <f t="shared" si="61"/>
        <v>10708737.1</v>
      </c>
      <c r="F414" s="2">
        <f t="shared" si="64"/>
        <v>651448173.31000006</v>
      </c>
      <c r="G414" s="2">
        <f t="shared" si="65"/>
        <v>645216312.41000009</v>
      </c>
      <c r="H414" s="14">
        <f t="shared" si="66"/>
        <v>8031552.821630137</v>
      </c>
      <c r="I414" s="16">
        <f t="shared" si="67"/>
        <v>-2677184.2783698626</v>
      </c>
    </row>
    <row r="415" spans="1:9" x14ac:dyDescent="0.25">
      <c r="A415" s="36">
        <v>47335</v>
      </c>
      <c r="B415" s="1">
        <f t="shared" si="62"/>
        <v>31</v>
      </c>
      <c r="C415" s="4">
        <f t="shared" si="60"/>
        <v>16940598</v>
      </c>
      <c r="D415" s="2">
        <f t="shared" si="63"/>
        <v>5980759.2699999996</v>
      </c>
      <c r="E415" s="19">
        <f t="shared" si="61"/>
        <v>10959838.73</v>
      </c>
      <c r="F415" s="2">
        <f t="shared" si="64"/>
        <v>645216312.41000009</v>
      </c>
      <c r="G415" s="2">
        <f t="shared" si="65"/>
        <v>639235553.1400001</v>
      </c>
      <c r="H415" s="14">
        <f t="shared" si="66"/>
        <v>8219879.0485109603</v>
      </c>
      <c r="I415" s="16">
        <f t="shared" si="67"/>
        <v>-2739959.6814890401</v>
      </c>
    </row>
    <row r="416" spans="1:9" x14ac:dyDescent="0.25">
      <c r="A416" s="36">
        <v>47366</v>
      </c>
      <c r="B416" s="1">
        <f t="shared" si="62"/>
        <v>31</v>
      </c>
      <c r="C416" s="4">
        <f t="shared" si="60"/>
        <v>16940598</v>
      </c>
      <c r="D416" s="2">
        <f t="shared" si="63"/>
        <v>6082350.25</v>
      </c>
      <c r="E416" s="19">
        <f t="shared" si="61"/>
        <v>10858247.75</v>
      </c>
      <c r="F416" s="2">
        <f t="shared" si="64"/>
        <v>639235553.1400001</v>
      </c>
      <c r="G416" s="2">
        <f t="shared" si="65"/>
        <v>633153202.8900001</v>
      </c>
      <c r="H416" s="14">
        <f t="shared" si="66"/>
        <v>8143685.8139753435</v>
      </c>
      <c r="I416" s="16">
        <f t="shared" si="67"/>
        <v>-2714561.9360246565</v>
      </c>
    </row>
    <row r="417" spans="1:9" x14ac:dyDescent="0.25">
      <c r="A417" s="36">
        <v>47396</v>
      </c>
      <c r="B417" s="1">
        <f t="shared" si="62"/>
        <v>30</v>
      </c>
      <c r="C417" s="4">
        <f t="shared" si="60"/>
        <v>16940598</v>
      </c>
      <c r="D417" s="2">
        <f t="shared" si="63"/>
        <v>6532600.1400000006</v>
      </c>
      <c r="E417" s="19">
        <f t="shared" si="61"/>
        <v>10407997.859999999</v>
      </c>
      <c r="F417" s="2">
        <f t="shared" si="64"/>
        <v>633153202.8900001</v>
      </c>
      <c r="G417" s="2">
        <f t="shared" si="65"/>
        <v>626620602.75000012</v>
      </c>
      <c r="H417" s="14">
        <f t="shared" si="66"/>
        <v>7805998.3917945204</v>
      </c>
      <c r="I417" s="16">
        <f t="shared" si="67"/>
        <v>-2601999.468205479</v>
      </c>
    </row>
    <row r="418" spans="1:9" x14ac:dyDescent="0.25">
      <c r="A418" s="36">
        <v>47427</v>
      </c>
      <c r="B418" s="1">
        <f t="shared" si="62"/>
        <v>31</v>
      </c>
      <c r="C418" s="4">
        <f t="shared" si="60"/>
        <v>16940598</v>
      </c>
      <c r="D418" s="2">
        <f t="shared" si="63"/>
        <v>6296631.5999999996</v>
      </c>
      <c r="E418" s="19">
        <f t="shared" si="61"/>
        <v>10643966.4</v>
      </c>
      <c r="F418" s="2">
        <f t="shared" si="64"/>
        <v>626620602.75000012</v>
      </c>
      <c r="G418" s="2">
        <f t="shared" si="65"/>
        <v>620323971.1500001</v>
      </c>
      <c r="H418" s="14">
        <f t="shared" si="66"/>
        <v>7982974.8021575352</v>
      </c>
      <c r="I418" s="16">
        <f t="shared" si="67"/>
        <v>-2660991.5978424652</v>
      </c>
    </row>
    <row r="419" spans="1:9" x14ac:dyDescent="0.25">
      <c r="A419" s="36">
        <v>47457</v>
      </c>
      <c r="B419" s="1">
        <f t="shared" si="62"/>
        <v>30</v>
      </c>
      <c r="C419" s="4">
        <f t="shared" si="60"/>
        <v>16940598</v>
      </c>
      <c r="D419" s="2">
        <f t="shared" si="63"/>
        <v>6743491.6199999992</v>
      </c>
      <c r="E419" s="19">
        <f t="shared" si="61"/>
        <v>10197106.380000001</v>
      </c>
      <c r="F419" s="2">
        <f t="shared" si="64"/>
        <v>620323971.1500001</v>
      </c>
      <c r="G419" s="2">
        <f t="shared" si="65"/>
        <v>613580479.53000009</v>
      </c>
      <c r="H419" s="14">
        <f t="shared" si="66"/>
        <v>7647829.7813013708</v>
      </c>
      <c r="I419" s="16">
        <f t="shared" si="67"/>
        <v>-2549276.59869863</v>
      </c>
    </row>
    <row r="420" spans="1:9" x14ac:dyDescent="0.25">
      <c r="A420" s="36">
        <v>47488</v>
      </c>
      <c r="B420" s="1">
        <f t="shared" si="62"/>
        <v>31</v>
      </c>
      <c r="C420" s="4">
        <f t="shared" si="60"/>
        <v>16940598</v>
      </c>
      <c r="D420" s="2">
        <f t="shared" si="63"/>
        <v>6518135.0600000005</v>
      </c>
      <c r="E420" s="19">
        <f t="shared" si="61"/>
        <v>10422462.939999999</v>
      </c>
      <c r="F420" s="2">
        <f t="shared" si="64"/>
        <v>613580479.53000009</v>
      </c>
      <c r="G420" s="2">
        <f t="shared" si="65"/>
        <v>607062344.47000015</v>
      </c>
      <c r="H420" s="14">
        <f t="shared" si="66"/>
        <v>7816847.2049712334</v>
      </c>
      <c r="I420" s="16">
        <f t="shared" si="67"/>
        <v>-2605615.7350287661</v>
      </c>
    </row>
    <row r="421" spans="1:9" x14ac:dyDescent="0.25">
      <c r="A421" s="36">
        <v>47519</v>
      </c>
      <c r="B421" s="1">
        <f t="shared" si="62"/>
        <v>31</v>
      </c>
      <c r="C421" s="4">
        <f t="shared" si="60"/>
        <v>16940598</v>
      </c>
      <c r="D421" s="2">
        <f t="shared" si="63"/>
        <v>6628854.0700000003</v>
      </c>
      <c r="E421" s="19">
        <f t="shared" si="61"/>
        <v>10311743.93</v>
      </c>
      <c r="F421" s="2">
        <f t="shared" si="64"/>
        <v>607062344.47000015</v>
      </c>
      <c r="G421" s="2">
        <f t="shared" si="65"/>
        <v>600433490.4000001</v>
      </c>
      <c r="H421" s="14">
        <f t="shared" si="66"/>
        <v>7733807.9500972629</v>
      </c>
      <c r="I421" s="16">
        <f t="shared" si="67"/>
        <v>-2577935.9799027368</v>
      </c>
    </row>
    <row r="422" spans="1:9" x14ac:dyDescent="0.25">
      <c r="A422" s="36">
        <v>47547</v>
      </c>
      <c r="B422" s="1">
        <f t="shared" si="62"/>
        <v>28</v>
      </c>
      <c r="C422" s="4">
        <f t="shared" si="60"/>
        <v>16940598</v>
      </c>
      <c r="D422" s="2">
        <f t="shared" si="63"/>
        <v>7728467.7400000002</v>
      </c>
      <c r="E422" s="19">
        <f t="shared" si="61"/>
        <v>9212130.2599999998</v>
      </c>
      <c r="F422" s="2">
        <f t="shared" si="64"/>
        <v>600433490.4000001</v>
      </c>
      <c r="G422" s="2">
        <f t="shared" si="65"/>
        <v>592705022.66000009</v>
      </c>
      <c r="H422" s="14">
        <f t="shared" si="66"/>
        <v>6909097.6977534257</v>
      </c>
      <c r="I422" s="16">
        <f t="shared" si="67"/>
        <v>-2303032.5622465741</v>
      </c>
    </row>
    <row r="423" spans="1:9" x14ac:dyDescent="0.25">
      <c r="A423" s="36">
        <v>47578</v>
      </c>
      <c r="B423" s="1">
        <f t="shared" si="62"/>
        <v>31</v>
      </c>
      <c r="C423" s="4">
        <f t="shared" si="60"/>
        <v>16940598</v>
      </c>
      <c r="D423" s="2">
        <f t="shared" si="63"/>
        <v>6872731.8599999994</v>
      </c>
      <c r="E423" s="19">
        <f t="shared" si="61"/>
        <v>10067866.140000001</v>
      </c>
      <c r="F423" s="2">
        <f t="shared" si="64"/>
        <v>592705022.66000009</v>
      </c>
      <c r="G423" s="2">
        <f t="shared" si="65"/>
        <v>585832290.80000007</v>
      </c>
      <c r="H423" s="14">
        <f t="shared" si="66"/>
        <v>7550899.6037506852</v>
      </c>
      <c r="I423" s="16">
        <f t="shared" si="67"/>
        <v>-2516966.5362493154</v>
      </c>
    </row>
    <row r="424" spans="1:9" x14ac:dyDescent="0.25">
      <c r="A424" s="36">
        <v>47608</v>
      </c>
      <c r="B424" s="1">
        <f t="shared" si="62"/>
        <v>30</v>
      </c>
      <c r="C424" s="4">
        <f t="shared" si="60"/>
        <v>16940598</v>
      </c>
      <c r="D424" s="2">
        <f t="shared" si="63"/>
        <v>7310478.1500000004</v>
      </c>
      <c r="E424" s="19">
        <f t="shared" si="61"/>
        <v>9630119.8499999996</v>
      </c>
      <c r="F424" s="2">
        <f t="shared" si="64"/>
        <v>585832290.80000007</v>
      </c>
      <c r="G424" s="2">
        <f t="shared" si="65"/>
        <v>578521812.6500001</v>
      </c>
      <c r="H424" s="14">
        <f t="shared" si="66"/>
        <v>7222589.8865753431</v>
      </c>
      <c r="I424" s="16">
        <f t="shared" si="67"/>
        <v>-2407529.9634246565</v>
      </c>
    </row>
    <row r="425" spans="1:9" x14ac:dyDescent="0.25">
      <c r="A425" s="36">
        <v>47639</v>
      </c>
      <c r="B425" s="1">
        <f t="shared" si="62"/>
        <v>31</v>
      </c>
      <c r="C425" s="4">
        <f t="shared" si="60"/>
        <v>16940598</v>
      </c>
      <c r="D425" s="2">
        <f t="shared" si="63"/>
        <v>7113652.1400000006</v>
      </c>
      <c r="E425" s="19">
        <f t="shared" si="61"/>
        <v>9826945.8599999994</v>
      </c>
      <c r="F425" s="2">
        <f t="shared" si="64"/>
        <v>578521812.6500001</v>
      </c>
      <c r="G425" s="2">
        <f t="shared" si="65"/>
        <v>571408160.51000011</v>
      </c>
      <c r="H425" s="14">
        <f t="shared" si="66"/>
        <v>7370209.3940342469</v>
      </c>
      <c r="I425" s="16">
        <f t="shared" si="67"/>
        <v>-2456736.4659657525</v>
      </c>
    </row>
    <row r="426" spans="1:9" x14ac:dyDescent="0.25">
      <c r="A426" s="36">
        <v>47669</v>
      </c>
      <c r="B426" s="1">
        <f t="shared" si="62"/>
        <v>30</v>
      </c>
      <c r="C426" s="4">
        <f t="shared" si="60"/>
        <v>16940598</v>
      </c>
      <c r="D426" s="2">
        <f t="shared" si="63"/>
        <v>7547587.1400000006</v>
      </c>
      <c r="E426" s="19">
        <f t="shared" si="61"/>
        <v>9393010.8599999994</v>
      </c>
      <c r="F426" s="2">
        <f t="shared" si="64"/>
        <v>571408160.51000011</v>
      </c>
      <c r="G426" s="2">
        <f t="shared" si="65"/>
        <v>563860573.37000012</v>
      </c>
      <c r="H426" s="14">
        <f t="shared" si="66"/>
        <v>7044758.1432739738</v>
      </c>
      <c r="I426" s="16">
        <f t="shared" si="67"/>
        <v>-2348252.7167260256</v>
      </c>
    </row>
    <row r="427" spans="1:9" x14ac:dyDescent="0.25">
      <c r="A427" s="36">
        <v>47700</v>
      </c>
      <c r="B427" s="1">
        <f t="shared" si="62"/>
        <v>31</v>
      </c>
      <c r="C427" s="4">
        <f t="shared" si="60"/>
        <v>16940598</v>
      </c>
      <c r="D427" s="2">
        <f t="shared" si="63"/>
        <v>7362692.3699999992</v>
      </c>
      <c r="E427" s="19">
        <f t="shared" si="61"/>
        <v>9577905.6300000008</v>
      </c>
      <c r="F427" s="2">
        <f t="shared" si="64"/>
        <v>563860573.37000012</v>
      </c>
      <c r="G427" s="2">
        <f t="shared" si="65"/>
        <v>556497881.00000012</v>
      </c>
      <c r="H427" s="14">
        <f t="shared" si="66"/>
        <v>7183429.2223849334</v>
      </c>
      <c r="I427" s="16">
        <f t="shared" si="67"/>
        <v>-2394476.4076150674</v>
      </c>
    </row>
    <row r="428" spans="1:9" x14ac:dyDescent="0.25">
      <c r="A428" s="36">
        <v>47731</v>
      </c>
      <c r="B428" s="1">
        <f t="shared" si="62"/>
        <v>31</v>
      </c>
      <c r="C428" s="4">
        <f t="shared" si="60"/>
        <v>16940598</v>
      </c>
      <c r="D428" s="2">
        <f t="shared" si="63"/>
        <v>7487757.2799999993</v>
      </c>
      <c r="E428" s="19">
        <f t="shared" si="61"/>
        <v>9452840.7200000007</v>
      </c>
      <c r="F428" s="2">
        <f t="shared" si="64"/>
        <v>556497881.00000012</v>
      </c>
      <c r="G428" s="2">
        <f t="shared" si="65"/>
        <v>549010123.72000015</v>
      </c>
      <c r="H428" s="14">
        <f t="shared" si="66"/>
        <v>7089630.5387671245</v>
      </c>
      <c r="I428" s="16">
        <f t="shared" si="67"/>
        <v>-2363210.1812328761</v>
      </c>
    </row>
    <row r="429" spans="1:9" x14ac:dyDescent="0.25">
      <c r="A429" s="36">
        <v>47761</v>
      </c>
      <c r="B429" s="1">
        <f t="shared" si="62"/>
        <v>30</v>
      </c>
      <c r="C429" s="4">
        <f t="shared" si="60"/>
        <v>16940598</v>
      </c>
      <c r="D429" s="2">
        <f t="shared" si="63"/>
        <v>7915774.0500000007</v>
      </c>
      <c r="E429" s="19">
        <f t="shared" si="61"/>
        <v>9024823.9499999993</v>
      </c>
      <c r="F429" s="2">
        <f t="shared" si="64"/>
        <v>549010123.72000015</v>
      </c>
      <c r="G429" s="2">
        <f t="shared" si="65"/>
        <v>541094349.6700002</v>
      </c>
      <c r="H429" s="14">
        <f t="shared" si="66"/>
        <v>6768617.9636712335</v>
      </c>
      <c r="I429" s="16">
        <f t="shared" si="67"/>
        <v>-2256205.9863287657</v>
      </c>
    </row>
    <row r="430" spans="1:9" x14ac:dyDescent="0.25">
      <c r="A430" s="36">
        <v>47792</v>
      </c>
      <c r="B430" s="1">
        <f t="shared" si="62"/>
        <v>31</v>
      </c>
      <c r="C430" s="4">
        <f t="shared" si="60"/>
        <v>16940598</v>
      </c>
      <c r="D430" s="2">
        <f t="shared" si="63"/>
        <v>7749406.3100000005</v>
      </c>
      <c r="E430" s="19">
        <f t="shared" si="61"/>
        <v>9191191.6899999995</v>
      </c>
      <c r="F430" s="2">
        <f t="shared" si="64"/>
        <v>541094349.6700002</v>
      </c>
      <c r="G430" s="2">
        <f t="shared" si="65"/>
        <v>533344943.36000019</v>
      </c>
      <c r="H430" s="14">
        <f t="shared" si="66"/>
        <v>6893393.7697684951</v>
      </c>
      <c r="I430" s="16">
        <f t="shared" si="67"/>
        <v>-2297797.9202315044</v>
      </c>
    </row>
    <row r="431" spans="1:9" x14ac:dyDescent="0.25">
      <c r="A431" s="36">
        <v>47822</v>
      </c>
      <c r="B431" s="1">
        <f t="shared" si="62"/>
        <v>30</v>
      </c>
      <c r="C431" s="4">
        <f t="shared" si="60"/>
        <v>16940598</v>
      </c>
      <c r="D431" s="2">
        <f t="shared" si="63"/>
        <v>8173283.8599999994</v>
      </c>
      <c r="E431" s="19">
        <f t="shared" si="61"/>
        <v>8767314.1400000006</v>
      </c>
      <c r="F431" s="2">
        <f t="shared" si="64"/>
        <v>533344943.36000019</v>
      </c>
      <c r="G431" s="2">
        <f t="shared" si="65"/>
        <v>525171659.50000018</v>
      </c>
      <c r="H431" s="14">
        <f t="shared" si="66"/>
        <v>6575485.6030684952</v>
      </c>
      <c r="I431" s="16">
        <f t="shared" si="67"/>
        <v>-2191828.5369315054</v>
      </c>
    </row>
    <row r="432" spans="1:9" x14ac:dyDescent="0.25">
      <c r="A432" s="36">
        <v>47853</v>
      </c>
      <c r="B432" s="1">
        <f t="shared" si="62"/>
        <v>31</v>
      </c>
      <c r="C432" s="4">
        <f t="shared" si="60"/>
        <v>16940598</v>
      </c>
      <c r="D432" s="2">
        <f t="shared" si="63"/>
        <v>8019873.9199999999</v>
      </c>
      <c r="E432" s="19">
        <f t="shared" si="61"/>
        <v>8920724.0800000001</v>
      </c>
      <c r="F432" s="2">
        <f t="shared" si="64"/>
        <v>525171659.50000018</v>
      </c>
      <c r="G432" s="2">
        <f t="shared" si="65"/>
        <v>517151785.58000016</v>
      </c>
      <c r="H432" s="14">
        <f t="shared" si="66"/>
        <v>6690543.0593835637</v>
      </c>
      <c r="I432" s="16">
        <f t="shared" si="67"/>
        <v>-2230181.0206164364</v>
      </c>
    </row>
    <row r="433" spans="1:9" x14ac:dyDescent="0.25">
      <c r="A433" s="36">
        <v>47884</v>
      </c>
      <c r="B433" s="1">
        <f t="shared" si="62"/>
        <v>31</v>
      </c>
      <c r="C433" s="4">
        <f t="shared" si="60"/>
        <v>16940598</v>
      </c>
      <c r="D433" s="2">
        <f t="shared" si="63"/>
        <v>8156101.9199999999</v>
      </c>
      <c r="E433" s="19">
        <f t="shared" si="61"/>
        <v>8784496.0800000001</v>
      </c>
      <c r="F433" s="2">
        <f t="shared" si="64"/>
        <v>517151785.58000016</v>
      </c>
      <c r="G433" s="2">
        <f t="shared" si="65"/>
        <v>508995683.66000015</v>
      </c>
      <c r="H433" s="14">
        <f t="shared" si="66"/>
        <v>6588372.0628684955</v>
      </c>
      <c r="I433" s="16">
        <f t="shared" si="67"/>
        <v>-2196124.0171315046</v>
      </c>
    </row>
    <row r="434" spans="1:9" x14ac:dyDescent="0.25">
      <c r="A434" s="36">
        <v>47912</v>
      </c>
      <c r="B434" s="1">
        <f t="shared" si="62"/>
        <v>28</v>
      </c>
      <c r="C434" s="4">
        <f t="shared" si="60"/>
        <v>16940598</v>
      </c>
      <c r="D434" s="2">
        <f t="shared" si="63"/>
        <v>9131349.1500000004</v>
      </c>
      <c r="E434" s="19">
        <f t="shared" si="61"/>
        <v>7809248.8499999996</v>
      </c>
      <c r="F434" s="2">
        <f t="shared" si="64"/>
        <v>508995683.66000015</v>
      </c>
      <c r="G434" s="2">
        <f t="shared" si="65"/>
        <v>499864334.51000017</v>
      </c>
      <c r="H434" s="14">
        <f t="shared" si="66"/>
        <v>5856936.6338958926</v>
      </c>
      <c r="I434" s="16">
        <f t="shared" si="67"/>
        <v>-1952312.216104107</v>
      </c>
    </row>
    <row r="435" spans="1:9" x14ac:dyDescent="0.25">
      <c r="A435" s="36">
        <v>47943</v>
      </c>
      <c r="B435" s="1">
        <f t="shared" si="62"/>
        <v>31</v>
      </c>
      <c r="C435" s="4">
        <f t="shared" si="60"/>
        <v>16940598</v>
      </c>
      <c r="D435" s="2">
        <f t="shared" si="63"/>
        <v>8449751.7699999996</v>
      </c>
      <c r="E435" s="19">
        <f t="shared" si="61"/>
        <v>8490846.2300000004</v>
      </c>
      <c r="F435" s="2">
        <f t="shared" si="64"/>
        <v>499864334.51000017</v>
      </c>
      <c r="G435" s="2">
        <f t="shared" si="65"/>
        <v>491414582.74000019</v>
      </c>
      <c r="H435" s="14">
        <f t="shared" si="66"/>
        <v>6368134.6725246599</v>
      </c>
      <c r="I435" s="16">
        <f t="shared" si="67"/>
        <v>-2122711.5574753406</v>
      </c>
    </row>
    <row r="436" spans="1:9" x14ac:dyDescent="0.25">
      <c r="A436" s="36">
        <v>47973</v>
      </c>
      <c r="B436" s="1">
        <f t="shared" si="62"/>
        <v>30</v>
      </c>
      <c r="C436" s="4">
        <f t="shared" si="60"/>
        <v>16940598</v>
      </c>
      <c r="D436" s="2">
        <f t="shared" si="63"/>
        <v>8862550.0599999987</v>
      </c>
      <c r="E436" s="19">
        <f t="shared" si="61"/>
        <v>8078047.9400000004</v>
      </c>
      <c r="F436" s="2">
        <f t="shared" si="64"/>
        <v>491414582.74000019</v>
      </c>
      <c r="G436" s="2">
        <f t="shared" si="65"/>
        <v>482552032.68000019</v>
      </c>
      <c r="H436" s="14">
        <f t="shared" si="66"/>
        <v>6058535.9515890433</v>
      </c>
      <c r="I436" s="16">
        <f t="shared" si="67"/>
        <v>-2019511.9884109572</v>
      </c>
    </row>
    <row r="437" spans="1:9" x14ac:dyDescent="0.25">
      <c r="A437" s="36">
        <v>48004</v>
      </c>
      <c r="B437" s="1">
        <f t="shared" si="62"/>
        <v>31</v>
      </c>
      <c r="C437" s="4">
        <f t="shared" si="60"/>
        <v>16940598</v>
      </c>
      <c r="D437" s="2">
        <f t="shared" si="63"/>
        <v>8743823.75</v>
      </c>
      <c r="E437" s="19">
        <f t="shared" si="61"/>
        <v>8196774.25</v>
      </c>
      <c r="F437" s="2">
        <f t="shared" si="64"/>
        <v>482552032.68000019</v>
      </c>
      <c r="G437" s="2">
        <f t="shared" si="65"/>
        <v>473808208.93000019</v>
      </c>
      <c r="H437" s="14">
        <f t="shared" si="66"/>
        <v>6147580.6903068516</v>
      </c>
      <c r="I437" s="16">
        <f t="shared" si="67"/>
        <v>-2049193.5596931484</v>
      </c>
    </row>
    <row r="438" spans="1:9" x14ac:dyDescent="0.25">
      <c r="A438" s="36">
        <v>48034</v>
      </c>
      <c r="B438" s="1">
        <f t="shared" si="62"/>
        <v>30</v>
      </c>
      <c r="C438" s="4">
        <f t="shared" si="60"/>
        <v>16940598</v>
      </c>
      <c r="D438" s="2">
        <f t="shared" si="63"/>
        <v>9151969.9100000001</v>
      </c>
      <c r="E438" s="19">
        <f t="shared" si="61"/>
        <v>7788628.0899999999</v>
      </c>
      <c r="F438" s="2">
        <f t="shared" si="64"/>
        <v>473808208.93000019</v>
      </c>
      <c r="G438" s="2">
        <f t="shared" si="65"/>
        <v>464656239.02000016</v>
      </c>
      <c r="H438" s="14">
        <f t="shared" si="66"/>
        <v>5841471.069000002</v>
      </c>
      <c r="I438" s="16">
        <f t="shared" si="67"/>
        <v>-1947157.0209999979</v>
      </c>
    </row>
    <row r="439" spans="1:9" x14ac:dyDescent="0.25">
      <c r="A439" s="36">
        <v>48065</v>
      </c>
      <c r="B439" s="1">
        <f t="shared" si="62"/>
        <v>31</v>
      </c>
      <c r="C439" s="4">
        <f t="shared" ref="C439:C475" si="68">$F$1</f>
        <v>16940598</v>
      </c>
      <c r="D439" s="2">
        <f t="shared" si="63"/>
        <v>9047807.0899999999</v>
      </c>
      <c r="E439" s="19">
        <f t="shared" ref="E439:E474" si="69">ROUND(F439*$J$1*B439/365,2)</f>
        <v>7892790.9100000001</v>
      </c>
      <c r="F439" s="2">
        <f t="shared" si="64"/>
        <v>464656239.02000016</v>
      </c>
      <c r="G439" s="2">
        <f t="shared" si="65"/>
        <v>455608431.93000019</v>
      </c>
      <c r="H439" s="14">
        <f t="shared" si="66"/>
        <v>5919593.1820356175</v>
      </c>
      <c r="I439" s="16">
        <f t="shared" si="67"/>
        <v>-1973197.7279643826</v>
      </c>
    </row>
    <row r="440" spans="1:9" x14ac:dyDescent="0.25">
      <c r="A440" s="36">
        <v>48096</v>
      </c>
      <c r="B440" s="1">
        <f t="shared" si="62"/>
        <v>31</v>
      </c>
      <c r="C440" s="4">
        <f t="shared" si="68"/>
        <v>16940598</v>
      </c>
      <c r="D440" s="2">
        <f t="shared" si="63"/>
        <v>9201495.870000001</v>
      </c>
      <c r="E440" s="19">
        <f t="shared" si="69"/>
        <v>7739102.1299999999</v>
      </c>
      <c r="F440" s="2">
        <f t="shared" si="64"/>
        <v>455608431.93000019</v>
      </c>
      <c r="G440" s="2">
        <f t="shared" si="65"/>
        <v>446406936.06000018</v>
      </c>
      <c r="H440" s="14">
        <f t="shared" si="66"/>
        <v>5804326.5985602764</v>
      </c>
      <c r="I440" s="16">
        <f t="shared" si="67"/>
        <v>-1934775.5314397234</v>
      </c>
    </row>
    <row r="441" spans="1:9" x14ac:dyDescent="0.25">
      <c r="A441" s="36">
        <v>48126</v>
      </c>
      <c r="B441" s="1">
        <f t="shared" si="62"/>
        <v>30</v>
      </c>
      <c r="C441" s="4">
        <f t="shared" si="68"/>
        <v>16940598</v>
      </c>
      <c r="D441" s="2">
        <f t="shared" si="63"/>
        <v>9602401.7899999991</v>
      </c>
      <c r="E441" s="19">
        <f t="shared" si="69"/>
        <v>7338196.21</v>
      </c>
      <c r="F441" s="2">
        <f t="shared" si="64"/>
        <v>446406936.06000018</v>
      </c>
      <c r="G441" s="2">
        <f t="shared" si="65"/>
        <v>436804534.27000016</v>
      </c>
      <c r="H441" s="14">
        <f t="shared" si="66"/>
        <v>5503647.1569041116</v>
      </c>
      <c r="I441" s="16">
        <f t="shared" si="67"/>
        <v>-1834549.0530958883</v>
      </c>
    </row>
    <row r="442" spans="1:9" x14ac:dyDescent="0.25">
      <c r="A442" s="36">
        <v>48157</v>
      </c>
      <c r="B442" s="1">
        <f t="shared" si="62"/>
        <v>31</v>
      </c>
      <c r="C442" s="4">
        <f t="shared" si="68"/>
        <v>16940598</v>
      </c>
      <c r="D442" s="2">
        <f t="shared" si="63"/>
        <v>9520904.5399999991</v>
      </c>
      <c r="E442" s="19">
        <f t="shared" si="69"/>
        <v>7419693.46</v>
      </c>
      <c r="F442" s="2">
        <f t="shared" si="64"/>
        <v>436804534.27000016</v>
      </c>
      <c r="G442" s="2">
        <f t="shared" si="65"/>
        <v>427283629.73000014</v>
      </c>
      <c r="H442" s="14">
        <f t="shared" si="66"/>
        <v>5564770.0941246599</v>
      </c>
      <c r="I442" s="16">
        <f t="shared" si="67"/>
        <v>-1854923.3658753401</v>
      </c>
    </row>
    <row r="443" spans="1:9" x14ac:dyDescent="0.25">
      <c r="A443" s="36">
        <v>48187</v>
      </c>
      <c r="B443" s="1">
        <f t="shared" si="62"/>
        <v>30</v>
      </c>
      <c r="C443" s="4">
        <f t="shared" si="68"/>
        <v>16940598</v>
      </c>
      <c r="D443" s="2">
        <f t="shared" si="63"/>
        <v>9916757.5099999998</v>
      </c>
      <c r="E443" s="19">
        <f t="shared" si="69"/>
        <v>7023840.4900000002</v>
      </c>
      <c r="F443" s="2">
        <f t="shared" si="64"/>
        <v>427283629.73000014</v>
      </c>
      <c r="G443" s="2">
        <f t="shared" si="65"/>
        <v>417366872.22000015</v>
      </c>
      <c r="H443" s="14">
        <f t="shared" si="66"/>
        <v>5267880.3665342471</v>
      </c>
      <c r="I443" s="16">
        <f t="shared" si="67"/>
        <v>-1755960.1234657532</v>
      </c>
    </row>
    <row r="444" spans="1:9" x14ac:dyDescent="0.25">
      <c r="A444" s="36">
        <v>48218</v>
      </c>
      <c r="B444" s="1">
        <f t="shared" si="62"/>
        <v>31</v>
      </c>
      <c r="C444" s="4">
        <f t="shared" si="68"/>
        <v>16940598</v>
      </c>
      <c r="D444" s="2">
        <f t="shared" si="63"/>
        <v>9851078.5300000012</v>
      </c>
      <c r="E444" s="19">
        <f t="shared" si="69"/>
        <v>7089519.4699999997</v>
      </c>
      <c r="F444" s="2">
        <f t="shared" si="64"/>
        <v>417366872.22000015</v>
      </c>
      <c r="G444" s="2">
        <f t="shared" si="65"/>
        <v>407515793.69000018</v>
      </c>
      <c r="H444" s="14">
        <f t="shared" si="66"/>
        <v>5317139.6049945224</v>
      </c>
      <c r="I444" s="16">
        <f t="shared" si="67"/>
        <v>-1772379.8650054773</v>
      </c>
    </row>
    <row r="445" spans="1:9" x14ac:dyDescent="0.25">
      <c r="A445" s="36">
        <v>48249</v>
      </c>
      <c r="B445" s="1">
        <f t="shared" si="62"/>
        <v>31</v>
      </c>
      <c r="C445" s="4">
        <f t="shared" si="68"/>
        <v>16940598</v>
      </c>
      <c r="D445" s="2">
        <f t="shared" si="63"/>
        <v>10018411.92</v>
      </c>
      <c r="E445" s="19">
        <f t="shared" si="69"/>
        <v>6922186.0800000001</v>
      </c>
      <c r="F445" s="2">
        <f t="shared" si="64"/>
        <v>407515793.69000018</v>
      </c>
      <c r="G445" s="2">
        <f t="shared" si="65"/>
        <v>397497381.77000016</v>
      </c>
      <c r="H445" s="14">
        <f t="shared" si="66"/>
        <v>5191639.5634479476</v>
      </c>
      <c r="I445" s="16">
        <f t="shared" si="67"/>
        <v>-1730546.5165520525</v>
      </c>
    </row>
    <row r="446" spans="1:9" x14ac:dyDescent="0.25">
      <c r="A446" s="36">
        <v>48278</v>
      </c>
      <c r="B446" s="1">
        <f t="shared" si="62"/>
        <v>29</v>
      </c>
      <c r="C446" s="4">
        <f t="shared" si="68"/>
        <v>16940598</v>
      </c>
      <c r="D446" s="2">
        <f t="shared" si="63"/>
        <v>10624201.25</v>
      </c>
      <c r="E446" s="19">
        <f t="shared" si="69"/>
        <v>6316396.75</v>
      </c>
      <c r="F446" s="2">
        <f t="shared" si="64"/>
        <v>397497381.77000016</v>
      </c>
      <c r="G446" s="2">
        <f t="shared" si="65"/>
        <v>386873180.52000016</v>
      </c>
      <c r="H446" s="14">
        <f t="shared" si="66"/>
        <v>4737297.5635602763</v>
      </c>
      <c r="I446" s="16">
        <f t="shared" si="67"/>
        <v>-1579099.1864397237</v>
      </c>
    </row>
    <row r="447" spans="1:9" x14ac:dyDescent="0.25">
      <c r="A447" s="36">
        <v>48309</v>
      </c>
      <c r="B447" s="1">
        <f t="shared" si="62"/>
        <v>31</v>
      </c>
      <c r="C447" s="4">
        <f t="shared" si="68"/>
        <v>16940598</v>
      </c>
      <c r="D447" s="2">
        <f t="shared" si="63"/>
        <v>10369053.559999999</v>
      </c>
      <c r="E447" s="19">
        <f t="shared" si="69"/>
        <v>6571544.4400000004</v>
      </c>
      <c r="F447" s="2">
        <f t="shared" si="64"/>
        <v>386873180.52000016</v>
      </c>
      <c r="G447" s="2">
        <f t="shared" si="65"/>
        <v>376504126.96000016</v>
      </c>
      <c r="H447" s="14">
        <f t="shared" si="66"/>
        <v>4928658.3271726044</v>
      </c>
      <c r="I447" s="16">
        <f t="shared" si="67"/>
        <v>-1642886.112827396</v>
      </c>
    </row>
    <row r="448" spans="1:9" x14ac:dyDescent="0.25">
      <c r="A448" s="36">
        <v>48339</v>
      </c>
      <c r="B448" s="1">
        <f t="shared" si="62"/>
        <v>30</v>
      </c>
      <c r="C448" s="4">
        <f t="shared" si="68"/>
        <v>16940598</v>
      </c>
      <c r="D448" s="2">
        <f t="shared" si="63"/>
        <v>10751489.059999999</v>
      </c>
      <c r="E448" s="19">
        <f t="shared" si="69"/>
        <v>6189108.9400000004</v>
      </c>
      <c r="F448" s="2">
        <f t="shared" si="64"/>
        <v>376504126.96000016</v>
      </c>
      <c r="G448" s="2">
        <f t="shared" si="65"/>
        <v>365752637.90000015</v>
      </c>
      <c r="H448" s="14">
        <f t="shared" si="66"/>
        <v>4641831.7022465775</v>
      </c>
      <c r="I448" s="16">
        <f t="shared" si="67"/>
        <v>-1547277.2377534229</v>
      </c>
    </row>
    <row r="449" spans="1:9" x14ac:dyDescent="0.25">
      <c r="A449" s="36">
        <v>48370</v>
      </c>
      <c r="B449" s="1">
        <f t="shared" si="62"/>
        <v>31</v>
      </c>
      <c r="C449" s="4">
        <f t="shared" si="68"/>
        <v>16940598</v>
      </c>
      <c r="D449" s="2">
        <f t="shared" si="63"/>
        <v>10727813.469999999</v>
      </c>
      <c r="E449" s="19">
        <f t="shared" si="69"/>
        <v>6212784.5300000003</v>
      </c>
      <c r="F449" s="2">
        <f t="shared" si="64"/>
        <v>365752637.90000015</v>
      </c>
      <c r="G449" s="2">
        <f t="shared" si="65"/>
        <v>355024824.43000019</v>
      </c>
      <c r="H449" s="14">
        <f t="shared" si="66"/>
        <v>4659588.4006438376</v>
      </c>
      <c r="I449" s="16">
        <f t="shared" si="67"/>
        <v>-1553196.1293561626</v>
      </c>
    </row>
    <row r="450" spans="1:9" x14ac:dyDescent="0.25">
      <c r="A450" s="36">
        <v>48400</v>
      </c>
      <c r="B450" s="1">
        <f t="shared" si="62"/>
        <v>30</v>
      </c>
      <c r="C450" s="4">
        <f t="shared" si="68"/>
        <v>16940598</v>
      </c>
      <c r="D450" s="2">
        <f t="shared" si="63"/>
        <v>11104573.49</v>
      </c>
      <c r="E450" s="19">
        <f t="shared" si="69"/>
        <v>5836024.5099999998</v>
      </c>
      <c r="F450" s="2">
        <f t="shared" si="64"/>
        <v>355024824.43000019</v>
      </c>
      <c r="G450" s="2">
        <f t="shared" si="65"/>
        <v>343920250.94000018</v>
      </c>
      <c r="H450" s="14">
        <f t="shared" si="66"/>
        <v>4377018.3833835637</v>
      </c>
      <c r="I450" s="16">
        <f t="shared" si="67"/>
        <v>-1459006.1266164361</v>
      </c>
    </row>
    <row r="451" spans="1:9" x14ac:dyDescent="0.25">
      <c r="A451" s="36">
        <v>48431</v>
      </c>
      <c r="B451" s="1">
        <f t="shared" si="62"/>
        <v>31</v>
      </c>
      <c r="C451" s="4">
        <f t="shared" si="68"/>
        <v>16940598</v>
      </c>
      <c r="D451" s="2">
        <f t="shared" si="63"/>
        <v>11098664.969999999</v>
      </c>
      <c r="E451" s="19">
        <f t="shared" si="69"/>
        <v>5841933.0300000003</v>
      </c>
      <c r="F451" s="2">
        <f t="shared" si="64"/>
        <v>343920250.94000018</v>
      </c>
      <c r="G451" s="2">
        <f t="shared" si="65"/>
        <v>332821585.97000015</v>
      </c>
      <c r="H451" s="14">
        <f t="shared" si="66"/>
        <v>4381449.7722493168</v>
      </c>
      <c r="I451" s="16">
        <f t="shared" si="67"/>
        <v>-1460483.2577506835</v>
      </c>
    </row>
    <row r="452" spans="1:9" x14ac:dyDescent="0.25">
      <c r="A452" s="36">
        <v>48462</v>
      </c>
      <c r="B452" s="1">
        <f t="shared" si="62"/>
        <v>31</v>
      </c>
      <c r="C452" s="4">
        <f t="shared" si="68"/>
        <v>16940598</v>
      </c>
      <c r="D452" s="2">
        <f t="shared" si="63"/>
        <v>11287190.24</v>
      </c>
      <c r="E452" s="19">
        <f t="shared" si="69"/>
        <v>5653407.7599999998</v>
      </c>
      <c r="F452" s="2">
        <f t="shared" si="64"/>
        <v>332821585.97000015</v>
      </c>
      <c r="G452" s="2">
        <f t="shared" si="65"/>
        <v>321534395.73000014</v>
      </c>
      <c r="H452" s="14">
        <f t="shared" si="66"/>
        <v>4240055.8212616453</v>
      </c>
      <c r="I452" s="16">
        <f t="shared" si="67"/>
        <v>-1413351.9387383545</v>
      </c>
    </row>
    <row r="453" spans="1:9" x14ac:dyDescent="0.25">
      <c r="A453" s="36">
        <v>48492</v>
      </c>
      <c r="B453" s="1">
        <f t="shared" si="62"/>
        <v>30</v>
      </c>
      <c r="C453" s="4">
        <f t="shared" si="68"/>
        <v>16940598</v>
      </c>
      <c r="D453" s="2">
        <f t="shared" si="63"/>
        <v>11655101.08</v>
      </c>
      <c r="E453" s="19">
        <f t="shared" si="69"/>
        <v>5285496.92</v>
      </c>
      <c r="F453" s="2">
        <f t="shared" si="64"/>
        <v>321534395.73000014</v>
      </c>
      <c r="G453" s="2">
        <f t="shared" si="65"/>
        <v>309879294.65000015</v>
      </c>
      <c r="H453" s="14">
        <f t="shared" si="66"/>
        <v>3964122.6870821933</v>
      </c>
      <c r="I453" s="16">
        <f t="shared" si="67"/>
        <v>-1321374.2329178066</v>
      </c>
    </row>
    <row r="454" spans="1:9" x14ac:dyDescent="0.25">
      <c r="A454" s="36">
        <v>48523</v>
      </c>
      <c r="B454" s="1">
        <f t="shared" si="62"/>
        <v>31</v>
      </c>
      <c r="C454" s="4">
        <f t="shared" si="68"/>
        <v>16940598</v>
      </c>
      <c r="D454" s="2">
        <f t="shared" si="63"/>
        <v>11676894.91</v>
      </c>
      <c r="E454" s="19">
        <f t="shared" si="69"/>
        <v>5263703.09</v>
      </c>
      <c r="F454" s="2">
        <f t="shared" si="64"/>
        <v>309879294.65000015</v>
      </c>
      <c r="G454" s="2">
        <f t="shared" si="65"/>
        <v>298202399.74000013</v>
      </c>
      <c r="H454" s="14">
        <f t="shared" si="66"/>
        <v>3947777.3154041115</v>
      </c>
      <c r="I454" s="16">
        <f t="shared" si="67"/>
        <v>-1315925.7745958883</v>
      </c>
    </row>
    <row r="455" spans="1:9" x14ac:dyDescent="0.25">
      <c r="A455" s="36">
        <v>48553</v>
      </c>
      <c r="B455" s="1">
        <f t="shared" ref="B455:B475" si="70">_xlfn.DAYS(A455,A454)</f>
        <v>30</v>
      </c>
      <c r="C455" s="4">
        <f t="shared" si="68"/>
        <v>16940598</v>
      </c>
      <c r="D455" s="2">
        <f t="shared" si="63"/>
        <v>12038640.74</v>
      </c>
      <c r="E455" s="19">
        <f t="shared" si="69"/>
        <v>4901957.26</v>
      </c>
      <c r="F455" s="2">
        <f t="shared" si="64"/>
        <v>298202399.74000013</v>
      </c>
      <c r="G455" s="2">
        <f t="shared" si="65"/>
        <v>286163759.00000012</v>
      </c>
      <c r="H455" s="14">
        <f t="shared" si="66"/>
        <v>3676467.9420000017</v>
      </c>
      <c r="I455" s="16">
        <f t="shared" si="67"/>
        <v>-1225489.3179999981</v>
      </c>
    </row>
    <row r="456" spans="1:9" x14ac:dyDescent="0.25">
      <c r="A456" s="36">
        <v>48584</v>
      </c>
      <c r="B456" s="1">
        <f t="shared" si="70"/>
        <v>31</v>
      </c>
      <c r="C456" s="4">
        <f t="shared" si="68"/>
        <v>16940598</v>
      </c>
      <c r="D456" s="2">
        <f t="shared" si="63"/>
        <v>12079734.15</v>
      </c>
      <c r="E456" s="19">
        <f t="shared" si="69"/>
        <v>4860863.8499999996</v>
      </c>
      <c r="F456" s="2">
        <f t="shared" si="64"/>
        <v>286163759.00000012</v>
      </c>
      <c r="G456" s="2">
        <f t="shared" si="65"/>
        <v>274084024.85000014</v>
      </c>
      <c r="H456" s="14">
        <f t="shared" si="66"/>
        <v>3645647.8886301387</v>
      </c>
      <c r="I456" s="16">
        <f t="shared" si="67"/>
        <v>-1215215.9613698609</v>
      </c>
    </row>
    <row r="457" spans="1:9" x14ac:dyDescent="0.25">
      <c r="A457" s="36">
        <v>48615</v>
      </c>
      <c r="B457" s="1">
        <f t="shared" si="70"/>
        <v>31</v>
      </c>
      <c r="C457" s="4">
        <f t="shared" si="68"/>
        <v>16940598</v>
      </c>
      <c r="D457" s="2">
        <f t="shared" si="63"/>
        <v>12284924.15</v>
      </c>
      <c r="E457" s="19">
        <f t="shared" si="69"/>
        <v>4655673.8499999996</v>
      </c>
      <c r="F457" s="2">
        <f t="shared" si="64"/>
        <v>274084024.85000014</v>
      </c>
      <c r="G457" s="2">
        <f t="shared" si="65"/>
        <v>261799100.70000014</v>
      </c>
      <c r="H457" s="14">
        <f t="shared" si="66"/>
        <v>3491755.3850753442</v>
      </c>
      <c r="I457" s="16">
        <f t="shared" si="67"/>
        <v>-1163918.4649246554</v>
      </c>
    </row>
    <row r="458" spans="1:9" x14ac:dyDescent="0.25">
      <c r="A458" s="36">
        <v>48643</v>
      </c>
      <c r="B458" s="1">
        <f t="shared" si="70"/>
        <v>28</v>
      </c>
      <c r="C458" s="4">
        <f t="shared" si="68"/>
        <v>16940598</v>
      </c>
      <c r="D458" s="2">
        <f t="shared" si="63"/>
        <v>12923954.26</v>
      </c>
      <c r="E458" s="19">
        <f t="shared" si="69"/>
        <v>4016643.74</v>
      </c>
      <c r="F458" s="2">
        <f t="shared" si="64"/>
        <v>261799100.70000014</v>
      </c>
      <c r="G458" s="2">
        <f t="shared" si="65"/>
        <v>248875146.44000015</v>
      </c>
      <c r="H458" s="14">
        <f t="shared" si="66"/>
        <v>3012482.8025753438</v>
      </c>
      <c r="I458" s="16">
        <f t="shared" si="67"/>
        <v>-1004160.9374246565</v>
      </c>
    </row>
    <row r="459" spans="1:9" x14ac:dyDescent="0.25">
      <c r="A459" s="36">
        <v>48674</v>
      </c>
      <c r="B459" s="1">
        <f t="shared" si="70"/>
        <v>31</v>
      </c>
      <c r="C459" s="4">
        <f t="shared" si="68"/>
        <v>16940598</v>
      </c>
      <c r="D459" s="2">
        <f t="shared" ref="D459:D475" si="71">C459-E459</f>
        <v>12713129.76</v>
      </c>
      <c r="E459" s="19">
        <f t="shared" si="69"/>
        <v>4227468.24</v>
      </c>
      <c r="F459" s="2">
        <f t="shared" ref="F459:F475" si="72">G458</f>
        <v>248875146.44000015</v>
      </c>
      <c r="G459" s="2">
        <f t="shared" ref="G459:G475" si="73">F459-D459</f>
        <v>236162016.68000016</v>
      </c>
      <c r="H459" s="14">
        <f t="shared" ref="H459:H475" si="74">F459*$B$2*B459/365</f>
        <v>3170601.1806739741</v>
      </c>
      <c r="I459" s="16">
        <f t="shared" ref="I459:I475" si="75">H459-E459</f>
        <v>-1056867.0593260261</v>
      </c>
    </row>
    <row r="460" spans="1:9" x14ac:dyDescent="0.25">
      <c r="A460" s="36">
        <v>48704</v>
      </c>
      <c r="B460" s="1">
        <f t="shared" si="70"/>
        <v>30</v>
      </c>
      <c r="C460" s="4">
        <f t="shared" si="68"/>
        <v>16940598</v>
      </c>
      <c r="D460" s="2">
        <f t="shared" si="71"/>
        <v>13058482.66</v>
      </c>
      <c r="E460" s="19">
        <f t="shared" si="69"/>
        <v>3882115.34</v>
      </c>
      <c r="F460" s="2">
        <f t="shared" si="72"/>
        <v>236162016.68000016</v>
      </c>
      <c r="G460" s="2">
        <f t="shared" si="73"/>
        <v>223103534.02000016</v>
      </c>
      <c r="H460" s="14">
        <f t="shared" si="74"/>
        <v>2911586.5070137</v>
      </c>
      <c r="I460" s="16">
        <f t="shared" si="75"/>
        <v>-970528.83298629988</v>
      </c>
    </row>
    <row r="461" spans="1:9" x14ac:dyDescent="0.25">
      <c r="A461" s="36">
        <v>48735</v>
      </c>
      <c r="B461" s="1">
        <f t="shared" si="70"/>
        <v>31</v>
      </c>
      <c r="C461" s="4">
        <f t="shared" si="68"/>
        <v>16940598</v>
      </c>
      <c r="D461" s="2">
        <f t="shared" si="71"/>
        <v>13150894.129999999</v>
      </c>
      <c r="E461" s="19">
        <f t="shared" si="69"/>
        <v>3789703.87</v>
      </c>
      <c r="F461" s="2">
        <f t="shared" si="72"/>
        <v>223103534.02000016</v>
      </c>
      <c r="G461" s="2">
        <f t="shared" si="73"/>
        <v>209952639.89000016</v>
      </c>
      <c r="H461" s="14">
        <f t="shared" si="74"/>
        <v>2842277.8991589057</v>
      </c>
      <c r="I461" s="16">
        <f t="shared" si="75"/>
        <v>-947425.97084109439</v>
      </c>
    </row>
    <row r="462" spans="1:9" x14ac:dyDescent="0.25">
      <c r="A462" s="36">
        <v>48765</v>
      </c>
      <c r="B462" s="1">
        <f t="shared" si="70"/>
        <v>30</v>
      </c>
      <c r="C462" s="4">
        <f t="shared" si="68"/>
        <v>16940598</v>
      </c>
      <c r="D462" s="2">
        <f t="shared" si="71"/>
        <v>13489321.73</v>
      </c>
      <c r="E462" s="19">
        <f t="shared" si="69"/>
        <v>3451276.27</v>
      </c>
      <c r="F462" s="2">
        <f t="shared" si="72"/>
        <v>209952639.89000016</v>
      </c>
      <c r="G462" s="2">
        <f t="shared" si="73"/>
        <v>196463318.16000018</v>
      </c>
      <c r="H462" s="14">
        <f t="shared" si="74"/>
        <v>2588457.2041232898</v>
      </c>
      <c r="I462" s="16">
        <f t="shared" si="75"/>
        <v>-862819.06587671023</v>
      </c>
    </row>
    <row r="463" spans="1:9" x14ac:dyDescent="0.25">
      <c r="A463" s="36">
        <v>48796</v>
      </c>
      <c r="B463" s="1">
        <f t="shared" si="70"/>
        <v>31</v>
      </c>
      <c r="C463" s="4">
        <f t="shared" si="68"/>
        <v>16940598</v>
      </c>
      <c r="D463" s="2">
        <f t="shared" si="71"/>
        <v>13603412.870000001</v>
      </c>
      <c r="E463" s="19">
        <f t="shared" si="69"/>
        <v>3337185.13</v>
      </c>
      <c r="F463" s="2">
        <f t="shared" si="72"/>
        <v>196463318.16000018</v>
      </c>
      <c r="G463" s="2">
        <f t="shared" si="73"/>
        <v>182859905.29000017</v>
      </c>
      <c r="H463" s="14">
        <f t="shared" si="74"/>
        <v>2502888.847791783</v>
      </c>
      <c r="I463" s="16">
        <f t="shared" si="75"/>
        <v>-834296.28220821684</v>
      </c>
    </row>
    <row r="464" spans="1:9" x14ac:dyDescent="0.25">
      <c r="A464" s="36">
        <v>48827</v>
      </c>
      <c r="B464" s="1">
        <f t="shared" si="70"/>
        <v>31</v>
      </c>
      <c r="C464" s="4">
        <f t="shared" si="68"/>
        <v>16940598</v>
      </c>
      <c r="D464" s="2">
        <f t="shared" si="71"/>
        <v>13834484.539999999</v>
      </c>
      <c r="E464" s="19">
        <f t="shared" si="69"/>
        <v>3106113.46</v>
      </c>
      <c r="F464" s="2">
        <f t="shared" si="72"/>
        <v>182859905.29000017</v>
      </c>
      <c r="G464" s="2">
        <f t="shared" si="73"/>
        <v>169025420.75000018</v>
      </c>
      <c r="H464" s="14">
        <f t="shared" si="74"/>
        <v>2329585.094790413</v>
      </c>
      <c r="I464" s="16">
        <f t="shared" si="75"/>
        <v>-776528.36520958692</v>
      </c>
    </row>
    <row r="465" spans="1:9" x14ac:dyDescent="0.25">
      <c r="A465" s="36">
        <v>48857</v>
      </c>
      <c r="B465" s="1">
        <f t="shared" si="70"/>
        <v>30</v>
      </c>
      <c r="C465" s="4">
        <f t="shared" si="68"/>
        <v>16940598</v>
      </c>
      <c r="D465" s="2">
        <f t="shared" si="71"/>
        <v>14162097.93</v>
      </c>
      <c r="E465" s="19">
        <f t="shared" si="69"/>
        <v>2778500.07</v>
      </c>
      <c r="F465" s="2">
        <f t="shared" si="72"/>
        <v>169025420.75000018</v>
      </c>
      <c r="G465" s="2">
        <f t="shared" si="73"/>
        <v>154863322.82000017</v>
      </c>
      <c r="H465" s="14">
        <f t="shared" si="74"/>
        <v>2083875.0503424681</v>
      </c>
      <c r="I465" s="16">
        <f t="shared" si="75"/>
        <v>-694625.01965753175</v>
      </c>
    </row>
    <row r="466" spans="1:9" x14ac:dyDescent="0.25">
      <c r="A466" s="36">
        <v>48888</v>
      </c>
      <c r="B466" s="1">
        <f t="shared" si="70"/>
        <v>31</v>
      </c>
      <c r="C466" s="4">
        <f t="shared" si="68"/>
        <v>16940598</v>
      </c>
      <c r="D466" s="2">
        <f t="shared" si="71"/>
        <v>14310042.93</v>
      </c>
      <c r="E466" s="19">
        <f t="shared" si="69"/>
        <v>2630555.0699999998</v>
      </c>
      <c r="F466" s="2">
        <f t="shared" si="72"/>
        <v>154863322.82000017</v>
      </c>
      <c r="G466" s="2">
        <f t="shared" si="73"/>
        <v>140553279.89000016</v>
      </c>
      <c r="H466" s="14">
        <f t="shared" si="74"/>
        <v>1972916.3044191804</v>
      </c>
      <c r="I466" s="16">
        <f t="shared" si="75"/>
        <v>-657638.76558081945</v>
      </c>
    </row>
    <row r="467" spans="1:9" x14ac:dyDescent="0.25">
      <c r="A467" s="36">
        <v>48918</v>
      </c>
      <c r="B467" s="1">
        <f t="shared" si="70"/>
        <v>30</v>
      </c>
      <c r="C467" s="4">
        <f t="shared" si="68"/>
        <v>16940598</v>
      </c>
      <c r="D467" s="2">
        <f t="shared" si="71"/>
        <v>14630133.129999999</v>
      </c>
      <c r="E467" s="19">
        <f t="shared" si="69"/>
        <v>2310464.87</v>
      </c>
      <c r="F467" s="2">
        <f t="shared" si="72"/>
        <v>140553279.89000016</v>
      </c>
      <c r="G467" s="2">
        <f t="shared" si="73"/>
        <v>125923146.76000017</v>
      </c>
      <c r="H467" s="14">
        <f t="shared" si="74"/>
        <v>1732848.6561780842</v>
      </c>
      <c r="I467" s="16">
        <f t="shared" si="75"/>
        <v>-577616.21382191591</v>
      </c>
    </row>
    <row r="468" spans="1:9" x14ac:dyDescent="0.25">
      <c r="A468" s="36">
        <v>48949</v>
      </c>
      <c r="B468" s="1">
        <f t="shared" si="70"/>
        <v>31</v>
      </c>
      <c r="C468" s="4">
        <f t="shared" si="68"/>
        <v>16940598</v>
      </c>
      <c r="D468" s="2">
        <f t="shared" si="71"/>
        <v>14801629.48</v>
      </c>
      <c r="E468" s="19">
        <f t="shared" si="69"/>
        <v>2138968.52</v>
      </c>
      <c r="F468" s="2">
        <f t="shared" si="72"/>
        <v>125923146.76000017</v>
      </c>
      <c r="G468" s="2">
        <f t="shared" si="73"/>
        <v>111121517.28000017</v>
      </c>
      <c r="H468" s="14">
        <f t="shared" si="74"/>
        <v>1604226.390230139</v>
      </c>
      <c r="I468" s="16">
        <f t="shared" si="75"/>
        <v>-534742.129769861</v>
      </c>
    </row>
    <row r="469" spans="1:9" x14ac:dyDescent="0.25">
      <c r="A469" s="36">
        <v>48980</v>
      </c>
      <c r="B469" s="1">
        <f t="shared" si="70"/>
        <v>31</v>
      </c>
      <c r="C469" s="4">
        <f t="shared" si="68"/>
        <v>16940598</v>
      </c>
      <c r="D469" s="2">
        <f t="shared" si="71"/>
        <v>15053054.42</v>
      </c>
      <c r="E469" s="19">
        <f t="shared" si="69"/>
        <v>1887543.58</v>
      </c>
      <c r="F469" s="2">
        <f t="shared" si="72"/>
        <v>111121517.28000017</v>
      </c>
      <c r="G469" s="2">
        <f t="shared" si="73"/>
        <v>96068462.860000163</v>
      </c>
      <c r="H469" s="14">
        <f t="shared" si="74"/>
        <v>1415657.6858958926</v>
      </c>
      <c r="I469" s="16">
        <f t="shared" si="75"/>
        <v>-471885.89410410752</v>
      </c>
    </row>
    <row r="470" spans="1:9" x14ac:dyDescent="0.25">
      <c r="A470" s="36">
        <v>49008</v>
      </c>
      <c r="B470" s="1">
        <f t="shared" si="70"/>
        <v>28</v>
      </c>
      <c r="C470" s="4">
        <f t="shared" si="68"/>
        <v>16940598</v>
      </c>
      <c r="D470" s="2">
        <f t="shared" si="71"/>
        <v>15466670.9</v>
      </c>
      <c r="E470" s="19">
        <f t="shared" si="69"/>
        <v>1473927.1</v>
      </c>
      <c r="F470" s="2">
        <f t="shared" si="72"/>
        <v>96068462.860000163</v>
      </c>
      <c r="G470" s="2">
        <f t="shared" si="73"/>
        <v>80601791.960000157</v>
      </c>
      <c r="H470" s="14">
        <f t="shared" si="74"/>
        <v>1105445.3260602758</v>
      </c>
      <c r="I470" s="16">
        <f t="shared" si="75"/>
        <v>-368481.77393972431</v>
      </c>
    </row>
    <row r="471" spans="1:9" x14ac:dyDescent="0.25">
      <c r="A471" s="36">
        <v>49039</v>
      </c>
      <c r="B471" s="1">
        <f t="shared" si="70"/>
        <v>31</v>
      </c>
      <c r="C471" s="4">
        <f t="shared" si="68"/>
        <v>16940598</v>
      </c>
      <c r="D471" s="2">
        <f t="shared" si="71"/>
        <v>15571471.67</v>
      </c>
      <c r="E471" s="19">
        <f t="shared" si="69"/>
        <v>1369126.33</v>
      </c>
      <c r="F471" s="2">
        <f t="shared" si="72"/>
        <v>80601791.960000157</v>
      </c>
      <c r="G471" s="2">
        <f t="shared" si="73"/>
        <v>65030320.290000156</v>
      </c>
      <c r="H471" s="14">
        <f t="shared" si="74"/>
        <v>1026844.7468876733</v>
      </c>
      <c r="I471" s="16">
        <f t="shared" si="75"/>
        <v>-342281.5831123268</v>
      </c>
    </row>
    <row r="472" spans="1:9" x14ac:dyDescent="0.25">
      <c r="A472" s="36">
        <v>49069</v>
      </c>
      <c r="B472" s="1">
        <f t="shared" si="70"/>
        <v>30</v>
      </c>
      <c r="C472" s="4">
        <f t="shared" si="68"/>
        <v>16940598</v>
      </c>
      <c r="D472" s="2">
        <f t="shared" si="71"/>
        <v>15871606.43</v>
      </c>
      <c r="E472" s="19">
        <f t="shared" si="69"/>
        <v>1068991.57</v>
      </c>
      <c r="F472" s="2">
        <f t="shared" si="72"/>
        <v>65030320.290000156</v>
      </c>
      <c r="G472" s="2">
        <f t="shared" si="73"/>
        <v>49158713.860000156</v>
      </c>
      <c r="H472" s="14">
        <f t="shared" si="74"/>
        <v>801743.67480822094</v>
      </c>
      <c r="I472" s="16">
        <f t="shared" si="75"/>
        <v>-267247.89519177913</v>
      </c>
    </row>
    <row r="473" spans="1:9" x14ac:dyDescent="0.25">
      <c r="A473" s="36">
        <v>49100</v>
      </c>
      <c r="B473" s="1">
        <f t="shared" si="70"/>
        <v>31</v>
      </c>
      <c r="C473" s="4">
        <f t="shared" si="68"/>
        <v>16940598</v>
      </c>
      <c r="D473" s="2">
        <f t="shared" si="71"/>
        <v>16105573.27</v>
      </c>
      <c r="E473" s="19">
        <f t="shared" si="69"/>
        <v>835024.73</v>
      </c>
      <c r="F473" s="2">
        <f t="shared" si="72"/>
        <v>49158713.860000156</v>
      </c>
      <c r="G473" s="2">
        <f t="shared" si="73"/>
        <v>33053140.590000156</v>
      </c>
      <c r="H473" s="14">
        <f t="shared" si="74"/>
        <v>626268.54643561842</v>
      </c>
      <c r="I473" s="16">
        <f t="shared" si="75"/>
        <v>-208756.18356438156</v>
      </c>
    </row>
    <row r="474" spans="1:9" x14ac:dyDescent="0.25">
      <c r="A474" s="36">
        <v>49130</v>
      </c>
      <c r="B474" s="1">
        <f t="shared" si="70"/>
        <v>30</v>
      </c>
      <c r="C474" s="4">
        <f t="shared" si="68"/>
        <v>16940598</v>
      </c>
      <c r="D474" s="2">
        <f t="shared" si="71"/>
        <v>16397258.699999999</v>
      </c>
      <c r="E474" s="19">
        <f t="shared" si="69"/>
        <v>543339.30000000005</v>
      </c>
      <c r="F474" s="2">
        <f t="shared" si="72"/>
        <v>33053140.590000156</v>
      </c>
      <c r="G474" s="2">
        <f t="shared" si="73"/>
        <v>16655881.890000157</v>
      </c>
      <c r="H474" s="14">
        <f t="shared" si="74"/>
        <v>407504.47302739916</v>
      </c>
      <c r="I474" s="16">
        <f t="shared" si="75"/>
        <v>-135834.82697260089</v>
      </c>
    </row>
    <row r="475" spans="1:9" x14ac:dyDescent="0.25">
      <c r="A475" s="36">
        <v>49161</v>
      </c>
      <c r="B475" s="1">
        <f t="shared" si="70"/>
        <v>31</v>
      </c>
      <c r="C475" s="4">
        <f t="shared" si="68"/>
        <v>16940598</v>
      </c>
      <c r="D475" s="2">
        <f t="shared" si="71"/>
        <v>16655881.890000157</v>
      </c>
      <c r="E475" s="19">
        <v>284716.10999984288</v>
      </c>
      <c r="F475" s="2">
        <f t="shared" si="72"/>
        <v>16655881.890000157</v>
      </c>
      <c r="G475" s="2">
        <f t="shared" si="73"/>
        <v>0</v>
      </c>
      <c r="H475" s="14">
        <f t="shared" si="74"/>
        <v>212191.37202328967</v>
      </c>
      <c r="I475" s="16">
        <f t="shared" si="75"/>
        <v>-72524.73797655321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45573-69F7-4D1D-B992-AB804E8BB3EE}">
  <dimension ref="A1:J475"/>
  <sheetViews>
    <sheetView zoomScale="85" zoomScaleNormal="90" workbookViewId="0">
      <pane ySplit="3" topLeftCell="A469" activePane="bottomLeft" state="frozen"/>
      <selection activeCell="R3" sqref="R3"/>
      <selection pane="bottomLeft" activeCell="C493" sqref="C493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4.71093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ROUNDUP(13167896,TRUE)</f>
        <v>13167896</v>
      </c>
      <c r="E1" s="25" t="s">
        <v>51</v>
      </c>
      <c r="F1" s="24">
        <f>ROUNDUP(16926875.6134951,TRUE)</f>
        <v>16926875.700000003</v>
      </c>
      <c r="G1" s="28" t="s">
        <v>52</v>
      </c>
      <c r="H1" s="26">
        <v>42160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  <c r="C2" s="30" t="s">
        <v>60</v>
      </c>
      <c r="D2" s="30">
        <f>H1-A20</f>
        <v>-183</v>
      </c>
      <c r="E2" t="s">
        <v>59</v>
      </c>
      <c r="F2">
        <f>A41-H1</f>
        <v>823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41856</v>
      </c>
      <c r="B4" s="60">
        <f>DAYS360(B1,A4)</f>
        <v>3</v>
      </c>
      <c r="C4" s="67" t="s">
        <v>15</v>
      </c>
      <c r="D4" s="67" t="s">
        <v>15</v>
      </c>
      <c r="E4" s="62">
        <f>ROUND(F4*$B$2*B4/360,2)</f>
        <v>1250000</v>
      </c>
      <c r="F4" s="66">
        <v>999999999</v>
      </c>
      <c r="G4" s="66">
        <v>999999999</v>
      </c>
      <c r="H4" s="65"/>
      <c r="I4" s="65"/>
    </row>
    <row r="5" spans="1:10" x14ac:dyDescent="0.25">
      <c r="A5" s="36">
        <v>41887</v>
      </c>
      <c r="B5" s="60">
        <f>DAYS360(A4,A5,TRUE)</f>
        <v>30</v>
      </c>
      <c r="C5" s="4">
        <f>$D$1</f>
        <v>13167896</v>
      </c>
      <c r="D5" s="61">
        <f t="shared" ref="D5:D68" si="0">C5-E5</f>
        <v>667896.00999999978</v>
      </c>
      <c r="E5" s="62">
        <f>ROUND(F5*$B$2*B5/360,2)</f>
        <v>12499999.99</v>
      </c>
      <c r="F5" s="66">
        <v>999999999</v>
      </c>
      <c r="G5" s="61">
        <f>F5-D5</f>
        <v>999332102.99000001</v>
      </c>
      <c r="H5" s="63">
        <f>F5*$B$2*B5/360</f>
        <v>12499999.987500001</v>
      </c>
      <c r="I5" s="64">
        <f>H5-E5</f>
        <v>-2.4999994784593582E-3</v>
      </c>
    </row>
    <row r="6" spans="1:10" x14ac:dyDescent="0.25">
      <c r="A6" s="36">
        <v>41917</v>
      </c>
      <c r="B6" s="60">
        <f t="shared" ref="B6:B69" si="1">DAYS360(A5,A6,TRUE)</f>
        <v>30</v>
      </c>
      <c r="C6" s="4">
        <f>$D$1</f>
        <v>13167896</v>
      </c>
      <c r="D6" s="2">
        <f t="shared" si="0"/>
        <v>676244.71000000089</v>
      </c>
      <c r="E6" s="62">
        <f t="shared" ref="E6:E69" si="2">ROUND(F6*$B$2*B6/360,2)</f>
        <v>12491651.289999999</v>
      </c>
      <c r="F6" s="2">
        <f>G5</f>
        <v>999332102.99000001</v>
      </c>
      <c r="G6" s="2">
        <f>F6-D6</f>
        <v>998655858.27999997</v>
      </c>
      <c r="H6" s="63">
        <f t="shared" ref="H6:H69" si="3">F6*$B$2*B6/360</f>
        <v>12491651.287374999</v>
      </c>
      <c r="I6" s="16">
        <f t="shared" ref="I6:I69" si="4">H6-E6</f>
        <v>-2.6249997317790985E-3</v>
      </c>
    </row>
    <row r="7" spans="1:10" x14ac:dyDescent="0.25">
      <c r="A7" s="36">
        <v>41948</v>
      </c>
      <c r="B7" s="60">
        <f t="shared" si="1"/>
        <v>30</v>
      </c>
      <c r="C7" s="4">
        <f t="shared" ref="C7:C70" si="5">$D$1</f>
        <v>13167896</v>
      </c>
      <c r="D7" s="2">
        <f t="shared" si="0"/>
        <v>684697.76999999955</v>
      </c>
      <c r="E7" s="62">
        <f t="shared" si="2"/>
        <v>12483198.23</v>
      </c>
      <c r="F7" s="2">
        <f t="shared" ref="F7:F70" si="6">G6</f>
        <v>998655858.27999997</v>
      </c>
      <c r="G7" s="2">
        <f t="shared" ref="G7:G70" si="7">F7-D7</f>
        <v>997971160.50999999</v>
      </c>
      <c r="H7" s="63">
        <f t="shared" si="3"/>
        <v>12483198.228499997</v>
      </c>
      <c r="I7" s="16">
        <f t="shared" si="4"/>
        <v>-1.5000030398368835E-3</v>
      </c>
    </row>
    <row r="8" spans="1:10" x14ac:dyDescent="0.25">
      <c r="A8" s="36">
        <v>41978</v>
      </c>
      <c r="B8" s="60">
        <f t="shared" si="1"/>
        <v>30</v>
      </c>
      <c r="C8" s="4">
        <f t="shared" si="5"/>
        <v>13167896</v>
      </c>
      <c r="D8" s="2">
        <f t="shared" si="0"/>
        <v>693256.49000000022</v>
      </c>
      <c r="E8" s="62">
        <f t="shared" si="2"/>
        <v>12474639.51</v>
      </c>
      <c r="F8" s="2">
        <f t="shared" si="6"/>
        <v>997971160.50999999</v>
      </c>
      <c r="G8" s="2">
        <f t="shared" si="7"/>
        <v>997277904.01999998</v>
      </c>
      <c r="H8" s="63">
        <f t="shared" si="3"/>
        <v>12474639.506375</v>
      </c>
      <c r="I8" s="16">
        <f t="shared" si="4"/>
        <v>-3.6249998956918716E-3</v>
      </c>
    </row>
    <row r="9" spans="1:10" x14ac:dyDescent="0.25">
      <c r="A9" s="36">
        <v>42009</v>
      </c>
      <c r="B9" s="60">
        <f t="shared" si="1"/>
        <v>30</v>
      </c>
      <c r="C9" s="4">
        <f t="shared" si="5"/>
        <v>13167896</v>
      </c>
      <c r="D9" s="2">
        <f t="shared" si="0"/>
        <v>701922.19999999925</v>
      </c>
      <c r="E9" s="62">
        <f t="shared" si="2"/>
        <v>12465973.800000001</v>
      </c>
      <c r="F9" s="2">
        <f t="shared" si="6"/>
        <v>997277904.01999998</v>
      </c>
      <c r="G9" s="2">
        <f t="shared" si="7"/>
        <v>996575981.81999993</v>
      </c>
      <c r="H9" s="63">
        <f t="shared" si="3"/>
        <v>12465973.800249998</v>
      </c>
      <c r="I9" s="16">
        <f t="shared" si="4"/>
        <v>2.4999678134918213E-4</v>
      </c>
    </row>
    <row r="10" spans="1:10" x14ac:dyDescent="0.25">
      <c r="A10" s="36">
        <v>42040</v>
      </c>
      <c r="B10" s="60">
        <f t="shared" si="1"/>
        <v>30</v>
      </c>
      <c r="C10" s="4">
        <f t="shared" si="5"/>
        <v>13167896</v>
      </c>
      <c r="D10" s="2">
        <f t="shared" si="0"/>
        <v>710696.23000000045</v>
      </c>
      <c r="E10" s="62">
        <f t="shared" si="2"/>
        <v>12457199.77</v>
      </c>
      <c r="F10" s="2">
        <f t="shared" si="6"/>
        <v>996575981.81999993</v>
      </c>
      <c r="G10" s="2">
        <f t="shared" si="7"/>
        <v>995865285.58999991</v>
      </c>
      <c r="H10" s="63">
        <f t="shared" si="3"/>
        <v>12457199.77275</v>
      </c>
      <c r="I10" s="16">
        <f t="shared" si="4"/>
        <v>2.7499999850988388E-3</v>
      </c>
    </row>
    <row r="11" spans="1:10" x14ac:dyDescent="0.25">
      <c r="A11" s="36">
        <v>42068</v>
      </c>
      <c r="B11" s="60">
        <f t="shared" si="1"/>
        <v>30</v>
      </c>
      <c r="C11" s="4">
        <f t="shared" si="5"/>
        <v>13167896</v>
      </c>
      <c r="D11" s="2">
        <f t="shared" si="0"/>
        <v>719579.9299999997</v>
      </c>
      <c r="E11" s="62">
        <f t="shared" si="2"/>
        <v>12448316.07</v>
      </c>
      <c r="F11" s="2">
        <f t="shared" si="6"/>
        <v>995865285.58999991</v>
      </c>
      <c r="G11" s="2">
        <f t="shared" si="7"/>
        <v>995145705.65999997</v>
      </c>
      <c r="H11" s="63">
        <f t="shared" si="3"/>
        <v>12448316.069875</v>
      </c>
      <c r="I11" s="16">
        <f t="shared" si="4"/>
        <v>-1.250002533197403E-4</v>
      </c>
    </row>
    <row r="12" spans="1:10" x14ac:dyDescent="0.25">
      <c r="A12" s="36">
        <v>42099</v>
      </c>
      <c r="B12" s="60">
        <f t="shared" si="1"/>
        <v>30</v>
      </c>
      <c r="C12" s="4">
        <f t="shared" si="5"/>
        <v>13167896</v>
      </c>
      <c r="D12" s="2">
        <f t="shared" si="0"/>
        <v>728574.6799999997</v>
      </c>
      <c r="E12" s="62">
        <f t="shared" si="2"/>
        <v>12439321.32</v>
      </c>
      <c r="F12" s="2">
        <f t="shared" si="6"/>
        <v>995145705.65999997</v>
      </c>
      <c r="G12" s="2">
        <f t="shared" si="7"/>
        <v>994417130.98000002</v>
      </c>
      <c r="H12" s="63">
        <f t="shared" si="3"/>
        <v>12439321.320749998</v>
      </c>
      <c r="I12" s="16">
        <f t="shared" si="4"/>
        <v>7.4999779462814331E-4</v>
      </c>
    </row>
    <row r="13" spans="1:10" x14ac:dyDescent="0.25">
      <c r="A13" s="36">
        <v>42129</v>
      </c>
      <c r="B13" s="60">
        <f t="shared" si="1"/>
        <v>30</v>
      </c>
      <c r="C13" s="4">
        <f t="shared" si="5"/>
        <v>13167896</v>
      </c>
      <c r="D13" s="2">
        <f t="shared" si="0"/>
        <v>737681.8599999994</v>
      </c>
      <c r="E13" s="62">
        <f t="shared" si="2"/>
        <v>12430214.140000001</v>
      </c>
      <c r="F13" s="2">
        <f t="shared" si="6"/>
        <v>994417130.98000002</v>
      </c>
      <c r="G13" s="2">
        <f t="shared" si="7"/>
        <v>993679449.12</v>
      </c>
      <c r="H13" s="63">
        <f t="shared" si="3"/>
        <v>12430214.137249999</v>
      </c>
      <c r="I13" s="16">
        <f t="shared" si="4"/>
        <v>-2.750001847743988E-3</v>
      </c>
    </row>
    <row r="14" spans="1:10" x14ac:dyDescent="0.25">
      <c r="A14" s="36">
        <v>42160</v>
      </c>
      <c r="B14" s="60">
        <f t="shared" si="1"/>
        <v>30</v>
      </c>
      <c r="C14" s="4">
        <f t="shared" si="5"/>
        <v>13167896</v>
      </c>
      <c r="D14" s="2">
        <f t="shared" si="0"/>
        <v>746902.8900000006</v>
      </c>
      <c r="E14" s="62">
        <f t="shared" si="2"/>
        <v>12420993.109999999</v>
      </c>
      <c r="F14" s="2">
        <f t="shared" si="6"/>
        <v>993679449.12</v>
      </c>
      <c r="G14" s="2">
        <f t="shared" si="7"/>
        <v>992932546.23000002</v>
      </c>
      <c r="H14" s="63">
        <f t="shared" si="3"/>
        <v>12420993.114</v>
      </c>
      <c r="I14" s="16">
        <f t="shared" si="4"/>
        <v>4.0000006556510925E-3</v>
      </c>
    </row>
    <row r="15" spans="1:10" x14ac:dyDescent="0.25">
      <c r="A15" s="36">
        <v>42190</v>
      </c>
      <c r="B15" s="60">
        <f t="shared" si="1"/>
        <v>30</v>
      </c>
      <c r="C15" s="4">
        <f t="shared" si="5"/>
        <v>13167896</v>
      </c>
      <c r="D15" s="2">
        <f t="shared" si="0"/>
        <v>756239.16999999993</v>
      </c>
      <c r="E15" s="62">
        <f t="shared" si="2"/>
        <v>12411656.83</v>
      </c>
      <c r="F15" s="2">
        <f t="shared" si="6"/>
        <v>992932546.23000002</v>
      </c>
      <c r="G15" s="2">
        <f t="shared" si="7"/>
        <v>992176307.06000006</v>
      </c>
      <c r="H15" s="63">
        <f t="shared" si="3"/>
        <v>12411656.827874999</v>
      </c>
      <c r="I15" s="16">
        <f t="shared" si="4"/>
        <v>-2.1250005811452866E-3</v>
      </c>
    </row>
    <row r="16" spans="1:10" x14ac:dyDescent="0.25">
      <c r="A16" s="36">
        <v>42221</v>
      </c>
      <c r="B16" s="60">
        <f t="shared" si="1"/>
        <v>30</v>
      </c>
      <c r="C16" s="4">
        <f t="shared" si="5"/>
        <v>13167896</v>
      </c>
      <c r="D16" s="2">
        <f t="shared" si="0"/>
        <v>765692.16000000015</v>
      </c>
      <c r="E16" s="62">
        <f t="shared" si="2"/>
        <v>12402203.84</v>
      </c>
      <c r="F16" s="2">
        <f t="shared" si="6"/>
        <v>992176307.06000006</v>
      </c>
      <c r="G16" s="2">
        <f t="shared" si="7"/>
        <v>991410614.9000001</v>
      </c>
      <c r="H16" s="63">
        <f t="shared" si="3"/>
        <v>12402203.838250002</v>
      </c>
      <c r="I16" s="16">
        <f t="shared" si="4"/>
        <v>-1.7499979585409164E-3</v>
      </c>
    </row>
    <row r="17" spans="1:9" x14ac:dyDescent="0.25">
      <c r="A17" s="36">
        <v>42252</v>
      </c>
      <c r="B17" s="60">
        <f t="shared" si="1"/>
        <v>30</v>
      </c>
      <c r="C17" s="4">
        <f t="shared" si="5"/>
        <v>13167896</v>
      </c>
      <c r="D17" s="2">
        <f t="shared" si="0"/>
        <v>775263.31000000052</v>
      </c>
      <c r="E17" s="62">
        <f t="shared" si="2"/>
        <v>12392632.689999999</v>
      </c>
      <c r="F17" s="2">
        <f t="shared" si="6"/>
        <v>991410614.9000001</v>
      </c>
      <c r="G17" s="2">
        <f t="shared" si="7"/>
        <v>990635351.59000015</v>
      </c>
      <c r="H17" s="63">
        <f t="shared" si="3"/>
        <v>12392632.686250001</v>
      </c>
      <c r="I17" s="16">
        <f t="shared" si="4"/>
        <v>-3.7499982863664627E-3</v>
      </c>
    </row>
    <row r="18" spans="1:9" x14ac:dyDescent="0.25">
      <c r="A18" s="36">
        <v>42282</v>
      </c>
      <c r="B18" s="60">
        <f t="shared" si="1"/>
        <v>30</v>
      </c>
      <c r="C18" s="4">
        <f t="shared" si="5"/>
        <v>13167896</v>
      </c>
      <c r="D18" s="2">
        <f t="shared" si="0"/>
        <v>784954.1099999994</v>
      </c>
      <c r="E18" s="62">
        <f t="shared" si="2"/>
        <v>12382941.890000001</v>
      </c>
      <c r="F18" s="2">
        <f t="shared" si="6"/>
        <v>990635351.59000015</v>
      </c>
      <c r="G18" s="2">
        <f t="shared" si="7"/>
        <v>989850397.48000014</v>
      </c>
      <c r="H18" s="63">
        <f t="shared" si="3"/>
        <v>12382941.894875001</v>
      </c>
      <c r="I18" s="16">
        <f t="shared" si="4"/>
        <v>4.8750005662441254E-3</v>
      </c>
    </row>
    <row r="19" spans="1:9" x14ac:dyDescent="0.25">
      <c r="A19" s="36">
        <v>42313</v>
      </c>
      <c r="B19" s="60">
        <f t="shared" si="1"/>
        <v>30</v>
      </c>
      <c r="C19" s="4">
        <f t="shared" si="5"/>
        <v>13167896</v>
      </c>
      <c r="D19" s="2">
        <f t="shared" si="0"/>
        <v>794766.02999999933</v>
      </c>
      <c r="E19" s="62">
        <f t="shared" si="2"/>
        <v>12373129.970000001</v>
      </c>
      <c r="F19" s="2">
        <f t="shared" si="6"/>
        <v>989850397.48000014</v>
      </c>
      <c r="G19" s="2">
        <f t="shared" si="7"/>
        <v>989055631.45000017</v>
      </c>
      <c r="H19" s="63">
        <f t="shared" si="3"/>
        <v>12373129.968499999</v>
      </c>
      <c r="I19" s="16">
        <f t="shared" si="4"/>
        <v>-1.5000011771917343E-3</v>
      </c>
    </row>
    <row r="20" spans="1:9" x14ac:dyDescent="0.25">
      <c r="A20" s="36">
        <v>42343</v>
      </c>
      <c r="B20" s="60">
        <f t="shared" si="1"/>
        <v>30</v>
      </c>
      <c r="C20" s="4">
        <f t="shared" si="5"/>
        <v>13167896</v>
      </c>
      <c r="D20" s="2">
        <f t="shared" si="0"/>
        <v>804700.6099999994</v>
      </c>
      <c r="E20" s="62">
        <f t="shared" si="2"/>
        <v>12363195.390000001</v>
      </c>
      <c r="F20" s="2">
        <f t="shared" si="6"/>
        <v>989055631.45000017</v>
      </c>
      <c r="G20" s="2">
        <f t="shared" si="7"/>
        <v>988250930.84000015</v>
      </c>
      <c r="H20" s="63">
        <f t="shared" si="3"/>
        <v>12363195.393125001</v>
      </c>
      <c r="I20" s="16">
        <f t="shared" si="4"/>
        <v>3.1250007450580597E-3</v>
      </c>
    </row>
    <row r="21" spans="1:9" x14ac:dyDescent="0.25">
      <c r="A21" s="36">
        <v>42374</v>
      </c>
      <c r="B21" s="60">
        <f t="shared" si="1"/>
        <v>30</v>
      </c>
      <c r="C21" s="4">
        <f t="shared" si="5"/>
        <v>13167896</v>
      </c>
      <c r="D21" s="2">
        <f t="shared" si="0"/>
        <v>814759.3599999994</v>
      </c>
      <c r="E21" s="62">
        <f t="shared" si="2"/>
        <v>12353136.640000001</v>
      </c>
      <c r="F21" s="2">
        <f t="shared" si="6"/>
        <v>988250930.84000015</v>
      </c>
      <c r="G21" s="2">
        <f t="shared" si="7"/>
        <v>987436171.48000014</v>
      </c>
      <c r="H21" s="63">
        <f t="shared" si="3"/>
        <v>12353136.635500003</v>
      </c>
      <c r="I21" s="16">
        <f t="shared" si="4"/>
        <v>-4.4999979436397552E-3</v>
      </c>
    </row>
    <row r="22" spans="1:9" x14ac:dyDescent="0.25">
      <c r="A22" s="36">
        <v>42405</v>
      </c>
      <c r="B22" s="60">
        <f t="shared" si="1"/>
        <v>30</v>
      </c>
      <c r="C22" s="4">
        <f t="shared" si="5"/>
        <v>13167896</v>
      </c>
      <c r="D22" s="2">
        <f t="shared" si="0"/>
        <v>824943.8599999994</v>
      </c>
      <c r="E22" s="62">
        <f t="shared" si="2"/>
        <v>12342952.140000001</v>
      </c>
      <c r="F22" s="2">
        <f t="shared" si="6"/>
        <v>987436171.48000014</v>
      </c>
      <c r="G22" s="2">
        <f t="shared" si="7"/>
        <v>986611227.62000012</v>
      </c>
      <c r="H22" s="63">
        <f t="shared" si="3"/>
        <v>12342952.1435</v>
      </c>
      <c r="I22" s="16">
        <f t="shared" si="4"/>
        <v>3.4999996423721313E-3</v>
      </c>
    </row>
    <row r="23" spans="1:9" x14ac:dyDescent="0.25">
      <c r="A23" s="36">
        <v>42434</v>
      </c>
      <c r="B23" s="60">
        <f t="shared" si="1"/>
        <v>30</v>
      </c>
      <c r="C23" s="4">
        <f t="shared" si="5"/>
        <v>13167896</v>
      </c>
      <c r="D23" s="2">
        <f t="shared" si="0"/>
        <v>835255.65000000037</v>
      </c>
      <c r="E23" s="62">
        <f t="shared" si="2"/>
        <v>12332640.35</v>
      </c>
      <c r="F23" s="2">
        <f t="shared" si="6"/>
        <v>986611227.62000012</v>
      </c>
      <c r="G23" s="2">
        <f t="shared" si="7"/>
        <v>985775971.97000015</v>
      </c>
      <c r="H23" s="63">
        <f t="shared" si="3"/>
        <v>12332640.345249999</v>
      </c>
      <c r="I23" s="16">
        <f t="shared" si="4"/>
        <v>-4.7500003129243851E-3</v>
      </c>
    </row>
    <row r="24" spans="1:9" x14ac:dyDescent="0.25">
      <c r="A24" s="36">
        <v>42465</v>
      </c>
      <c r="B24" s="60">
        <f t="shared" si="1"/>
        <v>30</v>
      </c>
      <c r="C24" s="4">
        <f t="shared" si="5"/>
        <v>13167896</v>
      </c>
      <c r="D24" s="2">
        <f t="shared" si="0"/>
        <v>845696.34999999963</v>
      </c>
      <c r="E24" s="62">
        <f t="shared" si="2"/>
        <v>12322199.65</v>
      </c>
      <c r="F24" s="2">
        <f t="shared" si="6"/>
        <v>985775971.97000015</v>
      </c>
      <c r="G24" s="2">
        <f t="shared" si="7"/>
        <v>984930275.62000012</v>
      </c>
      <c r="H24" s="63">
        <f t="shared" si="3"/>
        <v>12322199.649625001</v>
      </c>
      <c r="I24" s="16">
        <f t="shared" si="4"/>
        <v>-3.7499889731407166E-4</v>
      </c>
    </row>
    <row r="25" spans="1:9" x14ac:dyDescent="0.25">
      <c r="A25" s="36">
        <v>42495</v>
      </c>
      <c r="B25" s="60">
        <f t="shared" si="1"/>
        <v>30</v>
      </c>
      <c r="C25" s="4">
        <f t="shared" si="5"/>
        <v>13167896</v>
      </c>
      <c r="D25" s="2">
        <f t="shared" si="0"/>
        <v>856267.55000000075</v>
      </c>
      <c r="E25" s="62">
        <f t="shared" si="2"/>
        <v>12311628.449999999</v>
      </c>
      <c r="F25" s="2">
        <f t="shared" si="6"/>
        <v>984930275.62000012</v>
      </c>
      <c r="G25" s="2">
        <f t="shared" si="7"/>
        <v>984074008.07000017</v>
      </c>
      <c r="H25" s="63">
        <f t="shared" si="3"/>
        <v>12311628.445250003</v>
      </c>
      <c r="I25" s="16">
        <f t="shared" si="4"/>
        <v>-4.7499965876340866E-3</v>
      </c>
    </row>
    <row r="26" spans="1:9" x14ac:dyDescent="0.25">
      <c r="A26" s="36">
        <v>42526</v>
      </c>
      <c r="B26" s="60">
        <f t="shared" si="1"/>
        <v>30</v>
      </c>
      <c r="C26" s="4">
        <f t="shared" si="5"/>
        <v>13167896</v>
      </c>
      <c r="D26" s="2">
        <f t="shared" si="0"/>
        <v>866970.90000000037</v>
      </c>
      <c r="E26" s="62">
        <f t="shared" si="2"/>
        <v>12300925.1</v>
      </c>
      <c r="F26" s="2">
        <f t="shared" si="6"/>
        <v>984074008.07000017</v>
      </c>
      <c r="G26" s="2">
        <f t="shared" si="7"/>
        <v>983207037.1700002</v>
      </c>
      <c r="H26" s="63">
        <f t="shared" si="3"/>
        <v>12300925.100875001</v>
      </c>
      <c r="I26" s="16">
        <f t="shared" si="4"/>
        <v>8.7500177323818207E-4</v>
      </c>
    </row>
    <row r="27" spans="1:9" x14ac:dyDescent="0.25">
      <c r="A27" s="36">
        <v>42556</v>
      </c>
      <c r="B27" s="60">
        <f t="shared" si="1"/>
        <v>30</v>
      </c>
      <c r="C27" s="4">
        <f t="shared" si="5"/>
        <v>13167896</v>
      </c>
      <c r="D27" s="2">
        <f t="shared" si="0"/>
        <v>877808.03999999911</v>
      </c>
      <c r="E27" s="62">
        <f t="shared" si="2"/>
        <v>12290087.960000001</v>
      </c>
      <c r="F27" s="2">
        <f t="shared" si="6"/>
        <v>983207037.1700002</v>
      </c>
      <c r="G27" s="2">
        <f t="shared" si="7"/>
        <v>982329229.13000023</v>
      </c>
      <c r="H27" s="63">
        <f t="shared" si="3"/>
        <v>12290087.964625001</v>
      </c>
      <c r="I27" s="16">
        <f t="shared" si="4"/>
        <v>4.6250000596046448E-3</v>
      </c>
    </row>
    <row r="28" spans="1:9" x14ac:dyDescent="0.25">
      <c r="A28" s="36">
        <v>42587</v>
      </c>
      <c r="B28" s="60">
        <f t="shared" si="1"/>
        <v>30</v>
      </c>
      <c r="C28" s="4">
        <f t="shared" si="5"/>
        <v>13167896</v>
      </c>
      <c r="D28" s="2">
        <f t="shared" si="0"/>
        <v>888780.6400000006</v>
      </c>
      <c r="E28" s="62">
        <f t="shared" si="2"/>
        <v>12279115.359999999</v>
      </c>
      <c r="F28" s="2">
        <f t="shared" si="6"/>
        <v>982329229.13000023</v>
      </c>
      <c r="G28" s="2">
        <f t="shared" si="7"/>
        <v>981440448.49000025</v>
      </c>
      <c r="H28" s="63">
        <f t="shared" si="3"/>
        <v>12279115.364125002</v>
      </c>
      <c r="I28" s="16">
        <f t="shared" si="4"/>
        <v>4.1250027716159821E-3</v>
      </c>
    </row>
    <row r="29" spans="1:9" x14ac:dyDescent="0.25">
      <c r="A29" s="36">
        <v>42618</v>
      </c>
      <c r="B29" s="60">
        <f t="shared" si="1"/>
        <v>30</v>
      </c>
      <c r="C29" s="4">
        <f t="shared" si="5"/>
        <v>13167896</v>
      </c>
      <c r="D29" s="2">
        <f t="shared" si="0"/>
        <v>899890.3900000006</v>
      </c>
      <c r="E29" s="62">
        <f t="shared" si="2"/>
        <v>12268005.609999999</v>
      </c>
      <c r="F29" s="2">
        <f t="shared" si="6"/>
        <v>981440448.49000025</v>
      </c>
      <c r="G29" s="2">
        <f t="shared" si="7"/>
        <v>980540558.10000026</v>
      </c>
      <c r="H29" s="63">
        <f t="shared" si="3"/>
        <v>12268005.606125003</v>
      </c>
      <c r="I29" s="16">
        <f t="shared" si="4"/>
        <v>-3.8749966770410538E-3</v>
      </c>
    </row>
    <row r="30" spans="1:9" x14ac:dyDescent="0.25">
      <c r="A30" s="36">
        <v>42648</v>
      </c>
      <c r="B30" s="60">
        <f t="shared" si="1"/>
        <v>30</v>
      </c>
      <c r="C30" s="4">
        <f t="shared" si="5"/>
        <v>13167896</v>
      </c>
      <c r="D30" s="2">
        <f t="shared" si="0"/>
        <v>911139.01999999955</v>
      </c>
      <c r="E30" s="62">
        <f t="shared" si="2"/>
        <v>12256756.98</v>
      </c>
      <c r="F30" s="2">
        <f t="shared" si="6"/>
        <v>980540558.10000026</v>
      </c>
      <c r="G30" s="2">
        <f t="shared" si="7"/>
        <v>979629419.08000028</v>
      </c>
      <c r="H30" s="63">
        <f t="shared" si="3"/>
        <v>12256756.976250002</v>
      </c>
      <c r="I30" s="16">
        <f t="shared" si="4"/>
        <v>-3.7499982863664627E-3</v>
      </c>
    </row>
    <row r="31" spans="1:9" x14ac:dyDescent="0.25">
      <c r="A31" s="36">
        <v>42679</v>
      </c>
      <c r="B31" s="60">
        <f t="shared" si="1"/>
        <v>30</v>
      </c>
      <c r="C31" s="4">
        <f t="shared" si="5"/>
        <v>13167896</v>
      </c>
      <c r="D31" s="2">
        <f t="shared" si="0"/>
        <v>922528.25999999978</v>
      </c>
      <c r="E31" s="62">
        <f t="shared" si="2"/>
        <v>12245367.74</v>
      </c>
      <c r="F31" s="2">
        <f t="shared" si="6"/>
        <v>979629419.08000028</v>
      </c>
      <c r="G31" s="2">
        <f t="shared" si="7"/>
        <v>978706890.82000029</v>
      </c>
      <c r="H31" s="63">
        <f t="shared" si="3"/>
        <v>12245367.738500005</v>
      </c>
      <c r="I31" s="16">
        <f t="shared" si="4"/>
        <v>-1.4999955892562866E-3</v>
      </c>
    </row>
    <row r="32" spans="1:9" x14ac:dyDescent="0.25">
      <c r="A32" s="36">
        <v>42709</v>
      </c>
      <c r="B32" s="60">
        <f t="shared" si="1"/>
        <v>30</v>
      </c>
      <c r="C32" s="4">
        <f t="shared" si="5"/>
        <v>13167896</v>
      </c>
      <c r="D32" s="2">
        <f t="shared" si="0"/>
        <v>934059.8599999994</v>
      </c>
      <c r="E32" s="62">
        <f t="shared" si="2"/>
        <v>12233836.140000001</v>
      </c>
      <c r="F32" s="2">
        <f t="shared" si="6"/>
        <v>978706890.82000029</v>
      </c>
      <c r="G32" s="2">
        <f t="shared" si="7"/>
        <v>977772830.96000028</v>
      </c>
      <c r="H32" s="63">
        <f t="shared" si="3"/>
        <v>12233836.135250002</v>
      </c>
      <c r="I32" s="16">
        <f t="shared" si="4"/>
        <v>-4.7499984502792358E-3</v>
      </c>
    </row>
    <row r="33" spans="1:9" x14ac:dyDescent="0.25">
      <c r="A33" s="36">
        <v>42740</v>
      </c>
      <c r="B33" s="60">
        <f t="shared" si="1"/>
        <v>30</v>
      </c>
      <c r="C33" s="4">
        <f t="shared" si="5"/>
        <v>13167896</v>
      </c>
      <c r="D33" s="2">
        <f t="shared" si="0"/>
        <v>945735.6099999994</v>
      </c>
      <c r="E33" s="62">
        <f t="shared" si="2"/>
        <v>12222160.390000001</v>
      </c>
      <c r="F33" s="2">
        <f t="shared" si="6"/>
        <v>977772830.96000028</v>
      </c>
      <c r="G33" s="2">
        <f t="shared" si="7"/>
        <v>976827095.35000026</v>
      </c>
      <c r="H33" s="63">
        <f t="shared" si="3"/>
        <v>12222160.387000002</v>
      </c>
      <c r="I33" s="16">
        <f t="shared" si="4"/>
        <v>-2.9999986290931702E-3</v>
      </c>
    </row>
    <row r="34" spans="1:9" x14ac:dyDescent="0.25">
      <c r="A34" s="36">
        <v>42771</v>
      </c>
      <c r="B34" s="60">
        <f t="shared" si="1"/>
        <v>30</v>
      </c>
      <c r="C34" s="4">
        <f t="shared" si="5"/>
        <v>13167896</v>
      </c>
      <c r="D34" s="2">
        <f t="shared" si="0"/>
        <v>957557.31000000052</v>
      </c>
      <c r="E34" s="62">
        <f t="shared" si="2"/>
        <v>12210338.689999999</v>
      </c>
      <c r="F34" s="2">
        <f t="shared" si="6"/>
        <v>976827095.35000026</v>
      </c>
      <c r="G34" s="2">
        <f t="shared" si="7"/>
        <v>975869538.04000032</v>
      </c>
      <c r="H34" s="63">
        <f t="shared" si="3"/>
        <v>12210338.691875001</v>
      </c>
      <c r="I34" s="16">
        <f t="shared" si="4"/>
        <v>1.8750019371509552E-3</v>
      </c>
    </row>
    <row r="35" spans="1:9" x14ac:dyDescent="0.25">
      <c r="A35" s="36">
        <v>42799</v>
      </c>
      <c r="B35" s="60">
        <f t="shared" si="1"/>
        <v>30</v>
      </c>
      <c r="C35" s="4">
        <f t="shared" si="5"/>
        <v>13167896</v>
      </c>
      <c r="D35" s="2">
        <f t="shared" si="0"/>
        <v>969526.76999999955</v>
      </c>
      <c r="E35" s="62">
        <f t="shared" si="2"/>
        <v>12198369.23</v>
      </c>
      <c r="F35" s="2">
        <f t="shared" si="6"/>
        <v>975869538.04000032</v>
      </c>
      <c r="G35" s="2">
        <f t="shared" si="7"/>
        <v>974900011.27000034</v>
      </c>
      <c r="H35" s="63">
        <f t="shared" si="3"/>
        <v>12198369.225500004</v>
      </c>
      <c r="I35" s="16">
        <f t="shared" si="4"/>
        <v>-4.499996080994606E-3</v>
      </c>
    </row>
    <row r="36" spans="1:9" x14ac:dyDescent="0.25">
      <c r="A36" s="36">
        <v>42830</v>
      </c>
      <c r="B36" s="60">
        <f t="shared" si="1"/>
        <v>30</v>
      </c>
      <c r="C36" s="4">
        <f t="shared" si="5"/>
        <v>13167896</v>
      </c>
      <c r="D36" s="2">
        <f t="shared" si="0"/>
        <v>981645.8599999994</v>
      </c>
      <c r="E36" s="62">
        <f t="shared" si="2"/>
        <v>12186250.140000001</v>
      </c>
      <c r="F36" s="2">
        <f t="shared" si="6"/>
        <v>974900011.27000034</v>
      </c>
      <c r="G36" s="2">
        <f t="shared" si="7"/>
        <v>973918365.41000032</v>
      </c>
      <c r="H36" s="63">
        <f t="shared" si="3"/>
        <v>12186250.140875002</v>
      </c>
      <c r="I36" s="16">
        <f t="shared" si="4"/>
        <v>8.7500177323818207E-4</v>
      </c>
    </row>
    <row r="37" spans="1:9" x14ac:dyDescent="0.25">
      <c r="A37" s="36">
        <v>42860</v>
      </c>
      <c r="B37" s="60">
        <f t="shared" si="1"/>
        <v>30</v>
      </c>
      <c r="C37" s="4">
        <f t="shared" si="5"/>
        <v>13167896</v>
      </c>
      <c r="D37" s="2">
        <f t="shared" si="0"/>
        <v>993916.4299999997</v>
      </c>
      <c r="E37" s="62">
        <f t="shared" si="2"/>
        <v>12173979.57</v>
      </c>
      <c r="F37" s="2">
        <f t="shared" si="6"/>
        <v>973918365.41000032</v>
      </c>
      <c r="G37" s="2">
        <f t="shared" si="7"/>
        <v>972924448.98000038</v>
      </c>
      <c r="H37" s="63">
        <f t="shared" si="3"/>
        <v>12173979.567625003</v>
      </c>
      <c r="I37" s="16">
        <f t="shared" si="4"/>
        <v>-2.3749973624944687E-3</v>
      </c>
    </row>
    <row r="38" spans="1:9" x14ac:dyDescent="0.25">
      <c r="A38" s="36">
        <v>42891</v>
      </c>
      <c r="B38" s="60">
        <f t="shared" si="1"/>
        <v>30</v>
      </c>
      <c r="C38" s="4">
        <f t="shared" si="5"/>
        <v>13167896</v>
      </c>
      <c r="D38" s="2">
        <f t="shared" si="0"/>
        <v>1006340.3900000006</v>
      </c>
      <c r="E38" s="62">
        <f t="shared" si="2"/>
        <v>12161555.609999999</v>
      </c>
      <c r="F38" s="2">
        <f t="shared" si="6"/>
        <v>972924448.98000038</v>
      </c>
      <c r="G38" s="2">
        <f t="shared" si="7"/>
        <v>971918108.59000039</v>
      </c>
      <c r="H38" s="63">
        <f t="shared" si="3"/>
        <v>12161555.612250004</v>
      </c>
      <c r="I38" s="16">
        <f t="shared" si="4"/>
        <v>2.2500045597553253E-3</v>
      </c>
    </row>
    <row r="39" spans="1:9" x14ac:dyDescent="0.25">
      <c r="A39" s="36">
        <v>42921</v>
      </c>
      <c r="B39" s="60">
        <f t="shared" si="1"/>
        <v>30</v>
      </c>
      <c r="C39" s="4">
        <f t="shared" si="5"/>
        <v>13167896</v>
      </c>
      <c r="D39" s="2">
        <f t="shared" si="0"/>
        <v>1018919.6400000006</v>
      </c>
      <c r="E39" s="62">
        <f t="shared" si="2"/>
        <v>12148976.359999999</v>
      </c>
      <c r="F39" s="2">
        <f t="shared" si="6"/>
        <v>971918108.59000039</v>
      </c>
      <c r="G39" s="2">
        <f t="shared" si="7"/>
        <v>970899188.95000041</v>
      </c>
      <c r="H39" s="63">
        <f t="shared" si="3"/>
        <v>12148976.357375005</v>
      </c>
      <c r="I39" s="16">
        <f t="shared" si="4"/>
        <v>-2.6249941438436508E-3</v>
      </c>
    </row>
    <row r="40" spans="1:9" x14ac:dyDescent="0.25">
      <c r="A40" s="36">
        <v>42952</v>
      </c>
      <c r="B40" s="60">
        <f t="shared" si="1"/>
        <v>30</v>
      </c>
      <c r="C40" s="4">
        <f t="shared" si="5"/>
        <v>13167896</v>
      </c>
      <c r="D40" s="2">
        <f t="shared" si="0"/>
        <v>1031656.1400000006</v>
      </c>
      <c r="E40" s="62">
        <f t="shared" si="2"/>
        <v>12136239.859999999</v>
      </c>
      <c r="F40" s="2">
        <f t="shared" si="6"/>
        <v>970899188.95000041</v>
      </c>
      <c r="G40" s="2">
        <f t="shared" si="7"/>
        <v>969867532.81000042</v>
      </c>
      <c r="H40" s="63">
        <f t="shared" si="3"/>
        <v>12136239.861875005</v>
      </c>
      <c r="I40" s="16">
        <f t="shared" si="4"/>
        <v>1.8750056624412537E-3</v>
      </c>
    </row>
    <row r="41" spans="1:9" x14ac:dyDescent="0.25">
      <c r="A41" s="36">
        <v>42983</v>
      </c>
      <c r="B41" s="60">
        <f t="shared" si="1"/>
        <v>30</v>
      </c>
      <c r="C41" s="4">
        <f t="shared" si="5"/>
        <v>13167896</v>
      </c>
      <c r="D41" s="2">
        <f t="shared" si="0"/>
        <v>1044551.8399999999</v>
      </c>
      <c r="E41" s="62">
        <f t="shared" si="2"/>
        <v>12123344.16</v>
      </c>
      <c r="F41" s="2">
        <f t="shared" si="6"/>
        <v>969867532.81000042</v>
      </c>
      <c r="G41" s="2">
        <f t="shared" si="7"/>
        <v>968822980.97000039</v>
      </c>
      <c r="H41" s="63">
        <f t="shared" si="3"/>
        <v>12123344.160125004</v>
      </c>
      <c r="I41" s="16">
        <f t="shared" si="4"/>
        <v>1.2500397861003876E-4</v>
      </c>
    </row>
    <row r="42" spans="1:9" x14ac:dyDescent="0.25">
      <c r="A42" s="36">
        <v>43013</v>
      </c>
      <c r="B42" s="60">
        <f t="shared" si="1"/>
        <v>30</v>
      </c>
      <c r="C42" s="4">
        <f t="shared" si="5"/>
        <v>13167896</v>
      </c>
      <c r="D42" s="2">
        <f t="shared" si="0"/>
        <v>1057608.7400000002</v>
      </c>
      <c r="E42" s="62">
        <f t="shared" si="2"/>
        <v>12110287.26</v>
      </c>
      <c r="F42" s="2">
        <f t="shared" si="6"/>
        <v>968822980.97000039</v>
      </c>
      <c r="G42" s="2">
        <f t="shared" si="7"/>
        <v>967765372.23000038</v>
      </c>
      <c r="H42" s="63">
        <f t="shared" si="3"/>
        <v>12110287.262125004</v>
      </c>
      <c r="I42" s="16">
        <f t="shared" si="4"/>
        <v>2.125004306435585E-3</v>
      </c>
    </row>
    <row r="43" spans="1:9" x14ac:dyDescent="0.25">
      <c r="A43" s="36">
        <v>43044</v>
      </c>
      <c r="B43" s="60">
        <f t="shared" si="1"/>
        <v>30</v>
      </c>
      <c r="C43" s="4">
        <f t="shared" si="5"/>
        <v>13167896</v>
      </c>
      <c r="D43" s="2">
        <f t="shared" si="0"/>
        <v>1070828.8499999996</v>
      </c>
      <c r="E43" s="62">
        <f t="shared" si="2"/>
        <v>12097067.15</v>
      </c>
      <c r="F43" s="2">
        <f t="shared" si="6"/>
        <v>967765372.23000038</v>
      </c>
      <c r="G43" s="2">
        <f t="shared" si="7"/>
        <v>966694543.38000035</v>
      </c>
      <c r="H43" s="63">
        <f t="shared" si="3"/>
        <v>12097067.152875004</v>
      </c>
      <c r="I43" s="16">
        <f t="shared" si="4"/>
        <v>2.8750039637088776E-3</v>
      </c>
    </row>
    <row r="44" spans="1:9" x14ac:dyDescent="0.25">
      <c r="A44" s="36">
        <v>43074</v>
      </c>
      <c r="B44" s="60">
        <f t="shared" si="1"/>
        <v>30</v>
      </c>
      <c r="C44" s="4">
        <f t="shared" si="5"/>
        <v>13167896</v>
      </c>
      <c r="D44" s="2">
        <f t="shared" si="0"/>
        <v>1084214.2100000009</v>
      </c>
      <c r="E44" s="62">
        <f t="shared" si="2"/>
        <v>12083681.789999999</v>
      </c>
      <c r="F44" s="2">
        <f t="shared" si="6"/>
        <v>966694543.38000035</v>
      </c>
      <c r="G44" s="2">
        <f t="shared" si="7"/>
        <v>965610329.17000031</v>
      </c>
      <c r="H44" s="63">
        <f t="shared" si="3"/>
        <v>12083681.792250006</v>
      </c>
      <c r="I44" s="16">
        <f t="shared" si="4"/>
        <v>2.2500064224004745E-3</v>
      </c>
    </row>
    <row r="45" spans="1:9" x14ac:dyDescent="0.25">
      <c r="A45" s="36">
        <v>43105</v>
      </c>
      <c r="B45" s="60">
        <f t="shared" si="1"/>
        <v>30</v>
      </c>
      <c r="C45" s="4">
        <f t="shared" si="5"/>
        <v>13167896</v>
      </c>
      <c r="D45" s="2">
        <f t="shared" si="0"/>
        <v>1097766.8900000006</v>
      </c>
      <c r="E45" s="62">
        <f t="shared" si="2"/>
        <v>12070129.109999999</v>
      </c>
      <c r="F45" s="2">
        <f t="shared" si="6"/>
        <v>965610329.17000031</v>
      </c>
      <c r="G45" s="2">
        <f t="shared" si="7"/>
        <v>964512562.28000033</v>
      </c>
      <c r="H45" s="63">
        <f t="shared" si="3"/>
        <v>12070129.114625003</v>
      </c>
      <c r="I45" s="16">
        <f t="shared" si="4"/>
        <v>4.6250037848949432E-3</v>
      </c>
    </row>
    <row r="46" spans="1:9" x14ac:dyDescent="0.25">
      <c r="A46" s="36">
        <v>43136</v>
      </c>
      <c r="B46" s="60">
        <f t="shared" si="1"/>
        <v>30</v>
      </c>
      <c r="C46" s="4">
        <f t="shared" si="5"/>
        <v>13167896</v>
      </c>
      <c r="D46" s="2">
        <f t="shared" si="0"/>
        <v>1111488.9700000007</v>
      </c>
      <c r="E46" s="62">
        <f t="shared" si="2"/>
        <v>12056407.029999999</v>
      </c>
      <c r="F46" s="2">
        <f t="shared" si="6"/>
        <v>964512562.28000033</v>
      </c>
      <c r="G46" s="2">
        <f t="shared" si="7"/>
        <v>963401073.3100003</v>
      </c>
      <c r="H46" s="63">
        <f t="shared" si="3"/>
        <v>12056407.028500004</v>
      </c>
      <c r="I46" s="16">
        <f t="shared" si="4"/>
        <v>-1.4999955892562866E-3</v>
      </c>
    </row>
    <row r="47" spans="1:9" x14ac:dyDescent="0.25">
      <c r="A47" s="36">
        <v>43164</v>
      </c>
      <c r="B47" s="60">
        <f t="shared" si="1"/>
        <v>30</v>
      </c>
      <c r="C47" s="4">
        <f t="shared" si="5"/>
        <v>13167896</v>
      </c>
      <c r="D47" s="2">
        <f t="shared" si="0"/>
        <v>1125382.58</v>
      </c>
      <c r="E47" s="62">
        <f t="shared" si="2"/>
        <v>12042513.42</v>
      </c>
      <c r="F47" s="2">
        <f t="shared" si="6"/>
        <v>963401073.3100003</v>
      </c>
      <c r="G47" s="2">
        <f t="shared" si="7"/>
        <v>962275690.73000026</v>
      </c>
      <c r="H47" s="63">
        <f t="shared" si="3"/>
        <v>12042513.416375004</v>
      </c>
      <c r="I47" s="16">
        <f t="shared" si="4"/>
        <v>-3.6249961704015732E-3</v>
      </c>
    </row>
    <row r="48" spans="1:9" x14ac:dyDescent="0.25">
      <c r="A48" s="36">
        <v>43195</v>
      </c>
      <c r="B48" s="60">
        <f t="shared" si="1"/>
        <v>30</v>
      </c>
      <c r="C48" s="4">
        <f t="shared" si="5"/>
        <v>13167896</v>
      </c>
      <c r="D48" s="2">
        <f t="shared" si="0"/>
        <v>1139449.8699999992</v>
      </c>
      <c r="E48" s="62">
        <f t="shared" si="2"/>
        <v>12028446.130000001</v>
      </c>
      <c r="F48" s="2">
        <f t="shared" si="6"/>
        <v>962275690.73000026</v>
      </c>
      <c r="G48" s="2">
        <f t="shared" si="7"/>
        <v>961136240.86000025</v>
      </c>
      <c r="H48" s="63">
        <f t="shared" si="3"/>
        <v>12028446.134125002</v>
      </c>
      <c r="I48" s="16">
        <f t="shared" si="4"/>
        <v>4.1250009089708328E-3</v>
      </c>
    </row>
    <row r="49" spans="1:9" x14ac:dyDescent="0.25">
      <c r="A49" s="36">
        <v>43225</v>
      </c>
      <c r="B49" s="60">
        <f t="shared" si="1"/>
        <v>30</v>
      </c>
      <c r="C49" s="4">
        <f t="shared" si="5"/>
        <v>13167896</v>
      </c>
      <c r="D49" s="2">
        <f t="shared" si="0"/>
        <v>1153692.9900000002</v>
      </c>
      <c r="E49" s="62">
        <f t="shared" si="2"/>
        <v>12014203.01</v>
      </c>
      <c r="F49" s="2">
        <f t="shared" si="6"/>
        <v>961136240.86000025</v>
      </c>
      <c r="G49" s="2">
        <f t="shared" si="7"/>
        <v>959982547.87000024</v>
      </c>
      <c r="H49" s="63">
        <f t="shared" si="3"/>
        <v>12014203.010750003</v>
      </c>
      <c r="I49" s="16">
        <f t="shared" si="4"/>
        <v>7.50003382563591E-4</v>
      </c>
    </row>
    <row r="50" spans="1:9" x14ac:dyDescent="0.25">
      <c r="A50" s="36">
        <v>43256</v>
      </c>
      <c r="B50" s="60">
        <f t="shared" si="1"/>
        <v>30</v>
      </c>
      <c r="C50" s="4">
        <f t="shared" si="5"/>
        <v>13167896</v>
      </c>
      <c r="D50" s="2">
        <f t="shared" si="0"/>
        <v>1168114.1500000004</v>
      </c>
      <c r="E50" s="62">
        <f t="shared" si="2"/>
        <v>11999781.85</v>
      </c>
      <c r="F50" s="2">
        <f t="shared" si="6"/>
        <v>959982547.87000024</v>
      </c>
      <c r="G50" s="2">
        <f t="shared" si="7"/>
        <v>958814433.72000027</v>
      </c>
      <c r="H50" s="63">
        <f t="shared" si="3"/>
        <v>11999781.848375002</v>
      </c>
      <c r="I50" s="16">
        <f t="shared" si="4"/>
        <v>-1.6249977052211761E-3</v>
      </c>
    </row>
    <row r="51" spans="1:9" x14ac:dyDescent="0.25">
      <c r="A51" s="36">
        <v>43286</v>
      </c>
      <c r="B51" s="60">
        <f t="shared" si="1"/>
        <v>30</v>
      </c>
      <c r="C51" s="4">
        <f t="shared" si="5"/>
        <v>13167896</v>
      </c>
      <c r="D51" s="2">
        <f t="shared" si="0"/>
        <v>1182715.58</v>
      </c>
      <c r="E51" s="62">
        <f t="shared" si="2"/>
        <v>11985180.42</v>
      </c>
      <c r="F51" s="2">
        <f t="shared" si="6"/>
        <v>958814433.72000027</v>
      </c>
      <c r="G51" s="2">
        <f t="shared" si="7"/>
        <v>957631718.14000022</v>
      </c>
      <c r="H51" s="63">
        <f t="shared" si="3"/>
        <v>11985180.421500001</v>
      </c>
      <c r="I51" s="16">
        <f t="shared" si="4"/>
        <v>1.5000011771917343E-3</v>
      </c>
    </row>
    <row r="52" spans="1:9" x14ac:dyDescent="0.25">
      <c r="A52" s="36">
        <v>43317</v>
      </c>
      <c r="B52" s="60">
        <f t="shared" si="1"/>
        <v>30</v>
      </c>
      <c r="C52" s="4">
        <f t="shared" si="5"/>
        <v>13167896</v>
      </c>
      <c r="D52" s="2">
        <f t="shared" si="0"/>
        <v>1197499.5199999996</v>
      </c>
      <c r="E52" s="62">
        <f t="shared" si="2"/>
        <v>11970396.48</v>
      </c>
      <c r="F52" s="2">
        <f t="shared" si="6"/>
        <v>957631718.14000022</v>
      </c>
      <c r="G52" s="2">
        <f t="shared" si="7"/>
        <v>956434218.62000024</v>
      </c>
      <c r="H52" s="63">
        <f t="shared" si="3"/>
        <v>11970396.476749999</v>
      </c>
      <c r="I52" s="16">
        <f t="shared" si="4"/>
        <v>-3.2500009983778E-3</v>
      </c>
    </row>
    <row r="53" spans="1:9" x14ac:dyDescent="0.25">
      <c r="A53" s="36">
        <v>43348</v>
      </c>
      <c r="B53" s="60">
        <f t="shared" si="1"/>
        <v>30</v>
      </c>
      <c r="C53" s="4">
        <f t="shared" si="5"/>
        <v>13167896</v>
      </c>
      <c r="D53" s="2">
        <f t="shared" si="0"/>
        <v>1212468.2699999996</v>
      </c>
      <c r="E53" s="62">
        <f t="shared" si="2"/>
        <v>11955427.73</v>
      </c>
      <c r="F53" s="2">
        <f t="shared" si="6"/>
        <v>956434218.62000024</v>
      </c>
      <c r="G53" s="2">
        <f t="shared" si="7"/>
        <v>955221750.35000026</v>
      </c>
      <c r="H53" s="63">
        <f t="shared" si="3"/>
        <v>11955427.732750002</v>
      </c>
      <c r="I53" s="16">
        <f t="shared" si="4"/>
        <v>2.750001847743988E-3</v>
      </c>
    </row>
    <row r="54" spans="1:9" x14ac:dyDescent="0.25">
      <c r="A54" s="36">
        <v>43378</v>
      </c>
      <c r="B54" s="60">
        <f t="shared" si="1"/>
        <v>30</v>
      </c>
      <c r="C54" s="4">
        <f t="shared" si="5"/>
        <v>13167896</v>
      </c>
      <c r="D54" s="2">
        <f t="shared" si="0"/>
        <v>1227624.1199999992</v>
      </c>
      <c r="E54" s="62">
        <f t="shared" si="2"/>
        <v>11940271.880000001</v>
      </c>
      <c r="F54" s="2">
        <f t="shared" si="6"/>
        <v>955221750.35000026</v>
      </c>
      <c r="G54" s="2">
        <f t="shared" si="7"/>
        <v>953994126.23000026</v>
      </c>
      <c r="H54" s="63">
        <f t="shared" si="3"/>
        <v>11940271.879375001</v>
      </c>
      <c r="I54" s="16">
        <f t="shared" si="4"/>
        <v>-6.2499940395355225E-4</v>
      </c>
    </row>
    <row r="55" spans="1:9" x14ac:dyDescent="0.25">
      <c r="A55" s="36">
        <v>43409</v>
      </c>
      <c r="B55" s="60">
        <f t="shared" si="1"/>
        <v>30</v>
      </c>
      <c r="C55" s="4">
        <f t="shared" si="5"/>
        <v>13167896</v>
      </c>
      <c r="D55" s="2">
        <f t="shared" si="0"/>
        <v>1242969.42</v>
      </c>
      <c r="E55" s="62">
        <f t="shared" si="2"/>
        <v>11924926.58</v>
      </c>
      <c r="F55" s="2">
        <f t="shared" si="6"/>
        <v>953994126.23000026</v>
      </c>
      <c r="G55" s="2">
        <f t="shared" si="7"/>
        <v>952751156.8100003</v>
      </c>
      <c r="H55" s="63">
        <f t="shared" si="3"/>
        <v>11924926.577875003</v>
      </c>
      <c r="I55" s="16">
        <f t="shared" si="4"/>
        <v>-2.1249968558549881E-3</v>
      </c>
    </row>
    <row r="56" spans="1:9" x14ac:dyDescent="0.25">
      <c r="A56" s="36">
        <v>43439</v>
      </c>
      <c r="B56" s="60">
        <f t="shared" si="1"/>
        <v>30</v>
      </c>
      <c r="C56" s="4">
        <f t="shared" si="5"/>
        <v>13167896</v>
      </c>
      <c r="D56" s="2">
        <f t="shared" si="0"/>
        <v>1258506.5399999991</v>
      </c>
      <c r="E56" s="62">
        <f t="shared" si="2"/>
        <v>11909389.460000001</v>
      </c>
      <c r="F56" s="2">
        <f t="shared" si="6"/>
        <v>952751156.8100003</v>
      </c>
      <c r="G56" s="2">
        <f t="shared" si="7"/>
        <v>951492650.27000034</v>
      </c>
      <c r="H56" s="63">
        <f t="shared" si="3"/>
        <v>11909389.460125003</v>
      </c>
      <c r="I56" s="16">
        <f t="shared" si="4"/>
        <v>1.2500211596488953E-4</v>
      </c>
    </row>
    <row r="57" spans="1:9" x14ac:dyDescent="0.25">
      <c r="A57" s="36">
        <v>43470</v>
      </c>
      <c r="B57" s="60">
        <f t="shared" si="1"/>
        <v>30</v>
      </c>
      <c r="C57" s="4">
        <f t="shared" si="5"/>
        <v>13167896</v>
      </c>
      <c r="D57" s="2">
        <f t="shared" si="0"/>
        <v>1274237.8699999992</v>
      </c>
      <c r="E57" s="62">
        <f t="shared" si="2"/>
        <v>11893658.130000001</v>
      </c>
      <c r="F57" s="2">
        <f t="shared" si="6"/>
        <v>951492650.27000034</v>
      </c>
      <c r="G57" s="2">
        <f t="shared" si="7"/>
        <v>950218412.40000033</v>
      </c>
      <c r="H57" s="63">
        <f t="shared" si="3"/>
        <v>11893658.128375003</v>
      </c>
      <c r="I57" s="16">
        <f t="shared" si="4"/>
        <v>-1.6249977052211761E-3</v>
      </c>
    </row>
    <row r="58" spans="1:9" x14ac:dyDescent="0.25">
      <c r="A58" s="36">
        <v>43501</v>
      </c>
      <c r="B58" s="60">
        <f t="shared" si="1"/>
        <v>30</v>
      </c>
      <c r="C58" s="4">
        <f t="shared" si="5"/>
        <v>13167896</v>
      </c>
      <c r="D58" s="2">
        <f t="shared" si="0"/>
        <v>1290165.8399999999</v>
      </c>
      <c r="E58" s="62">
        <f t="shared" si="2"/>
        <v>11877730.16</v>
      </c>
      <c r="F58" s="2">
        <f t="shared" si="6"/>
        <v>950218412.40000033</v>
      </c>
      <c r="G58" s="2">
        <f t="shared" si="7"/>
        <v>948928246.5600003</v>
      </c>
      <c r="H58" s="63">
        <f t="shared" si="3"/>
        <v>11877730.155000003</v>
      </c>
      <c r="I58" s="16">
        <f t="shared" si="4"/>
        <v>-4.9999970942735672E-3</v>
      </c>
    </row>
    <row r="59" spans="1:9" x14ac:dyDescent="0.25">
      <c r="A59" s="36">
        <v>43529</v>
      </c>
      <c r="B59" s="60">
        <f t="shared" si="1"/>
        <v>30</v>
      </c>
      <c r="C59" s="4">
        <f t="shared" si="5"/>
        <v>13167896</v>
      </c>
      <c r="D59" s="2">
        <f t="shared" si="0"/>
        <v>1306292.92</v>
      </c>
      <c r="E59" s="62">
        <f t="shared" si="2"/>
        <v>11861603.08</v>
      </c>
      <c r="F59" s="2">
        <f t="shared" si="6"/>
        <v>948928246.5600003</v>
      </c>
      <c r="G59" s="2">
        <f t="shared" si="7"/>
        <v>947621953.64000034</v>
      </c>
      <c r="H59" s="63">
        <f t="shared" si="3"/>
        <v>11861603.082000002</v>
      </c>
      <c r="I59" s="16">
        <f t="shared" si="4"/>
        <v>2.0000021904706955E-3</v>
      </c>
    </row>
    <row r="60" spans="1:9" x14ac:dyDescent="0.25">
      <c r="A60" s="36">
        <v>43560</v>
      </c>
      <c r="B60" s="60">
        <f t="shared" si="1"/>
        <v>30</v>
      </c>
      <c r="C60" s="4">
        <f t="shared" si="5"/>
        <v>13167896</v>
      </c>
      <c r="D60" s="2">
        <f t="shared" si="0"/>
        <v>1322621.58</v>
      </c>
      <c r="E60" s="62">
        <f t="shared" si="2"/>
        <v>11845274.42</v>
      </c>
      <c r="F60" s="2">
        <f t="shared" si="6"/>
        <v>947621953.64000034</v>
      </c>
      <c r="G60" s="2">
        <f t="shared" si="7"/>
        <v>946299332.0600003</v>
      </c>
      <c r="H60" s="63">
        <f t="shared" si="3"/>
        <v>11845274.420500003</v>
      </c>
      <c r="I60" s="16">
        <f t="shared" si="4"/>
        <v>5.0000287592411041E-4</v>
      </c>
    </row>
    <row r="61" spans="1:9" x14ac:dyDescent="0.25">
      <c r="A61" s="36">
        <v>43590</v>
      </c>
      <c r="B61" s="60">
        <f t="shared" si="1"/>
        <v>30</v>
      </c>
      <c r="C61" s="4">
        <f t="shared" si="5"/>
        <v>13167896</v>
      </c>
      <c r="D61" s="2">
        <f t="shared" si="0"/>
        <v>1339154.3499999996</v>
      </c>
      <c r="E61" s="62">
        <f t="shared" si="2"/>
        <v>11828741.65</v>
      </c>
      <c r="F61" s="2">
        <f t="shared" si="6"/>
        <v>946299332.0600003</v>
      </c>
      <c r="G61" s="2">
        <f t="shared" si="7"/>
        <v>944960177.71000028</v>
      </c>
      <c r="H61" s="63">
        <f t="shared" si="3"/>
        <v>11828741.650750004</v>
      </c>
      <c r="I61" s="16">
        <f t="shared" si="4"/>
        <v>7.50003382563591E-4</v>
      </c>
    </row>
    <row r="62" spans="1:9" x14ac:dyDescent="0.25">
      <c r="A62" s="36">
        <v>43621</v>
      </c>
      <c r="B62" s="60">
        <f t="shared" si="1"/>
        <v>30</v>
      </c>
      <c r="C62" s="4">
        <f t="shared" si="5"/>
        <v>13167896</v>
      </c>
      <c r="D62" s="2">
        <f t="shared" si="0"/>
        <v>1355893.7799999993</v>
      </c>
      <c r="E62" s="62">
        <f t="shared" si="2"/>
        <v>11812002.220000001</v>
      </c>
      <c r="F62" s="2">
        <f t="shared" si="6"/>
        <v>944960177.71000028</v>
      </c>
      <c r="G62" s="2">
        <f t="shared" si="7"/>
        <v>943604283.93000031</v>
      </c>
      <c r="H62" s="63">
        <f t="shared" si="3"/>
        <v>11812002.221375003</v>
      </c>
      <c r="I62" s="16">
        <f t="shared" si="4"/>
        <v>1.3750027865171432E-3</v>
      </c>
    </row>
    <row r="63" spans="1:9" x14ac:dyDescent="0.25">
      <c r="A63" s="36">
        <v>43651</v>
      </c>
      <c r="B63" s="60">
        <f t="shared" si="1"/>
        <v>30</v>
      </c>
      <c r="C63" s="4">
        <f t="shared" si="5"/>
        <v>13167896</v>
      </c>
      <c r="D63" s="2">
        <f t="shared" si="0"/>
        <v>1372842.4499999993</v>
      </c>
      <c r="E63" s="62">
        <f t="shared" si="2"/>
        <v>11795053.550000001</v>
      </c>
      <c r="F63" s="2">
        <f t="shared" si="6"/>
        <v>943604283.93000031</v>
      </c>
      <c r="G63" s="2">
        <f t="shared" si="7"/>
        <v>942231441.48000026</v>
      </c>
      <c r="H63" s="63">
        <f t="shared" si="3"/>
        <v>11795053.549125005</v>
      </c>
      <c r="I63" s="16">
        <f t="shared" si="4"/>
        <v>-8.7499618530273438E-4</v>
      </c>
    </row>
    <row r="64" spans="1:9" x14ac:dyDescent="0.25">
      <c r="A64" s="36">
        <v>43682</v>
      </c>
      <c r="B64" s="60">
        <f t="shared" si="1"/>
        <v>30</v>
      </c>
      <c r="C64" s="4">
        <f t="shared" si="5"/>
        <v>13167896</v>
      </c>
      <c r="D64" s="2">
        <f t="shared" si="0"/>
        <v>1390002.9800000004</v>
      </c>
      <c r="E64" s="62">
        <f t="shared" si="2"/>
        <v>11777893.02</v>
      </c>
      <c r="F64" s="2">
        <f t="shared" si="6"/>
        <v>942231441.48000026</v>
      </c>
      <c r="G64" s="2">
        <f t="shared" si="7"/>
        <v>940841438.50000024</v>
      </c>
      <c r="H64" s="63">
        <f t="shared" si="3"/>
        <v>11777893.018500002</v>
      </c>
      <c r="I64" s="16">
        <f t="shared" si="4"/>
        <v>-1.4999974519014359E-3</v>
      </c>
    </row>
    <row r="65" spans="1:9" x14ac:dyDescent="0.25">
      <c r="A65" s="36">
        <v>43713</v>
      </c>
      <c r="B65" s="60">
        <f t="shared" si="1"/>
        <v>30</v>
      </c>
      <c r="C65" s="4">
        <f t="shared" si="5"/>
        <v>13167896</v>
      </c>
      <c r="D65" s="2">
        <f t="shared" si="0"/>
        <v>1407378.0199999996</v>
      </c>
      <c r="E65" s="62">
        <f t="shared" si="2"/>
        <v>11760517.98</v>
      </c>
      <c r="F65" s="2">
        <f t="shared" si="6"/>
        <v>940841438.50000024</v>
      </c>
      <c r="G65" s="2">
        <f t="shared" si="7"/>
        <v>939434060.48000026</v>
      </c>
      <c r="H65" s="63">
        <f t="shared" si="3"/>
        <v>11760517.981250003</v>
      </c>
      <c r="I65" s="16">
        <f t="shared" si="4"/>
        <v>1.250002533197403E-3</v>
      </c>
    </row>
    <row r="66" spans="1:9" x14ac:dyDescent="0.25">
      <c r="A66" s="36">
        <v>43743</v>
      </c>
      <c r="B66" s="60">
        <f t="shared" si="1"/>
        <v>30</v>
      </c>
      <c r="C66" s="4">
        <f t="shared" si="5"/>
        <v>13167896</v>
      </c>
      <c r="D66" s="2">
        <f t="shared" si="0"/>
        <v>1424970.2400000002</v>
      </c>
      <c r="E66" s="62">
        <f t="shared" si="2"/>
        <v>11742925.76</v>
      </c>
      <c r="F66" s="2">
        <f t="shared" si="6"/>
        <v>939434060.48000026</v>
      </c>
      <c r="G66" s="2">
        <f t="shared" si="7"/>
        <v>938009090.24000025</v>
      </c>
      <c r="H66" s="63">
        <f t="shared" si="3"/>
        <v>11742925.756000003</v>
      </c>
      <c r="I66" s="16">
        <f t="shared" si="4"/>
        <v>-3.9999969303607941E-3</v>
      </c>
    </row>
    <row r="67" spans="1:9" x14ac:dyDescent="0.25">
      <c r="A67" s="36">
        <v>43774</v>
      </c>
      <c r="B67" s="60">
        <f t="shared" si="1"/>
        <v>30</v>
      </c>
      <c r="C67" s="4">
        <f t="shared" si="5"/>
        <v>13167896</v>
      </c>
      <c r="D67" s="2">
        <f t="shared" si="0"/>
        <v>1442782.3699999992</v>
      </c>
      <c r="E67" s="62">
        <f t="shared" si="2"/>
        <v>11725113.630000001</v>
      </c>
      <c r="F67" s="2">
        <f t="shared" si="6"/>
        <v>938009090.24000025</v>
      </c>
      <c r="G67" s="2">
        <f t="shared" si="7"/>
        <v>936566307.87000024</v>
      </c>
      <c r="H67" s="63">
        <f t="shared" si="3"/>
        <v>11725113.628000004</v>
      </c>
      <c r="I67" s="16">
        <f t="shared" si="4"/>
        <v>-1.9999966025352478E-3</v>
      </c>
    </row>
    <row r="68" spans="1:9" x14ac:dyDescent="0.25">
      <c r="A68" s="36">
        <v>43804</v>
      </c>
      <c r="B68" s="60">
        <f t="shared" si="1"/>
        <v>30</v>
      </c>
      <c r="C68" s="4">
        <f t="shared" si="5"/>
        <v>13167896</v>
      </c>
      <c r="D68" s="2">
        <f t="shared" si="0"/>
        <v>1460817.1500000004</v>
      </c>
      <c r="E68" s="62">
        <f t="shared" si="2"/>
        <v>11707078.85</v>
      </c>
      <c r="F68" s="2">
        <f t="shared" si="6"/>
        <v>936566307.87000024</v>
      </c>
      <c r="G68" s="2">
        <f t="shared" si="7"/>
        <v>935105490.72000027</v>
      </c>
      <c r="H68" s="63">
        <f t="shared" si="3"/>
        <v>11707078.848375002</v>
      </c>
      <c r="I68" s="16">
        <f t="shared" si="4"/>
        <v>-1.6249977052211761E-3</v>
      </c>
    </row>
    <row r="69" spans="1:9" x14ac:dyDescent="0.25">
      <c r="A69" s="36">
        <v>43835</v>
      </c>
      <c r="B69" s="60">
        <f t="shared" si="1"/>
        <v>30</v>
      </c>
      <c r="C69" s="4">
        <f t="shared" si="5"/>
        <v>13167896</v>
      </c>
      <c r="D69" s="2">
        <f t="shared" ref="D69:D132" si="8">C69-E69</f>
        <v>1479077.3699999992</v>
      </c>
      <c r="E69" s="62">
        <f t="shared" si="2"/>
        <v>11688818.630000001</v>
      </c>
      <c r="F69" s="2">
        <f t="shared" si="6"/>
        <v>935105490.72000027</v>
      </c>
      <c r="G69" s="2">
        <f t="shared" si="7"/>
        <v>933626413.35000026</v>
      </c>
      <c r="H69" s="63">
        <f t="shared" si="3"/>
        <v>11688818.634000003</v>
      </c>
      <c r="I69" s="16">
        <f t="shared" si="4"/>
        <v>4.0000025182962418E-3</v>
      </c>
    </row>
    <row r="70" spans="1:9" x14ac:dyDescent="0.25">
      <c r="A70" s="36">
        <v>43866</v>
      </c>
      <c r="B70" s="60">
        <f t="shared" ref="B70:B133" si="9">DAYS360(A69,A70,TRUE)</f>
        <v>30</v>
      </c>
      <c r="C70" s="4">
        <f t="shared" si="5"/>
        <v>13167896</v>
      </c>
      <c r="D70" s="2">
        <f t="shared" si="8"/>
        <v>1497565.83</v>
      </c>
      <c r="E70" s="62">
        <f t="shared" ref="E70:E133" si="10">ROUND(F70*$B$2*B70/360,2)</f>
        <v>11670330.17</v>
      </c>
      <c r="F70" s="2">
        <f t="shared" si="6"/>
        <v>933626413.35000026</v>
      </c>
      <c r="G70" s="2">
        <f t="shared" si="7"/>
        <v>932128847.52000022</v>
      </c>
      <c r="H70" s="63">
        <f t="shared" ref="H70:H133" si="11">F70*$B$2*B70/360</f>
        <v>11670330.166875003</v>
      </c>
      <c r="I70" s="16">
        <f t="shared" ref="I70:I133" si="12">H70-E70</f>
        <v>-3.1249970197677612E-3</v>
      </c>
    </row>
    <row r="71" spans="1:9" x14ac:dyDescent="0.25">
      <c r="A71" s="36">
        <v>43895</v>
      </c>
      <c r="B71" s="60">
        <f t="shared" si="9"/>
        <v>30</v>
      </c>
      <c r="C71" s="4">
        <f t="shared" ref="C71:C134" si="13">$D$1</f>
        <v>13167896</v>
      </c>
      <c r="D71" s="2">
        <f t="shared" si="8"/>
        <v>1516285.4100000001</v>
      </c>
      <c r="E71" s="62">
        <f t="shared" si="10"/>
        <v>11651610.59</v>
      </c>
      <c r="F71" s="2">
        <f t="shared" ref="F71:F134" si="14">G70</f>
        <v>932128847.52000022</v>
      </c>
      <c r="G71" s="2">
        <f t="shared" ref="G71:G134" si="15">F71-D71</f>
        <v>930612562.11000025</v>
      </c>
      <c r="H71" s="63">
        <f t="shared" si="11"/>
        <v>11651610.594000002</v>
      </c>
      <c r="I71" s="16">
        <f t="shared" si="12"/>
        <v>4.0000025182962418E-3</v>
      </c>
    </row>
    <row r="72" spans="1:9" x14ac:dyDescent="0.25">
      <c r="A72" s="36">
        <v>43926</v>
      </c>
      <c r="B72" s="60">
        <f t="shared" si="9"/>
        <v>30</v>
      </c>
      <c r="C72" s="4">
        <f t="shared" si="13"/>
        <v>13167896</v>
      </c>
      <c r="D72" s="2">
        <f t="shared" si="8"/>
        <v>1535238.9700000007</v>
      </c>
      <c r="E72" s="62">
        <f t="shared" si="10"/>
        <v>11632657.029999999</v>
      </c>
      <c r="F72" s="2">
        <f t="shared" si="14"/>
        <v>930612562.11000025</v>
      </c>
      <c r="G72" s="2">
        <f t="shared" si="15"/>
        <v>929077323.14000022</v>
      </c>
      <c r="H72" s="63">
        <f t="shared" si="11"/>
        <v>11632657.026375003</v>
      </c>
      <c r="I72" s="16">
        <f t="shared" si="12"/>
        <v>-3.6249961704015732E-3</v>
      </c>
    </row>
    <row r="73" spans="1:9" x14ac:dyDescent="0.25">
      <c r="A73" s="36">
        <v>43956</v>
      </c>
      <c r="B73" s="60">
        <f t="shared" si="9"/>
        <v>30</v>
      </c>
      <c r="C73" s="4">
        <f t="shared" si="13"/>
        <v>13167896</v>
      </c>
      <c r="D73" s="2">
        <f t="shared" si="8"/>
        <v>1554429.4600000009</v>
      </c>
      <c r="E73" s="62">
        <f t="shared" si="10"/>
        <v>11613466.539999999</v>
      </c>
      <c r="F73" s="2">
        <f t="shared" si="14"/>
        <v>929077323.14000022</v>
      </c>
      <c r="G73" s="2">
        <f t="shared" si="15"/>
        <v>927522893.68000019</v>
      </c>
      <c r="H73" s="63">
        <f t="shared" si="11"/>
        <v>11613466.539250001</v>
      </c>
      <c r="I73" s="16">
        <f t="shared" si="12"/>
        <v>-7.4999779462814331E-4</v>
      </c>
    </row>
    <row r="74" spans="1:9" x14ac:dyDescent="0.25">
      <c r="A74" s="36">
        <v>43987</v>
      </c>
      <c r="B74" s="60">
        <f t="shared" si="9"/>
        <v>30</v>
      </c>
      <c r="C74" s="4">
        <f t="shared" si="13"/>
        <v>13167896</v>
      </c>
      <c r="D74" s="2">
        <f t="shared" si="8"/>
        <v>1573859.83</v>
      </c>
      <c r="E74" s="62">
        <f t="shared" si="10"/>
        <v>11594036.17</v>
      </c>
      <c r="F74" s="2">
        <f t="shared" si="14"/>
        <v>927522893.68000019</v>
      </c>
      <c r="G74" s="2">
        <f t="shared" si="15"/>
        <v>925949033.85000014</v>
      </c>
      <c r="H74" s="63">
        <f t="shared" si="11"/>
        <v>11594036.171000002</v>
      </c>
      <c r="I74" s="16">
        <f t="shared" si="12"/>
        <v>1.0000020265579224E-3</v>
      </c>
    </row>
    <row r="75" spans="1:9" x14ac:dyDescent="0.25">
      <c r="A75" s="36">
        <v>44017</v>
      </c>
      <c r="B75" s="60">
        <f t="shared" si="9"/>
        <v>30</v>
      </c>
      <c r="C75" s="4">
        <f t="shared" si="13"/>
        <v>13167896</v>
      </c>
      <c r="D75" s="2">
        <f t="shared" si="8"/>
        <v>1593533.08</v>
      </c>
      <c r="E75" s="62">
        <f t="shared" si="10"/>
        <v>11574362.92</v>
      </c>
      <c r="F75" s="2">
        <f t="shared" si="14"/>
        <v>925949033.85000014</v>
      </c>
      <c r="G75" s="2">
        <f t="shared" si="15"/>
        <v>924355500.7700001</v>
      </c>
      <c r="H75" s="63">
        <f t="shared" si="11"/>
        <v>11574362.923125001</v>
      </c>
      <c r="I75" s="16">
        <f t="shared" si="12"/>
        <v>3.1250007450580597E-3</v>
      </c>
    </row>
    <row r="76" spans="1:9" x14ac:dyDescent="0.25">
      <c r="A76" s="36">
        <v>44048</v>
      </c>
      <c r="B76" s="60">
        <f t="shared" si="9"/>
        <v>30</v>
      </c>
      <c r="C76" s="4">
        <f t="shared" si="13"/>
        <v>13167896</v>
      </c>
      <c r="D76" s="2">
        <f t="shared" si="8"/>
        <v>1613452.2400000002</v>
      </c>
      <c r="E76" s="62">
        <f t="shared" si="10"/>
        <v>11554443.76</v>
      </c>
      <c r="F76" s="2">
        <f t="shared" si="14"/>
        <v>924355500.7700001</v>
      </c>
      <c r="G76" s="2">
        <f t="shared" si="15"/>
        <v>922742048.53000009</v>
      </c>
      <c r="H76" s="63">
        <f t="shared" si="11"/>
        <v>11554443.759625001</v>
      </c>
      <c r="I76" s="16">
        <f t="shared" si="12"/>
        <v>-3.7499889731407166E-4</v>
      </c>
    </row>
    <row r="77" spans="1:9" x14ac:dyDescent="0.25">
      <c r="A77" s="36">
        <v>44079</v>
      </c>
      <c r="B77" s="60">
        <f t="shared" si="9"/>
        <v>30</v>
      </c>
      <c r="C77" s="4">
        <f t="shared" si="13"/>
        <v>13167896</v>
      </c>
      <c r="D77" s="2">
        <f t="shared" si="8"/>
        <v>1633620.3900000006</v>
      </c>
      <c r="E77" s="62">
        <f t="shared" si="10"/>
        <v>11534275.609999999</v>
      </c>
      <c r="F77" s="2">
        <f t="shared" si="14"/>
        <v>922742048.53000009</v>
      </c>
      <c r="G77" s="2">
        <f t="shared" si="15"/>
        <v>921108428.1400001</v>
      </c>
      <c r="H77" s="63">
        <f t="shared" si="11"/>
        <v>11534275.606625</v>
      </c>
      <c r="I77" s="16">
        <f t="shared" si="12"/>
        <v>-3.3749993890523911E-3</v>
      </c>
    </row>
    <row r="78" spans="1:9" x14ac:dyDescent="0.25">
      <c r="A78" s="36">
        <v>44109</v>
      </c>
      <c r="B78" s="60">
        <f t="shared" si="9"/>
        <v>30</v>
      </c>
      <c r="C78" s="4">
        <f t="shared" si="13"/>
        <v>13167896</v>
      </c>
      <c r="D78" s="2">
        <f t="shared" si="8"/>
        <v>1654040.6500000004</v>
      </c>
      <c r="E78" s="62">
        <f t="shared" si="10"/>
        <v>11513855.35</v>
      </c>
      <c r="F78" s="2">
        <f t="shared" si="14"/>
        <v>921108428.1400001</v>
      </c>
      <c r="G78" s="2">
        <f t="shared" si="15"/>
        <v>919454387.49000013</v>
      </c>
      <c r="H78" s="63">
        <f t="shared" si="11"/>
        <v>11513855.351750001</v>
      </c>
      <c r="I78" s="16">
        <f t="shared" si="12"/>
        <v>1.7500016838312149E-3</v>
      </c>
    </row>
    <row r="79" spans="1:9" x14ac:dyDescent="0.25">
      <c r="A79" s="36">
        <v>44140</v>
      </c>
      <c r="B79" s="60">
        <f t="shared" si="9"/>
        <v>30</v>
      </c>
      <c r="C79" s="4">
        <f t="shared" si="13"/>
        <v>13167896</v>
      </c>
      <c r="D79" s="2">
        <f t="shared" si="8"/>
        <v>1674716.1600000001</v>
      </c>
      <c r="E79" s="62">
        <f t="shared" si="10"/>
        <v>11493179.84</v>
      </c>
      <c r="F79" s="2">
        <f t="shared" si="14"/>
        <v>919454387.49000013</v>
      </c>
      <c r="G79" s="2">
        <f t="shared" si="15"/>
        <v>917779671.33000016</v>
      </c>
      <c r="H79" s="63">
        <f t="shared" si="11"/>
        <v>11493179.843625002</v>
      </c>
      <c r="I79" s="16">
        <f t="shared" si="12"/>
        <v>3.6250017583370209E-3</v>
      </c>
    </row>
    <row r="80" spans="1:9" x14ac:dyDescent="0.25">
      <c r="A80" s="36">
        <v>44170</v>
      </c>
      <c r="B80" s="60">
        <f t="shared" si="9"/>
        <v>30</v>
      </c>
      <c r="C80" s="4">
        <f t="shared" si="13"/>
        <v>13167896</v>
      </c>
      <c r="D80" s="2">
        <f t="shared" si="8"/>
        <v>1695650.1099999994</v>
      </c>
      <c r="E80" s="62">
        <f t="shared" si="10"/>
        <v>11472245.890000001</v>
      </c>
      <c r="F80" s="2">
        <f t="shared" si="14"/>
        <v>917779671.33000016</v>
      </c>
      <c r="G80" s="2">
        <f t="shared" si="15"/>
        <v>916084021.22000015</v>
      </c>
      <c r="H80" s="63">
        <f t="shared" si="11"/>
        <v>11472245.891625002</v>
      </c>
      <c r="I80" s="16">
        <f t="shared" si="12"/>
        <v>1.6250014305114746E-3</v>
      </c>
    </row>
    <row r="81" spans="1:9" x14ac:dyDescent="0.25">
      <c r="A81" s="36">
        <v>44201</v>
      </c>
      <c r="B81" s="60">
        <f t="shared" si="9"/>
        <v>30</v>
      </c>
      <c r="C81" s="4">
        <f t="shared" si="13"/>
        <v>13167896</v>
      </c>
      <c r="D81" s="2">
        <f t="shared" si="8"/>
        <v>1716845.7300000004</v>
      </c>
      <c r="E81" s="62">
        <f t="shared" si="10"/>
        <v>11451050.27</v>
      </c>
      <c r="F81" s="2">
        <f t="shared" si="14"/>
        <v>916084021.22000015</v>
      </c>
      <c r="G81" s="2">
        <f t="shared" si="15"/>
        <v>914367175.49000013</v>
      </c>
      <c r="H81" s="63">
        <f t="shared" si="11"/>
        <v>11451050.265250001</v>
      </c>
      <c r="I81" s="16">
        <f t="shared" si="12"/>
        <v>-4.7499984502792358E-3</v>
      </c>
    </row>
    <row r="82" spans="1:9" x14ac:dyDescent="0.25">
      <c r="A82" s="36">
        <v>44232</v>
      </c>
      <c r="B82" s="60">
        <f t="shared" si="9"/>
        <v>30</v>
      </c>
      <c r="C82" s="4">
        <f t="shared" si="13"/>
        <v>13167896</v>
      </c>
      <c r="D82" s="2">
        <f t="shared" si="8"/>
        <v>1738306.3100000005</v>
      </c>
      <c r="E82" s="62">
        <f t="shared" si="10"/>
        <v>11429589.689999999</v>
      </c>
      <c r="F82" s="2">
        <f t="shared" si="14"/>
        <v>914367175.49000013</v>
      </c>
      <c r="G82" s="2">
        <f t="shared" si="15"/>
        <v>912628869.18000019</v>
      </c>
      <c r="H82" s="63">
        <f t="shared" si="11"/>
        <v>11429589.693625001</v>
      </c>
      <c r="I82" s="16">
        <f t="shared" si="12"/>
        <v>3.6250017583370209E-3</v>
      </c>
    </row>
    <row r="83" spans="1:9" x14ac:dyDescent="0.25">
      <c r="A83" s="36">
        <v>44260</v>
      </c>
      <c r="B83" s="60">
        <f t="shared" si="9"/>
        <v>30</v>
      </c>
      <c r="C83" s="4">
        <f t="shared" si="13"/>
        <v>13167896</v>
      </c>
      <c r="D83" s="2">
        <f t="shared" si="8"/>
        <v>1760035.1400000006</v>
      </c>
      <c r="E83" s="62">
        <f t="shared" si="10"/>
        <v>11407860.859999999</v>
      </c>
      <c r="F83" s="2">
        <f t="shared" si="14"/>
        <v>912628869.18000019</v>
      </c>
      <c r="G83" s="2">
        <f t="shared" si="15"/>
        <v>910868834.0400002</v>
      </c>
      <c r="H83" s="63">
        <f t="shared" si="11"/>
        <v>11407860.864750002</v>
      </c>
      <c r="I83" s="16">
        <f t="shared" si="12"/>
        <v>4.7500021755695343E-3</v>
      </c>
    </row>
    <row r="84" spans="1:9" x14ac:dyDescent="0.25">
      <c r="A84" s="36">
        <v>44291</v>
      </c>
      <c r="B84" s="60">
        <f t="shared" si="9"/>
        <v>30</v>
      </c>
      <c r="C84" s="4">
        <f t="shared" si="13"/>
        <v>13167896</v>
      </c>
      <c r="D84" s="2">
        <f t="shared" si="8"/>
        <v>1782035.5700000003</v>
      </c>
      <c r="E84" s="62">
        <f t="shared" si="10"/>
        <v>11385860.43</v>
      </c>
      <c r="F84" s="2">
        <f t="shared" si="14"/>
        <v>910868834.0400002</v>
      </c>
      <c r="G84" s="2">
        <f t="shared" si="15"/>
        <v>909086798.47000015</v>
      </c>
      <c r="H84" s="63">
        <f t="shared" si="11"/>
        <v>11385860.425500004</v>
      </c>
      <c r="I84" s="16">
        <f t="shared" si="12"/>
        <v>-4.499996080994606E-3</v>
      </c>
    </row>
    <row r="85" spans="1:9" x14ac:dyDescent="0.25">
      <c r="A85" s="36">
        <v>44321</v>
      </c>
      <c r="B85" s="60">
        <f t="shared" si="9"/>
        <v>30</v>
      </c>
      <c r="C85" s="4">
        <f t="shared" si="13"/>
        <v>13167896</v>
      </c>
      <c r="D85" s="2">
        <f t="shared" si="8"/>
        <v>1804311.0199999996</v>
      </c>
      <c r="E85" s="62">
        <f t="shared" si="10"/>
        <v>11363584.98</v>
      </c>
      <c r="F85" s="2">
        <f t="shared" si="14"/>
        <v>909086798.47000015</v>
      </c>
      <c r="G85" s="2">
        <f t="shared" si="15"/>
        <v>907282487.45000017</v>
      </c>
      <c r="H85" s="63">
        <f t="shared" si="11"/>
        <v>11363584.980875</v>
      </c>
      <c r="I85" s="16">
        <f t="shared" si="12"/>
        <v>8.7499991059303284E-4</v>
      </c>
    </row>
    <row r="86" spans="1:9" x14ac:dyDescent="0.25">
      <c r="A86" s="36">
        <v>44352</v>
      </c>
      <c r="B86" s="60">
        <f t="shared" si="9"/>
        <v>30</v>
      </c>
      <c r="C86" s="4">
        <f t="shared" si="13"/>
        <v>13167896</v>
      </c>
      <c r="D86" s="2">
        <f t="shared" si="8"/>
        <v>1826864.9100000001</v>
      </c>
      <c r="E86" s="62">
        <f t="shared" si="10"/>
        <v>11341031.09</v>
      </c>
      <c r="F86" s="2">
        <f t="shared" si="14"/>
        <v>907282487.45000017</v>
      </c>
      <c r="G86" s="2">
        <f t="shared" si="15"/>
        <v>905455622.5400002</v>
      </c>
      <c r="H86" s="63">
        <f t="shared" si="11"/>
        <v>11341031.093125001</v>
      </c>
      <c r="I86" s="16">
        <f t="shared" si="12"/>
        <v>3.1250007450580597E-3</v>
      </c>
    </row>
    <row r="87" spans="1:9" x14ac:dyDescent="0.25">
      <c r="A87" s="36">
        <v>44382</v>
      </c>
      <c r="B87" s="60">
        <f t="shared" si="9"/>
        <v>30</v>
      </c>
      <c r="C87" s="4">
        <f t="shared" si="13"/>
        <v>13167896</v>
      </c>
      <c r="D87" s="2">
        <f t="shared" si="8"/>
        <v>1849700.7200000007</v>
      </c>
      <c r="E87" s="62">
        <f t="shared" si="10"/>
        <v>11318195.279999999</v>
      </c>
      <c r="F87" s="2">
        <f t="shared" si="14"/>
        <v>905455622.5400002</v>
      </c>
      <c r="G87" s="2">
        <f t="shared" si="15"/>
        <v>903605921.82000017</v>
      </c>
      <c r="H87" s="63">
        <f t="shared" si="11"/>
        <v>11318195.281750001</v>
      </c>
      <c r="I87" s="16">
        <f t="shared" si="12"/>
        <v>1.7500016838312149E-3</v>
      </c>
    </row>
    <row r="88" spans="1:9" x14ac:dyDescent="0.25">
      <c r="A88" s="36">
        <v>44413</v>
      </c>
      <c r="B88" s="60">
        <f t="shared" si="9"/>
        <v>30</v>
      </c>
      <c r="C88" s="4">
        <f t="shared" si="13"/>
        <v>13167896</v>
      </c>
      <c r="D88" s="2">
        <f t="shared" si="8"/>
        <v>1872821.9800000004</v>
      </c>
      <c r="E88" s="62">
        <f t="shared" si="10"/>
        <v>11295074.02</v>
      </c>
      <c r="F88" s="2">
        <f t="shared" si="14"/>
        <v>903605921.82000017</v>
      </c>
      <c r="G88" s="2">
        <f t="shared" si="15"/>
        <v>901733099.84000015</v>
      </c>
      <c r="H88" s="63">
        <f t="shared" si="11"/>
        <v>11295074.022750003</v>
      </c>
      <c r="I88" s="16">
        <f t="shared" si="12"/>
        <v>2.7500037103891373E-3</v>
      </c>
    </row>
    <row r="89" spans="1:9" x14ac:dyDescent="0.25">
      <c r="A89" s="36">
        <v>44444</v>
      </c>
      <c r="B89" s="60">
        <f t="shared" si="9"/>
        <v>30</v>
      </c>
      <c r="C89" s="4">
        <f t="shared" si="13"/>
        <v>13167896</v>
      </c>
      <c r="D89" s="2">
        <f t="shared" si="8"/>
        <v>1896232.25</v>
      </c>
      <c r="E89" s="62">
        <f t="shared" si="10"/>
        <v>11271663.75</v>
      </c>
      <c r="F89" s="2">
        <f t="shared" si="14"/>
        <v>901733099.84000015</v>
      </c>
      <c r="G89" s="2">
        <f t="shared" si="15"/>
        <v>899836867.59000015</v>
      </c>
      <c r="H89" s="63">
        <f t="shared" si="11"/>
        <v>11271663.748</v>
      </c>
      <c r="I89" s="16">
        <f t="shared" si="12"/>
        <v>-2.0000003278255463E-3</v>
      </c>
    </row>
    <row r="90" spans="1:9" x14ac:dyDescent="0.25">
      <c r="A90" s="36">
        <v>44474</v>
      </c>
      <c r="B90" s="60">
        <f t="shared" si="9"/>
        <v>30</v>
      </c>
      <c r="C90" s="4">
        <f t="shared" si="13"/>
        <v>13167896</v>
      </c>
      <c r="D90" s="2">
        <f t="shared" si="8"/>
        <v>1919935.1600000001</v>
      </c>
      <c r="E90" s="62">
        <f t="shared" si="10"/>
        <v>11247960.84</v>
      </c>
      <c r="F90" s="2">
        <f t="shared" si="14"/>
        <v>899836867.59000015</v>
      </c>
      <c r="G90" s="2">
        <f t="shared" si="15"/>
        <v>897916932.43000019</v>
      </c>
      <c r="H90" s="63">
        <f t="shared" si="11"/>
        <v>11247960.844875</v>
      </c>
      <c r="I90" s="16">
        <f t="shared" si="12"/>
        <v>4.8750005662441254E-3</v>
      </c>
    </row>
    <row r="91" spans="1:9" x14ac:dyDescent="0.25">
      <c r="A91" s="36">
        <v>44505</v>
      </c>
      <c r="B91" s="60">
        <f t="shared" si="9"/>
        <v>30</v>
      </c>
      <c r="C91" s="4">
        <f t="shared" si="13"/>
        <v>13167896</v>
      </c>
      <c r="D91" s="2">
        <f t="shared" si="8"/>
        <v>1943934.3399999999</v>
      </c>
      <c r="E91" s="62">
        <f t="shared" si="10"/>
        <v>11223961.66</v>
      </c>
      <c r="F91" s="2">
        <f t="shared" si="14"/>
        <v>897916932.43000019</v>
      </c>
      <c r="G91" s="2">
        <f t="shared" si="15"/>
        <v>895972998.09000015</v>
      </c>
      <c r="H91" s="63">
        <f t="shared" si="11"/>
        <v>11223961.655375002</v>
      </c>
      <c r="I91" s="16">
        <f t="shared" si="12"/>
        <v>-4.6249981969594955E-3</v>
      </c>
    </row>
    <row r="92" spans="1:9" x14ac:dyDescent="0.25">
      <c r="A92" s="36">
        <v>44535</v>
      </c>
      <c r="B92" s="60">
        <f t="shared" si="9"/>
        <v>30</v>
      </c>
      <c r="C92" s="4">
        <f t="shared" si="13"/>
        <v>13167896</v>
      </c>
      <c r="D92" s="2">
        <f t="shared" si="8"/>
        <v>1968233.5199999996</v>
      </c>
      <c r="E92" s="62">
        <f t="shared" si="10"/>
        <v>11199662.48</v>
      </c>
      <c r="F92" s="2">
        <f t="shared" si="14"/>
        <v>895972998.09000015</v>
      </c>
      <c r="G92" s="2">
        <f t="shared" si="15"/>
        <v>894004764.57000017</v>
      </c>
      <c r="H92" s="63">
        <f t="shared" si="11"/>
        <v>11199662.476125002</v>
      </c>
      <c r="I92" s="16">
        <f t="shared" si="12"/>
        <v>-3.874998539686203E-3</v>
      </c>
    </row>
    <row r="93" spans="1:9" x14ac:dyDescent="0.25">
      <c r="A93" s="36">
        <v>44566</v>
      </c>
      <c r="B93" s="60">
        <f t="shared" si="9"/>
        <v>30</v>
      </c>
      <c r="C93" s="4">
        <f t="shared" si="13"/>
        <v>13167896</v>
      </c>
      <c r="D93" s="2">
        <f t="shared" si="8"/>
        <v>1992836.4399999995</v>
      </c>
      <c r="E93" s="62">
        <f t="shared" si="10"/>
        <v>11175059.560000001</v>
      </c>
      <c r="F93" s="2">
        <f t="shared" si="14"/>
        <v>894004764.57000017</v>
      </c>
      <c r="G93" s="2">
        <f t="shared" si="15"/>
        <v>892011928.13000011</v>
      </c>
      <c r="H93" s="63">
        <f t="shared" si="11"/>
        <v>11175059.557125002</v>
      </c>
      <c r="I93" s="16">
        <f t="shared" si="12"/>
        <v>-2.8749983757734299E-3</v>
      </c>
    </row>
    <row r="94" spans="1:9" x14ac:dyDescent="0.25">
      <c r="A94" s="36">
        <v>44597</v>
      </c>
      <c r="B94" s="60">
        <f t="shared" si="9"/>
        <v>30</v>
      </c>
      <c r="C94" s="4">
        <f t="shared" si="13"/>
        <v>13167896</v>
      </c>
      <c r="D94" s="2">
        <f t="shared" si="8"/>
        <v>2017746.9000000004</v>
      </c>
      <c r="E94" s="62">
        <f t="shared" si="10"/>
        <v>11150149.1</v>
      </c>
      <c r="F94" s="2">
        <f t="shared" si="14"/>
        <v>892011928.13000011</v>
      </c>
      <c r="G94" s="2">
        <f t="shared" si="15"/>
        <v>889994181.23000014</v>
      </c>
      <c r="H94" s="63">
        <f t="shared" si="11"/>
        <v>11150149.101624999</v>
      </c>
      <c r="I94" s="16">
        <f t="shared" si="12"/>
        <v>1.6249995678663254E-3</v>
      </c>
    </row>
    <row r="95" spans="1:9" x14ac:dyDescent="0.25">
      <c r="A95" s="36">
        <v>44625</v>
      </c>
      <c r="B95" s="60">
        <f t="shared" si="9"/>
        <v>30</v>
      </c>
      <c r="C95" s="4">
        <f t="shared" si="13"/>
        <v>13167896</v>
      </c>
      <c r="D95" s="2">
        <f t="shared" si="8"/>
        <v>2042968.7300000004</v>
      </c>
      <c r="E95" s="62">
        <f t="shared" si="10"/>
        <v>11124927.27</v>
      </c>
      <c r="F95" s="2">
        <f t="shared" si="14"/>
        <v>889994181.23000014</v>
      </c>
      <c r="G95" s="2">
        <f t="shared" si="15"/>
        <v>887951212.50000012</v>
      </c>
      <c r="H95" s="63">
        <f t="shared" si="11"/>
        <v>11124927.265375001</v>
      </c>
      <c r="I95" s="16">
        <f t="shared" si="12"/>
        <v>-4.6249981969594955E-3</v>
      </c>
    </row>
    <row r="96" spans="1:9" x14ac:dyDescent="0.25">
      <c r="A96" s="36">
        <v>44656</v>
      </c>
      <c r="B96" s="60">
        <f t="shared" si="9"/>
        <v>30</v>
      </c>
      <c r="C96" s="4">
        <f t="shared" si="13"/>
        <v>13167896</v>
      </c>
      <c r="D96" s="2">
        <f t="shared" si="8"/>
        <v>2068505.8399999999</v>
      </c>
      <c r="E96" s="62">
        <f t="shared" si="10"/>
        <v>11099390.16</v>
      </c>
      <c r="F96" s="2">
        <f t="shared" si="14"/>
        <v>887951212.50000012</v>
      </c>
      <c r="G96" s="2">
        <f t="shared" si="15"/>
        <v>885882706.66000009</v>
      </c>
      <c r="H96" s="63">
        <f t="shared" si="11"/>
        <v>11099390.156250002</v>
      </c>
      <c r="I96" s="16">
        <f t="shared" si="12"/>
        <v>-3.7499982863664627E-3</v>
      </c>
    </row>
    <row r="97" spans="1:9" x14ac:dyDescent="0.25">
      <c r="A97" s="36">
        <v>44686</v>
      </c>
      <c r="B97" s="60">
        <f t="shared" si="9"/>
        <v>30</v>
      </c>
      <c r="C97" s="4">
        <f t="shared" si="13"/>
        <v>13167896</v>
      </c>
      <c r="D97" s="2">
        <f t="shared" si="8"/>
        <v>2094362.17</v>
      </c>
      <c r="E97" s="62">
        <f t="shared" si="10"/>
        <v>11073533.83</v>
      </c>
      <c r="F97" s="2">
        <f t="shared" si="14"/>
        <v>885882706.66000009</v>
      </c>
      <c r="G97" s="2">
        <f t="shared" si="15"/>
        <v>883788344.49000013</v>
      </c>
      <c r="H97" s="63">
        <f t="shared" si="11"/>
        <v>11073533.833250001</v>
      </c>
      <c r="I97" s="16">
        <f t="shared" si="12"/>
        <v>3.2500009983778E-3</v>
      </c>
    </row>
    <row r="98" spans="1:9" x14ac:dyDescent="0.25">
      <c r="A98" s="36">
        <v>44717</v>
      </c>
      <c r="B98" s="60">
        <f t="shared" si="9"/>
        <v>30</v>
      </c>
      <c r="C98" s="4">
        <f t="shared" si="13"/>
        <v>13167896</v>
      </c>
      <c r="D98" s="2">
        <f t="shared" si="8"/>
        <v>2120541.6899999995</v>
      </c>
      <c r="E98" s="62">
        <f t="shared" si="10"/>
        <v>11047354.310000001</v>
      </c>
      <c r="F98" s="2">
        <f t="shared" si="14"/>
        <v>883788344.49000013</v>
      </c>
      <c r="G98" s="2">
        <f t="shared" si="15"/>
        <v>881667802.80000007</v>
      </c>
      <c r="H98" s="63">
        <f t="shared" si="11"/>
        <v>11047354.306125002</v>
      </c>
      <c r="I98" s="16">
        <f t="shared" si="12"/>
        <v>-3.874998539686203E-3</v>
      </c>
    </row>
    <row r="99" spans="1:9" x14ac:dyDescent="0.25">
      <c r="A99" s="36">
        <v>44747</v>
      </c>
      <c r="B99" s="60">
        <f t="shared" si="9"/>
        <v>30</v>
      </c>
      <c r="C99" s="4">
        <f t="shared" si="13"/>
        <v>13167896</v>
      </c>
      <c r="D99" s="2">
        <f t="shared" si="8"/>
        <v>2147048.4600000009</v>
      </c>
      <c r="E99" s="62">
        <f t="shared" si="10"/>
        <v>11020847.539999999</v>
      </c>
      <c r="F99" s="2">
        <f t="shared" si="14"/>
        <v>881667802.80000007</v>
      </c>
      <c r="G99" s="2">
        <f t="shared" si="15"/>
        <v>879520754.34000003</v>
      </c>
      <c r="H99" s="63">
        <f t="shared" si="11"/>
        <v>11020847.535</v>
      </c>
      <c r="I99" s="16">
        <f t="shared" si="12"/>
        <v>-4.9999989569187164E-3</v>
      </c>
    </row>
    <row r="100" spans="1:9" x14ac:dyDescent="0.25">
      <c r="A100" s="36">
        <v>44778</v>
      </c>
      <c r="B100" s="60">
        <f t="shared" si="9"/>
        <v>30</v>
      </c>
      <c r="C100" s="4">
        <f t="shared" si="13"/>
        <v>13167896</v>
      </c>
      <c r="D100" s="2">
        <f t="shared" si="8"/>
        <v>2173886.5700000003</v>
      </c>
      <c r="E100" s="62">
        <f t="shared" si="10"/>
        <v>10994009.43</v>
      </c>
      <c r="F100" s="2">
        <f t="shared" si="14"/>
        <v>879520754.34000003</v>
      </c>
      <c r="G100" s="2">
        <f t="shared" si="15"/>
        <v>877346867.76999998</v>
      </c>
      <c r="H100" s="63">
        <f t="shared" si="11"/>
        <v>10994009.42925</v>
      </c>
      <c r="I100" s="16">
        <f t="shared" si="12"/>
        <v>-7.4999965727329254E-4</v>
      </c>
    </row>
    <row r="101" spans="1:9" x14ac:dyDescent="0.25">
      <c r="A101" s="36">
        <v>44809</v>
      </c>
      <c r="B101" s="60">
        <f t="shared" si="9"/>
        <v>30</v>
      </c>
      <c r="C101" s="4">
        <f t="shared" si="13"/>
        <v>13167896</v>
      </c>
      <c r="D101" s="2">
        <f t="shared" si="8"/>
        <v>2201060.1500000004</v>
      </c>
      <c r="E101" s="62">
        <f t="shared" si="10"/>
        <v>10966835.85</v>
      </c>
      <c r="F101" s="2">
        <f t="shared" si="14"/>
        <v>877346867.76999998</v>
      </c>
      <c r="G101" s="2">
        <f t="shared" si="15"/>
        <v>875145807.62</v>
      </c>
      <c r="H101" s="63">
        <f t="shared" si="11"/>
        <v>10966835.847124999</v>
      </c>
      <c r="I101" s="16">
        <f t="shared" si="12"/>
        <v>-2.8750002384185791E-3</v>
      </c>
    </row>
    <row r="102" spans="1:9" x14ac:dyDescent="0.25">
      <c r="A102" s="36">
        <v>44839</v>
      </c>
      <c r="B102" s="60">
        <f t="shared" si="9"/>
        <v>30</v>
      </c>
      <c r="C102" s="4">
        <f t="shared" si="13"/>
        <v>13167896</v>
      </c>
      <c r="D102" s="2">
        <f t="shared" si="8"/>
        <v>2228573.4000000004</v>
      </c>
      <c r="E102" s="62">
        <f t="shared" si="10"/>
        <v>10939322.6</v>
      </c>
      <c r="F102" s="2">
        <f t="shared" si="14"/>
        <v>875145807.62</v>
      </c>
      <c r="G102" s="2">
        <f t="shared" si="15"/>
        <v>872917234.22000003</v>
      </c>
      <c r="H102" s="63">
        <f t="shared" si="11"/>
        <v>10939322.595249999</v>
      </c>
      <c r="I102" s="16">
        <f t="shared" si="12"/>
        <v>-4.7500003129243851E-3</v>
      </c>
    </row>
    <row r="103" spans="1:9" x14ac:dyDescent="0.25">
      <c r="A103" s="36">
        <v>44870</v>
      </c>
      <c r="B103" s="60">
        <f t="shared" si="9"/>
        <v>30</v>
      </c>
      <c r="C103" s="4">
        <f t="shared" si="13"/>
        <v>13167896</v>
      </c>
      <c r="D103" s="2">
        <f t="shared" si="8"/>
        <v>2256430.5700000003</v>
      </c>
      <c r="E103" s="62">
        <f t="shared" si="10"/>
        <v>10911465.43</v>
      </c>
      <c r="F103" s="2">
        <f t="shared" si="14"/>
        <v>872917234.22000003</v>
      </c>
      <c r="G103" s="2">
        <f t="shared" si="15"/>
        <v>870660803.64999998</v>
      </c>
      <c r="H103" s="63">
        <f t="shared" si="11"/>
        <v>10911465.427750001</v>
      </c>
      <c r="I103" s="16">
        <f t="shared" si="12"/>
        <v>-2.2499989718198776E-3</v>
      </c>
    </row>
    <row r="104" spans="1:9" x14ac:dyDescent="0.25">
      <c r="A104" s="36">
        <v>44900</v>
      </c>
      <c r="B104" s="60">
        <f t="shared" si="9"/>
        <v>30</v>
      </c>
      <c r="C104" s="4">
        <f t="shared" si="13"/>
        <v>13167896</v>
      </c>
      <c r="D104" s="2">
        <f t="shared" si="8"/>
        <v>2284635.9499999993</v>
      </c>
      <c r="E104" s="62">
        <f t="shared" si="10"/>
        <v>10883260.050000001</v>
      </c>
      <c r="F104" s="2">
        <f t="shared" si="14"/>
        <v>870660803.64999998</v>
      </c>
      <c r="G104" s="2">
        <f t="shared" si="15"/>
        <v>868376167.69999993</v>
      </c>
      <c r="H104" s="63">
        <f t="shared" si="11"/>
        <v>10883260.045624999</v>
      </c>
      <c r="I104" s="16">
        <f t="shared" si="12"/>
        <v>-4.3750014156103134E-3</v>
      </c>
    </row>
    <row r="105" spans="1:9" x14ac:dyDescent="0.25">
      <c r="A105" s="36">
        <v>44931</v>
      </c>
      <c r="B105" s="60">
        <f t="shared" si="9"/>
        <v>30</v>
      </c>
      <c r="C105" s="4">
        <f t="shared" si="13"/>
        <v>13167896</v>
      </c>
      <c r="D105" s="2">
        <f t="shared" si="8"/>
        <v>2313193.9000000004</v>
      </c>
      <c r="E105" s="62">
        <f t="shared" si="10"/>
        <v>10854702.1</v>
      </c>
      <c r="F105" s="2">
        <f t="shared" si="14"/>
        <v>868376167.69999993</v>
      </c>
      <c r="G105" s="2">
        <f t="shared" si="15"/>
        <v>866062973.79999995</v>
      </c>
      <c r="H105" s="63">
        <f t="shared" si="11"/>
        <v>10854702.096249999</v>
      </c>
      <c r="I105" s="16">
        <f t="shared" si="12"/>
        <v>-3.7500001490116119E-3</v>
      </c>
    </row>
    <row r="106" spans="1:9" x14ac:dyDescent="0.25">
      <c r="A106" s="36">
        <v>44962</v>
      </c>
      <c r="B106" s="60">
        <f t="shared" si="9"/>
        <v>30</v>
      </c>
      <c r="C106" s="4">
        <f t="shared" si="13"/>
        <v>13167896</v>
      </c>
      <c r="D106" s="2">
        <f t="shared" si="8"/>
        <v>2342108.83</v>
      </c>
      <c r="E106" s="62">
        <f t="shared" si="10"/>
        <v>10825787.17</v>
      </c>
      <c r="F106" s="2">
        <f t="shared" si="14"/>
        <v>866062973.79999995</v>
      </c>
      <c r="G106" s="2">
        <f t="shared" si="15"/>
        <v>863720864.96999991</v>
      </c>
      <c r="H106" s="63">
        <f t="shared" si="11"/>
        <v>10825787.172499999</v>
      </c>
      <c r="I106" s="16">
        <f t="shared" si="12"/>
        <v>2.4999994784593582E-3</v>
      </c>
    </row>
    <row r="107" spans="1:9" x14ac:dyDescent="0.25">
      <c r="A107" s="36">
        <v>44990</v>
      </c>
      <c r="B107" s="60">
        <f t="shared" si="9"/>
        <v>30</v>
      </c>
      <c r="C107" s="4">
        <f t="shared" si="13"/>
        <v>13167896</v>
      </c>
      <c r="D107" s="2">
        <f t="shared" si="8"/>
        <v>2371385.1899999995</v>
      </c>
      <c r="E107" s="62">
        <f t="shared" si="10"/>
        <v>10796510.810000001</v>
      </c>
      <c r="F107" s="2">
        <f t="shared" si="14"/>
        <v>863720864.96999991</v>
      </c>
      <c r="G107" s="2">
        <f t="shared" si="15"/>
        <v>861349479.77999985</v>
      </c>
      <c r="H107" s="63">
        <f t="shared" si="11"/>
        <v>10796510.812124997</v>
      </c>
      <c r="I107" s="16">
        <f t="shared" si="12"/>
        <v>2.1249968558549881E-3</v>
      </c>
    </row>
    <row r="108" spans="1:9" x14ac:dyDescent="0.25">
      <c r="A108" s="36">
        <v>45021</v>
      </c>
      <c r="B108" s="60">
        <f t="shared" si="9"/>
        <v>30</v>
      </c>
      <c r="C108" s="4">
        <f t="shared" si="13"/>
        <v>13167896</v>
      </c>
      <c r="D108" s="2">
        <f t="shared" si="8"/>
        <v>2401027.5</v>
      </c>
      <c r="E108" s="62">
        <f t="shared" si="10"/>
        <v>10766868.5</v>
      </c>
      <c r="F108" s="2">
        <f t="shared" si="14"/>
        <v>861349479.77999985</v>
      </c>
      <c r="G108" s="2">
        <f t="shared" si="15"/>
        <v>858948452.27999985</v>
      </c>
      <c r="H108" s="63">
        <f t="shared" si="11"/>
        <v>10766868.497249998</v>
      </c>
      <c r="I108" s="16">
        <f t="shared" si="12"/>
        <v>-2.750001847743988E-3</v>
      </c>
    </row>
    <row r="109" spans="1:9" x14ac:dyDescent="0.25">
      <c r="A109" s="36">
        <v>45051</v>
      </c>
      <c r="B109" s="60">
        <f t="shared" si="9"/>
        <v>30</v>
      </c>
      <c r="C109" s="4">
        <f t="shared" si="13"/>
        <v>13167896</v>
      </c>
      <c r="D109" s="2">
        <f t="shared" si="8"/>
        <v>2431040.3499999996</v>
      </c>
      <c r="E109" s="62">
        <f t="shared" si="10"/>
        <v>10736855.65</v>
      </c>
      <c r="F109" s="2">
        <f t="shared" si="14"/>
        <v>858948452.27999985</v>
      </c>
      <c r="G109" s="2">
        <f t="shared" si="15"/>
        <v>856517411.92999983</v>
      </c>
      <c r="H109" s="63">
        <f t="shared" si="11"/>
        <v>10736855.653499998</v>
      </c>
      <c r="I109" s="16">
        <f t="shared" si="12"/>
        <v>3.4999977797269821E-3</v>
      </c>
    </row>
    <row r="110" spans="1:9" x14ac:dyDescent="0.25">
      <c r="A110" s="36">
        <v>45082</v>
      </c>
      <c r="B110" s="60">
        <f t="shared" si="9"/>
        <v>30</v>
      </c>
      <c r="C110" s="4">
        <f t="shared" si="13"/>
        <v>13167896</v>
      </c>
      <c r="D110" s="2">
        <f t="shared" si="8"/>
        <v>2461428.3499999996</v>
      </c>
      <c r="E110" s="62">
        <f t="shared" si="10"/>
        <v>10706467.65</v>
      </c>
      <c r="F110" s="2">
        <f t="shared" si="14"/>
        <v>856517411.92999983</v>
      </c>
      <c r="G110" s="2">
        <f t="shared" si="15"/>
        <v>854055983.5799998</v>
      </c>
      <c r="H110" s="63">
        <f t="shared" si="11"/>
        <v>10706467.649124997</v>
      </c>
      <c r="I110" s="16">
        <f t="shared" si="12"/>
        <v>-8.750036358833313E-4</v>
      </c>
    </row>
    <row r="111" spans="1:9" x14ac:dyDescent="0.25">
      <c r="A111" s="36">
        <v>45112</v>
      </c>
      <c r="B111" s="60">
        <f t="shared" si="9"/>
        <v>30</v>
      </c>
      <c r="C111" s="4">
        <f t="shared" si="13"/>
        <v>13167896</v>
      </c>
      <c r="D111" s="2">
        <f t="shared" si="8"/>
        <v>2492196.2100000009</v>
      </c>
      <c r="E111" s="62">
        <f t="shared" si="10"/>
        <v>10675699.789999999</v>
      </c>
      <c r="F111" s="2">
        <f t="shared" si="14"/>
        <v>854055983.5799998</v>
      </c>
      <c r="G111" s="2">
        <f t="shared" si="15"/>
        <v>851563787.36999977</v>
      </c>
      <c r="H111" s="63">
        <f t="shared" si="11"/>
        <v>10675699.794749998</v>
      </c>
      <c r="I111" s="16">
        <f t="shared" si="12"/>
        <v>4.7499984502792358E-3</v>
      </c>
    </row>
    <row r="112" spans="1:9" x14ac:dyDescent="0.25">
      <c r="A112" s="36">
        <v>45143</v>
      </c>
      <c r="B112" s="60">
        <f t="shared" si="9"/>
        <v>30</v>
      </c>
      <c r="C112" s="4">
        <f t="shared" si="13"/>
        <v>13167896</v>
      </c>
      <c r="D112" s="2">
        <f t="shared" si="8"/>
        <v>2523348.66</v>
      </c>
      <c r="E112" s="62">
        <f t="shared" si="10"/>
        <v>10644547.34</v>
      </c>
      <c r="F112" s="2">
        <f t="shared" si="14"/>
        <v>851563787.36999977</v>
      </c>
      <c r="G112" s="2">
        <f t="shared" si="15"/>
        <v>849040438.7099998</v>
      </c>
      <c r="H112" s="63">
        <f t="shared" si="11"/>
        <v>10644547.342124997</v>
      </c>
      <c r="I112" s="16">
        <f t="shared" si="12"/>
        <v>2.1249968558549881E-3</v>
      </c>
    </row>
    <row r="113" spans="1:9" x14ac:dyDescent="0.25">
      <c r="A113" s="36">
        <v>45174</v>
      </c>
      <c r="B113" s="60">
        <f t="shared" si="9"/>
        <v>30</v>
      </c>
      <c r="C113" s="4">
        <f t="shared" si="13"/>
        <v>13167896</v>
      </c>
      <c r="D113" s="2">
        <f t="shared" si="8"/>
        <v>2554890.5199999996</v>
      </c>
      <c r="E113" s="62">
        <f t="shared" si="10"/>
        <v>10613005.48</v>
      </c>
      <c r="F113" s="2">
        <f t="shared" si="14"/>
        <v>849040438.7099998</v>
      </c>
      <c r="G113" s="2">
        <f t="shared" si="15"/>
        <v>846485548.18999982</v>
      </c>
      <c r="H113" s="63">
        <f t="shared" si="11"/>
        <v>10613005.483874997</v>
      </c>
      <c r="I113" s="16">
        <f t="shared" si="12"/>
        <v>3.8749966770410538E-3</v>
      </c>
    </row>
    <row r="114" spans="1:9" x14ac:dyDescent="0.25">
      <c r="A114" s="36">
        <v>45204</v>
      </c>
      <c r="B114" s="60">
        <f t="shared" si="9"/>
        <v>30</v>
      </c>
      <c r="C114" s="4">
        <f t="shared" si="13"/>
        <v>13167896</v>
      </c>
      <c r="D114" s="2">
        <f t="shared" si="8"/>
        <v>2586826.6500000004</v>
      </c>
      <c r="E114" s="62">
        <f t="shared" si="10"/>
        <v>10581069.35</v>
      </c>
      <c r="F114" s="2">
        <f t="shared" si="14"/>
        <v>846485548.18999982</v>
      </c>
      <c r="G114" s="2">
        <f t="shared" si="15"/>
        <v>843898721.53999984</v>
      </c>
      <c r="H114" s="63">
        <f t="shared" si="11"/>
        <v>10581069.352374997</v>
      </c>
      <c r="I114" s="16">
        <f t="shared" si="12"/>
        <v>2.3749973624944687E-3</v>
      </c>
    </row>
    <row r="115" spans="1:9" x14ac:dyDescent="0.25">
      <c r="A115" s="36">
        <v>45235</v>
      </c>
      <c r="B115" s="60">
        <f t="shared" si="9"/>
        <v>30</v>
      </c>
      <c r="C115" s="4">
        <f t="shared" si="13"/>
        <v>13167896</v>
      </c>
      <c r="D115" s="2">
        <f t="shared" si="8"/>
        <v>2619161.9800000004</v>
      </c>
      <c r="E115" s="62">
        <f t="shared" si="10"/>
        <v>10548734.02</v>
      </c>
      <c r="F115" s="2">
        <f t="shared" si="14"/>
        <v>843898721.53999984</v>
      </c>
      <c r="G115" s="2">
        <f t="shared" si="15"/>
        <v>841279559.55999982</v>
      </c>
      <c r="H115" s="63">
        <f t="shared" si="11"/>
        <v>10548734.019249998</v>
      </c>
      <c r="I115" s="16">
        <f t="shared" si="12"/>
        <v>-7.5000151991844177E-4</v>
      </c>
    </row>
    <row r="116" spans="1:9" x14ac:dyDescent="0.25">
      <c r="A116" s="36">
        <v>45265</v>
      </c>
      <c r="B116" s="60">
        <f t="shared" si="9"/>
        <v>30</v>
      </c>
      <c r="C116" s="4">
        <f t="shared" si="13"/>
        <v>13167896</v>
      </c>
      <c r="D116" s="2">
        <f t="shared" si="8"/>
        <v>2651901.5099999998</v>
      </c>
      <c r="E116" s="62">
        <f t="shared" si="10"/>
        <v>10515994.49</v>
      </c>
      <c r="F116" s="2">
        <f t="shared" si="14"/>
        <v>841279559.55999982</v>
      </c>
      <c r="G116" s="2">
        <f t="shared" si="15"/>
        <v>838627658.04999983</v>
      </c>
      <c r="H116" s="63">
        <f t="shared" si="11"/>
        <v>10515994.494499998</v>
      </c>
      <c r="I116" s="16">
        <f t="shared" si="12"/>
        <v>4.4999979436397552E-3</v>
      </c>
    </row>
    <row r="117" spans="1:9" x14ac:dyDescent="0.25">
      <c r="A117" s="36">
        <v>45296</v>
      </c>
      <c r="B117" s="60">
        <f t="shared" si="9"/>
        <v>30</v>
      </c>
      <c r="C117" s="4">
        <f t="shared" si="13"/>
        <v>13167896</v>
      </c>
      <c r="D117" s="2">
        <f t="shared" si="8"/>
        <v>2685050.2699999996</v>
      </c>
      <c r="E117" s="62">
        <f t="shared" si="10"/>
        <v>10482845.73</v>
      </c>
      <c r="F117" s="2">
        <f t="shared" si="14"/>
        <v>838627658.04999983</v>
      </c>
      <c r="G117" s="2">
        <f t="shared" si="15"/>
        <v>835942607.77999985</v>
      </c>
      <c r="H117" s="63">
        <f t="shared" si="11"/>
        <v>10482845.725624997</v>
      </c>
      <c r="I117" s="16">
        <f t="shared" si="12"/>
        <v>-4.3750032782554626E-3</v>
      </c>
    </row>
    <row r="118" spans="1:9" x14ac:dyDescent="0.25">
      <c r="A118" s="36">
        <v>45327</v>
      </c>
      <c r="B118" s="60">
        <f t="shared" si="9"/>
        <v>30</v>
      </c>
      <c r="C118" s="4">
        <f t="shared" si="13"/>
        <v>13167896</v>
      </c>
      <c r="D118" s="2">
        <f t="shared" si="8"/>
        <v>2718613.4000000004</v>
      </c>
      <c r="E118" s="62">
        <f t="shared" si="10"/>
        <v>10449282.6</v>
      </c>
      <c r="F118" s="2">
        <f t="shared" si="14"/>
        <v>835942607.77999985</v>
      </c>
      <c r="G118" s="2">
        <f t="shared" si="15"/>
        <v>833223994.37999988</v>
      </c>
      <c r="H118" s="63">
        <f t="shared" si="11"/>
        <v>10449282.597249996</v>
      </c>
      <c r="I118" s="16">
        <f t="shared" si="12"/>
        <v>-2.7500037103891373E-3</v>
      </c>
    </row>
    <row r="119" spans="1:9" x14ac:dyDescent="0.25">
      <c r="A119" s="36">
        <v>45356</v>
      </c>
      <c r="B119" s="60">
        <f t="shared" si="9"/>
        <v>30</v>
      </c>
      <c r="C119" s="4">
        <f t="shared" si="13"/>
        <v>13167896</v>
      </c>
      <c r="D119" s="2">
        <f t="shared" si="8"/>
        <v>2752596.0700000003</v>
      </c>
      <c r="E119" s="62">
        <f t="shared" si="10"/>
        <v>10415299.93</v>
      </c>
      <c r="F119" s="2">
        <f t="shared" si="14"/>
        <v>833223994.37999988</v>
      </c>
      <c r="G119" s="2">
        <f t="shared" si="15"/>
        <v>830471398.30999982</v>
      </c>
      <c r="H119" s="63">
        <f t="shared" si="11"/>
        <v>10415299.929749997</v>
      </c>
      <c r="I119" s="16">
        <f t="shared" si="12"/>
        <v>-2.5000236928462982E-4</v>
      </c>
    </row>
    <row r="120" spans="1:9" x14ac:dyDescent="0.25">
      <c r="A120" s="36">
        <v>45387</v>
      </c>
      <c r="B120" s="60">
        <f t="shared" si="9"/>
        <v>30</v>
      </c>
      <c r="C120" s="4">
        <f t="shared" si="13"/>
        <v>13167896</v>
      </c>
      <c r="D120" s="2">
        <f t="shared" si="8"/>
        <v>2787003.5199999996</v>
      </c>
      <c r="E120" s="62">
        <f t="shared" si="10"/>
        <v>10380892.48</v>
      </c>
      <c r="F120" s="2">
        <f t="shared" si="14"/>
        <v>830471398.30999982</v>
      </c>
      <c r="G120" s="2">
        <f t="shared" si="15"/>
        <v>827684394.78999984</v>
      </c>
      <c r="H120" s="63">
        <f t="shared" si="11"/>
        <v>10380892.478874998</v>
      </c>
      <c r="I120" s="16">
        <f t="shared" si="12"/>
        <v>-1.1250022798776627E-3</v>
      </c>
    </row>
    <row r="121" spans="1:9" x14ac:dyDescent="0.25">
      <c r="A121" s="36">
        <v>45417</v>
      </c>
      <c r="B121" s="60">
        <f t="shared" si="9"/>
        <v>30</v>
      </c>
      <c r="C121" s="4">
        <f t="shared" si="13"/>
        <v>13167896</v>
      </c>
      <c r="D121" s="2">
        <f t="shared" si="8"/>
        <v>2821841.0700000003</v>
      </c>
      <c r="E121" s="62">
        <f t="shared" si="10"/>
        <v>10346054.93</v>
      </c>
      <c r="F121" s="2">
        <f t="shared" si="14"/>
        <v>827684394.78999984</v>
      </c>
      <c r="G121" s="2">
        <f t="shared" si="15"/>
        <v>824862553.71999979</v>
      </c>
      <c r="H121" s="63">
        <f t="shared" si="11"/>
        <v>10346054.934874998</v>
      </c>
      <c r="I121" s="16">
        <f t="shared" si="12"/>
        <v>4.8749987035989761E-3</v>
      </c>
    </row>
    <row r="122" spans="1:9" x14ac:dyDescent="0.25">
      <c r="A122" s="36">
        <v>45448</v>
      </c>
      <c r="B122" s="60">
        <f t="shared" si="9"/>
        <v>30</v>
      </c>
      <c r="C122" s="4">
        <f t="shared" si="13"/>
        <v>13167896</v>
      </c>
      <c r="D122" s="2">
        <f t="shared" si="8"/>
        <v>2857114.08</v>
      </c>
      <c r="E122" s="62">
        <f t="shared" si="10"/>
        <v>10310781.92</v>
      </c>
      <c r="F122" s="2">
        <f t="shared" si="14"/>
        <v>824862553.71999979</v>
      </c>
      <c r="G122" s="2">
        <f t="shared" si="15"/>
        <v>822005439.63999975</v>
      </c>
      <c r="H122" s="63">
        <f t="shared" si="11"/>
        <v>10310781.921499997</v>
      </c>
      <c r="I122" s="16">
        <f t="shared" si="12"/>
        <v>1.4999974519014359E-3</v>
      </c>
    </row>
    <row r="123" spans="1:9" x14ac:dyDescent="0.25">
      <c r="A123" s="36">
        <v>45478</v>
      </c>
      <c r="B123" s="60">
        <f t="shared" si="9"/>
        <v>30</v>
      </c>
      <c r="C123" s="4">
        <f t="shared" si="13"/>
        <v>13167896</v>
      </c>
      <c r="D123" s="2">
        <f t="shared" si="8"/>
        <v>2892828</v>
      </c>
      <c r="E123" s="62">
        <f t="shared" si="10"/>
        <v>10275068</v>
      </c>
      <c r="F123" s="2">
        <f t="shared" si="14"/>
        <v>822005439.63999975</v>
      </c>
      <c r="G123" s="2">
        <f t="shared" si="15"/>
        <v>819112611.63999975</v>
      </c>
      <c r="H123" s="63">
        <f t="shared" si="11"/>
        <v>10275067.995499996</v>
      </c>
      <c r="I123" s="16">
        <f t="shared" si="12"/>
        <v>-4.5000035315752029E-3</v>
      </c>
    </row>
    <row r="124" spans="1:9" x14ac:dyDescent="0.25">
      <c r="A124" s="36">
        <v>45509</v>
      </c>
      <c r="B124" s="60">
        <f t="shared" si="9"/>
        <v>30</v>
      </c>
      <c r="C124" s="4">
        <f t="shared" si="13"/>
        <v>13167896</v>
      </c>
      <c r="D124" s="2">
        <f t="shared" si="8"/>
        <v>2928988.3499999996</v>
      </c>
      <c r="E124" s="62">
        <f t="shared" si="10"/>
        <v>10238907.65</v>
      </c>
      <c r="F124" s="2">
        <f t="shared" si="14"/>
        <v>819112611.63999975</v>
      </c>
      <c r="G124" s="2">
        <f t="shared" si="15"/>
        <v>816183623.28999972</v>
      </c>
      <c r="H124" s="63">
        <f t="shared" si="11"/>
        <v>10238907.645499997</v>
      </c>
      <c r="I124" s="16">
        <f t="shared" si="12"/>
        <v>-4.5000035315752029E-3</v>
      </c>
    </row>
    <row r="125" spans="1:9" x14ac:dyDescent="0.25">
      <c r="A125" s="36">
        <v>45540</v>
      </c>
      <c r="B125" s="60">
        <f t="shared" si="9"/>
        <v>30</v>
      </c>
      <c r="C125" s="4">
        <f t="shared" si="13"/>
        <v>13167896</v>
      </c>
      <c r="D125" s="2">
        <f t="shared" si="8"/>
        <v>2965600.7100000009</v>
      </c>
      <c r="E125" s="62">
        <f t="shared" si="10"/>
        <v>10202295.289999999</v>
      </c>
      <c r="F125" s="2">
        <f t="shared" si="14"/>
        <v>816183623.28999972</v>
      </c>
      <c r="G125" s="2">
        <f t="shared" si="15"/>
        <v>813218022.57999969</v>
      </c>
      <c r="H125" s="63">
        <f t="shared" si="11"/>
        <v>10202295.291124996</v>
      </c>
      <c r="I125" s="16">
        <f t="shared" si="12"/>
        <v>1.124996691942215E-3</v>
      </c>
    </row>
    <row r="126" spans="1:9" x14ac:dyDescent="0.25">
      <c r="A126" s="36">
        <v>45570</v>
      </c>
      <c r="B126" s="60">
        <f t="shared" si="9"/>
        <v>30</v>
      </c>
      <c r="C126" s="4">
        <f t="shared" si="13"/>
        <v>13167896</v>
      </c>
      <c r="D126" s="2">
        <f t="shared" si="8"/>
        <v>3002670.7200000007</v>
      </c>
      <c r="E126" s="62">
        <f t="shared" si="10"/>
        <v>10165225.279999999</v>
      </c>
      <c r="F126" s="2">
        <f t="shared" si="14"/>
        <v>813218022.57999969</v>
      </c>
      <c r="G126" s="2">
        <f t="shared" si="15"/>
        <v>810215351.85999966</v>
      </c>
      <c r="H126" s="63">
        <f t="shared" si="11"/>
        <v>10165225.282249996</v>
      </c>
      <c r="I126" s="16">
        <f t="shared" si="12"/>
        <v>2.2499971091747284E-3</v>
      </c>
    </row>
    <row r="127" spans="1:9" x14ac:dyDescent="0.25">
      <c r="A127" s="36">
        <v>45601</v>
      </c>
      <c r="B127" s="60">
        <f t="shared" si="9"/>
        <v>30</v>
      </c>
      <c r="C127" s="4">
        <f t="shared" si="13"/>
        <v>13167896</v>
      </c>
      <c r="D127" s="2">
        <f t="shared" si="8"/>
        <v>3040204.0999999996</v>
      </c>
      <c r="E127" s="62">
        <f t="shared" si="10"/>
        <v>10127691.9</v>
      </c>
      <c r="F127" s="2">
        <f t="shared" si="14"/>
        <v>810215351.85999966</v>
      </c>
      <c r="G127" s="2">
        <f t="shared" si="15"/>
        <v>807175147.75999963</v>
      </c>
      <c r="H127" s="63">
        <f t="shared" si="11"/>
        <v>10127691.898249995</v>
      </c>
      <c r="I127" s="16">
        <f t="shared" si="12"/>
        <v>-1.7500054091215134E-3</v>
      </c>
    </row>
    <row r="128" spans="1:9" x14ac:dyDescent="0.25">
      <c r="A128" s="36">
        <v>45631</v>
      </c>
      <c r="B128" s="60">
        <f t="shared" si="9"/>
        <v>30</v>
      </c>
      <c r="C128" s="4">
        <f t="shared" si="13"/>
        <v>13167896</v>
      </c>
      <c r="D128" s="2">
        <f t="shared" si="8"/>
        <v>3078206.6500000004</v>
      </c>
      <c r="E128" s="62">
        <f t="shared" si="10"/>
        <v>10089689.35</v>
      </c>
      <c r="F128" s="2">
        <f t="shared" si="14"/>
        <v>807175147.75999963</v>
      </c>
      <c r="G128" s="2">
        <f t="shared" si="15"/>
        <v>804096941.10999966</v>
      </c>
      <c r="H128" s="63">
        <f t="shared" si="11"/>
        <v>10089689.346999995</v>
      </c>
      <c r="I128" s="16">
        <f t="shared" si="12"/>
        <v>-3.0000042170286179E-3</v>
      </c>
    </row>
    <row r="129" spans="1:9" x14ac:dyDescent="0.25">
      <c r="A129" s="36">
        <v>45662</v>
      </c>
      <c r="B129" s="60">
        <f t="shared" si="9"/>
        <v>30</v>
      </c>
      <c r="C129" s="4">
        <f t="shared" si="13"/>
        <v>13167896</v>
      </c>
      <c r="D129" s="2">
        <f t="shared" si="8"/>
        <v>3116684.24</v>
      </c>
      <c r="E129" s="62">
        <f t="shared" si="10"/>
        <v>10051211.76</v>
      </c>
      <c r="F129" s="2">
        <f t="shared" si="14"/>
        <v>804096941.10999966</v>
      </c>
      <c r="G129" s="2">
        <f t="shared" si="15"/>
        <v>800980256.86999965</v>
      </c>
      <c r="H129" s="63">
        <f t="shared" si="11"/>
        <v>10051211.763874996</v>
      </c>
      <c r="I129" s="16">
        <f t="shared" si="12"/>
        <v>3.8749966770410538E-3</v>
      </c>
    </row>
    <row r="130" spans="1:9" x14ac:dyDescent="0.25">
      <c r="A130" s="36">
        <v>45693</v>
      </c>
      <c r="B130" s="60">
        <f t="shared" si="9"/>
        <v>30</v>
      </c>
      <c r="C130" s="4">
        <f t="shared" si="13"/>
        <v>13167896</v>
      </c>
      <c r="D130" s="2">
        <f t="shared" si="8"/>
        <v>3155642.7899999991</v>
      </c>
      <c r="E130" s="62">
        <f t="shared" si="10"/>
        <v>10012253.210000001</v>
      </c>
      <c r="F130" s="2">
        <f t="shared" si="14"/>
        <v>800980256.86999965</v>
      </c>
      <c r="G130" s="2">
        <f t="shared" si="15"/>
        <v>797824614.07999969</v>
      </c>
      <c r="H130" s="63">
        <f t="shared" si="11"/>
        <v>10012253.210874995</v>
      </c>
      <c r="I130" s="16">
        <f t="shared" si="12"/>
        <v>8.7499432265758514E-4</v>
      </c>
    </row>
    <row r="131" spans="1:9" x14ac:dyDescent="0.25">
      <c r="A131" s="36">
        <v>45721</v>
      </c>
      <c r="B131" s="60">
        <f t="shared" si="9"/>
        <v>30</v>
      </c>
      <c r="C131" s="4">
        <f t="shared" si="13"/>
        <v>13167896</v>
      </c>
      <c r="D131" s="2">
        <f t="shared" si="8"/>
        <v>3195088.3200000003</v>
      </c>
      <c r="E131" s="62">
        <f t="shared" si="10"/>
        <v>9972807.6799999997</v>
      </c>
      <c r="F131" s="2">
        <f t="shared" si="14"/>
        <v>797824614.07999969</v>
      </c>
      <c r="G131" s="2">
        <f t="shared" si="15"/>
        <v>794629525.75999963</v>
      </c>
      <c r="H131" s="63">
        <f t="shared" si="11"/>
        <v>9972807.6759999953</v>
      </c>
      <c r="I131" s="16">
        <f t="shared" si="12"/>
        <v>-4.000004380941391E-3</v>
      </c>
    </row>
    <row r="132" spans="1:9" x14ac:dyDescent="0.25">
      <c r="A132" s="36">
        <v>45752</v>
      </c>
      <c r="B132" s="60">
        <f t="shared" si="9"/>
        <v>30</v>
      </c>
      <c r="C132" s="4">
        <f t="shared" si="13"/>
        <v>13167896</v>
      </c>
      <c r="D132" s="2">
        <f t="shared" si="8"/>
        <v>3235026.9299999997</v>
      </c>
      <c r="E132" s="62">
        <f t="shared" si="10"/>
        <v>9932869.0700000003</v>
      </c>
      <c r="F132" s="2">
        <f t="shared" si="14"/>
        <v>794629525.75999963</v>
      </c>
      <c r="G132" s="2">
        <f t="shared" si="15"/>
        <v>791394498.82999969</v>
      </c>
      <c r="H132" s="63">
        <f t="shared" si="11"/>
        <v>9932869.0719999969</v>
      </c>
      <c r="I132" s="16">
        <f t="shared" si="12"/>
        <v>1.9999966025352478E-3</v>
      </c>
    </row>
    <row r="133" spans="1:9" x14ac:dyDescent="0.25">
      <c r="A133" s="36">
        <v>45782</v>
      </c>
      <c r="B133" s="60">
        <f t="shared" si="9"/>
        <v>30</v>
      </c>
      <c r="C133" s="4">
        <f t="shared" si="13"/>
        <v>13167896</v>
      </c>
      <c r="D133" s="2">
        <f t="shared" ref="D133:D196" si="16">C133-E133</f>
        <v>3275464.76</v>
      </c>
      <c r="E133" s="62">
        <f t="shared" si="10"/>
        <v>9892431.2400000002</v>
      </c>
      <c r="F133" s="2">
        <f t="shared" si="14"/>
        <v>791394498.82999969</v>
      </c>
      <c r="G133" s="2">
        <f t="shared" si="15"/>
        <v>788119034.06999969</v>
      </c>
      <c r="H133" s="63">
        <f t="shared" si="11"/>
        <v>9892431.2353749964</v>
      </c>
      <c r="I133" s="16">
        <f t="shared" si="12"/>
        <v>-4.6250037848949432E-3</v>
      </c>
    </row>
    <row r="134" spans="1:9" x14ac:dyDescent="0.25">
      <c r="A134" s="36">
        <v>45813</v>
      </c>
      <c r="B134" s="60">
        <f t="shared" ref="B134:B197" si="17">DAYS360(A133,A134,TRUE)</f>
        <v>30</v>
      </c>
      <c r="C134" s="4">
        <f t="shared" si="13"/>
        <v>13167896</v>
      </c>
      <c r="D134" s="2">
        <f t="shared" si="16"/>
        <v>3316408.0700000003</v>
      </c>
      <c r="E134" s="62">
        <f t="shared" ref="E134:E197" si="18">ROUND(F134*$B$2*B134/360,2)</f>
        <v>9851487.9299999997</v>
      </c>
      <c r="F134" s="2">
        <f t="shared" si="14"/>
        <v>788119034.06999969</v>
      </c>
      <c r="G134" s="2">
        <f t="shared" si="15"/>
        <v>784802625.99999964</v>
      </c>
      <c r="H134" s="63">
        <f t="shared" ref="H134:H197" si="19">F134*$B$2*B134/360</f>
        <v>9851487.9258749969</v>
      </c>
      <c r="I134" s="16">
        <f t="shared" ref="I134:I197" si="20">H134-E134</f>
        <v>-4.1250027716159821E-3</v>
      </c>
    </row>
    <row r="135" spans="1:9" x14ac:dyDescent="0.25">
      <c r="A135" s="36">
        <v>45843</v>
      </c>
      <c r="B135" s="60">
        <f t="shared" si="17"/>
        <v>30</v>
      </c>
      <c r="C135" s="4">
        <f t="shared" ref="C135:C198" si="21">$D$1</f>
        <v>13167896</v>
      </c>
      <c r="D135" s="2">
        <f t="shared" si="16"/>
        <v>3357863.17</v>
      </c>
      <c r="E135" s="62">
        <f t="shared" si="18"/>
        <v>9810032.8300000001</v>
      </c>
      <c r="F135" s="2">
        <f t="shared" ref="F135:F198" si="22">G134</f>
        <v>784802625.99999964</v>
      </c>
      <c r="G135" s="2">
        <f t="shared" ref="G135:G198" si="23">F135-D135</f>
        <v>781444762.82999969</v>
      </c>
      <c r="H135" s="63">
        <f t="shared" si="19"/>
        <v>9810032.8249999955</v>
      </c>
      <c r="I135" s="16">
        <f t="shared" si="20"/>
        <v>-5.0000045448541641E-3</v>
      </c>
    </row>
    <row r="136" spans="1:9" x14ac:dyDescent="0.25">
      <c r="A136" s="36">
        <v>45874</v>
      </c>
      <c r="B136" s="60">
        <f t="shared" si="17"/>
        <v>30</v>
      </c>
      <c r="C136" s="4">
        <f t="shared" si="21"/>
        <v>13167896</v>
      </c>
      <c r="D136" s="2">
        <f t="shared" si="16"/>
        <v>3399836.4600000009</v>
      </c>
      <c r="E136" s="62">
        <f t="shared" si="18"/>
        <v>9768059.5399999991</v>
      </c>
      <c r="F136" s="2">
        <f t="shared" si="22"/>
        <v>781444762.82999969</v>
      </c>
      <c r="G136" s="2">
        <f t="shared" si="23"/>
        <v>778044926.36999965</v>
      </c>
      <c r="H136" s="63">
        <f t="shared" si="19"/>
        <v>9768059.5353749953</v>
      </c>
      <c r="I136" s="16">
        <f t="shared" si="20"/>
        <v>-4.6250037848949432E-3</v>
      </c>
    </row>
    <row r="137" spans="1:9" x14ac:dyDescent="0.25">
      <c r="A137" s="36">
        <v>45905</v>
      </c>
      <c r="B137" s="60">
        <f t="shared" si="17"/>
        <v>30</v>
      </c>
      <c r="C137" s="4">
        <f t="shared" si="21"/>
        <v>13167896</v>
      </c>
      <c r="D137" s="2">
        <f t="shared" si="16"/>
        <v>3442334.42</v>
      </c>
      <c r="E137" s="62">
        <f t="shared" si="18"/>
        <v>9725561.5800000001</v>
      </c>
      <c r="F137" s="2">
        <f t="shared" si="22"/>
        <v>778044926.36999965</v>
      </c>
      <c r="G137" s="2">
        <f t="shared" si="23"/>
        <v>774602591.94999969</v>
      </c>
      <c r="H137" s="63">
        <f t="shared" si="19"/>
        <v>9725561.5796249956</v>
      </c>
      <c r="I137" s="16">
        <f t="shared" si="20"/>
        <v>-3.7500448524951935E-4</v>
      </c>
    </row>
    <row r="138" spans="1:9" x14ac:dyDescent="0.25">
      <c r="A138" s="36">
        <v>45935</v>
      </c>
      <c r="B138" s="60">
        <f t="shared" si="17"/>
        <v>30</v>
      </c>
      <c r="C138" s="4">
        <f t="shared" si="21"/>
        <v>13167896</v>
      </c>
      <c r="D138" s="2">
        <f t="shared" si="16"/>
        <v>3485363.5999999996</v>
      </c>
      <c r="E138" s="62">
        <f t="shared" si="18"/>
        <v>9682532.4000000004</v>
      </c>
      <c r="F138" s="2">
        <f t="shared" si="22"/>
        <v>774602591.94999969</v>
      </c>
      <c r="G138" s="2">
        <f t="shared" si="23"/>
        <v>771117228.34999967</v>
      </c>
      <c r="H138" s="63">
        <f t="shared" si="19"/>
        <v>9682532.3993749954</v>
      </c>
      <c r="I138" s="16">
        <f t="shared" si="20"/>
        <v>-6.2500499188899994E-4</v>
      </c>
    </row>
    <row r="139" spans="1:9" x14ac:dyDescent="0.25">
      <c r="A139" s="36">
        <v>45966</v>
      </c>
      <c r="B139" s="60">
        <f t="shared" si="17"/>
        <v>30</v>
      </c>
      <c r="C139" s="4">
        <f t="shared" si="21"/>
        <v>13167896</v>
      </c>
      <c r="D139" s="2">
        <f t="shared" si="16"/>
        <v>3528930.6500000004</v>
      </c>
      <c r="E139" s="62">
        <f t="shared" si="18"/>
        <v>9638965.3499999996</v>
      </c>
      <c r="F139" s="2">
        <f t="shared" si="22"/>
        <v>771117228.34999967</v>
      </c>
      <c r="G139" s="2">
        <f t="shared" si="23"/>
        <v>767588297.69999969</v>
      </c>
      <c r="H139" s="63">
        <f t="shared" si="19"/>
        <v>9638965.3543749955</v>
      </c>
      <c r="I139" s="16">
        <f t="shared" si="20"/>
        <v>4.3749958276748657E-3</v>
      </c>
    </row>
    <row r="140" spans="1:9" x14ac:dyDescent="0.25">
      <c r="A140" s="36">
        <v>45996</v>
      </c>
      <c r="B140" s="60">
        <f t="shared" si="17"/>
        <v>30</v>
      </c>
      <c r="C140" s="4">
        <f t="shared" si="21"/>
        <v>13167896</v>
      </c>
      <c r="D140" s="2">
        <f t="shared" si="16"/>
        <v>3573042.2799999993</v>
      </c>
      <c r="E140" s="62">
        <f t="shared" si="18"/>
        <v>9594853.7200000007</v>
      </c>
      <c r="F140" s="2">
        <f t="shared" si="22"/>
        <v>767588297.69999969</v>
      </c>
      <c r="G140" s="2">
        <f t="shared" si="23"/>
        <v>764015255.41999972</v>
      </c>
      <c r="H140" s="63">
        <f t="shared" si="19"/>
        <v>9594853.7212499958</v>
      </c>
      <c r="I140" s="16">
        <f t="shared" si="20"/>
        <v>1.249995082616806E-3</v>
      </c>
    </row>
    <row r="141" spans="1:9" x14ac:dyDescent="0.25">
      <c r="A141" s="36">
        <v>46027</v>
      </c>
      <c r="B141" s="60">
        <f t="shared" si="17"/>
        <v>30</v>
      </c>
      <c r="C141" s="4">
        <f t="shared" si="21"/>
        <v>13167896</v>
      </c>
      <c r="D141" s="2">
        <f t="shared" si="16"/>
        <v>3617705.3100000005</v>
      </c>
      <c r="E141" s="62">
        <f t="shared" si="18"/>
        <v>9550190.6899999995</v>
      </c>
      <c r="F141" s="2">
        <f t="shared" si="22"/>
        <v>764015255.41999972</v>
      </c>
      <c r="G141" s="2">
        <f t="shared" si="23"/>
        <v>760397550.10999978</v>
      </c>
      <c r="H141" s="63">
        <f t="shared" si="19"/>
        <v>9550190.6927499957</v>
      </c>
      <c r="I141" s="16">
        <f t="shared" si="20"/>
        <v>2.7499962598085403E-3</v>
      </c>
    </row>
    <row r="142" spans="1:9" x14ac:dyDescent="0.25">
      <c r="A142" s="36">
        <v>46058</v>
      </c>
      <c r="B142" s="60">
        <f t="shared" si="17"/>
        <v>30</v>
      </c>
      <c r="C142" s="4">
        <f t="shared" si="21"/>
        <v>13167896</v>
      </c>
      <c r="D142" s="2">
        <f t="shared" si="16"/>
        <v>3662926.6199999992</v>
      </c>
      <c r="E142" s="62">
        <f t="shared" si="18"/>
        <v>9504969.3800000008</v>
      </c>
      <c r="F142" s="2">
        <f t="shared" si="22"/>
        <v>760397550.10999978</v>
      </c>
      <c r="G142" s="2">
        <f t="shared" si="23"/>
        <v>756734623.48999977</v>
      </c>
      <c r="H142" s="63">
        <f t="shared" si="19"/>
        <v>9504969.3763749972</v>
      </c>
      <c r="I142" s="16">
        <f t="shared" si="20"/>
        <v>-3.6250036209821701E-3</v>
      </c>
    </row>
    <row r="143" spans="1:9" x14ac:dyDescent="0.25">
      <c r="A143" s="36">
        <v>46086</v>
      </c>
      <c r="B143" s="60">
        <f t="shared" si="17"/>
        <v>30</v>
      </c>
      <c r="C143" s="4">
        <f t="shared" si="21"/>
        <v>13167896</v>
      </c>
      <c r="D143" s="2">
        <f t="shared" si="16"/>
        <v>3708713.2100000009</v>
      </c>
      <c r="E143" s="62">
        <f t="shared" si="18"/>
        <v>9459182.7899999991</v>
      </c>
      <c r="F143" s="2">
        <f t="shared" si="22"/>
        <v>756734623.48999977</v>
      </c>
      <c r="G143" s="2">
        <f t="shared" si="23"/>
        <v>753025910.27999973</v>
      </c>
      <c r="H143" s="63">
        <f t="shared" si="19"/>
        <v>9459182.7936249971</v>
      </c>
      <c r="I143" s="16">
        <f t="shared" si="20"/>
        <v>3.6249980330467224E-3</v>
      </c>
    </row>
    <row r="144" spans="1:9" x14ac:dyDescent="0.25">
      <c r="A144" s="36">
        <v>46117</v>
      </c>
      <c r="B144" s="60">
        <f t="shared" si="17"/>
        <v>30</v>
      </c>
      <c r="C144" s="4">
        <f t="shared" si="21"/>
        <v>13167896</v>
      </c>
      <c r="D144" s="2">
        <f t="shared" si="16"/>
        <v>3755072.1199999992</v>
      </c>
      <c r="E144" s="62">
        <f t="shared" si="18"/>
        <v>9412823.8800000008</v>
      </c>
      <c r="F144" s="2">
        <f t="shared" si="22"/>
        <v>753025910.27999973</v>
      </c>
      <c r="G144" s="2">
        <f t="shared" si="23"/>
        <v>749270838.15999973</v>
      </c>
      <c r="H144" s="63">
        <f t="shared" si="19"/>
        <v>9412823.8784999959</v>
      </c>
      <c r="I144" s="16">
        <f t="shared" si="20"/>
        <v>-1.5000049024820328E-3</v>
      </c>
    </row>
    <row r="145" spans="1:9" x14ac:dyDescent="0.25">
      <c r="A145" s="36">
        <v>46147</v>
      </c>
      <c r="B145" s="60">
        <f t="shared" si="17"/>
        <v>30</v>
      </c>
      <c r="C145" s="4">
        <f t="shared" si="21"/>
        <v>13167896</v>
      </c>
      <c r="D145" s="2">
        <f t="shared" si="16"/>
        <v>3802010.5199999996</v>
      </c>
      <c r="E145" s="62">
        <f t="shared" si="18"/>
        <v>9365885.4800000004</v>
      </c>
      <c r="F145" s="2">
        <f t="shared" si="22"/>
        <v>749270838.15999973</v>
      </c>
      <c r="G145" s="2">
        <f t="shared" si="23"/>
        <v>745468827.63999975</v>
      </c>
      <c r="H145" s="63">
        <f t="shared" si="19"/>
        <v>9365885.4769999962</v>
      </c>
      <c r="I145" s="16">
        <f t="shared" si="20"/>
        <v>-3.0000042170286179E-3</v>
      </c>
    </row>
    <row r="146" spans="1:9" x14ac:dyDescent="0.25">
      <c r="A146" s="36">
        <v>46178</v>
      </c>
      <c r="B146" s="60">
        <f t="shared" si="17"/>
        <v>30</v>
      </c>
      <c r="C146" s="4">
        <f t="shared" si="21"/>
        <v>13167896</v>
      </c>
      <c r="D146" s="2">
        <f t="shared" si="16"/>
        <v>3849535.6500000004</v>
      </c>
      <c r="E146" s="62">
        <f t="shared" si="18"/>
        <v>9318360.3499999996</v>
      </c>
      <c r="F146" s="2">
        <f t="shared" si="22"/>
        <v>745468827.63999975</v>
      </c>
      <c r="G146" s="2">
        <f t="shared" si="23"/>
        <v>741619291.98999977</v>
      </c>
      <c r="H146" s="63">
        <f t="shared" si="19"/>
        <v>9318360.3454999961</v>
      </c>
      <c r="I146" s="16">
        <f t="shared" si="20"/>
        <v>-4.5000035315752029E-3</v>
      </c>
    </row>
    <row r="147" spans="1:9" x14ac:dyDescent="0.25">
      <c r="A147" s="36">
        <v>46208</v>
      </c>
      <c r="B147" s="60">
        <f t="shared" si="17"/>
        <v>30</v>
      </c>
      <c r="C147" s="4">
        <f t="shared" si="21"/>
        <v>13167896</v>
      </c>
      <c r="D147" s="2">
        <f t="shared" si="16"/>
        <v>3897654.8499999996</v>
      </c>
      <c r="E147" s="62">
        <f t="shared" si="18"/>
        <v>9270241.1500000004</v>
      </c>
      <c r="F147" s="2">
        <f t="shared" si="22"/>
        <v>741619291.98999977</v>
      </c>
      <c r="G147" s="2">
        <f t="shared" si="23"/>
        <v>737721637.13999975</v>
      </c>
      <c r="H147" s="63">
        <f t="shared" si="19"/>
        <v>9270241.1498749964</v>
      </c>
      <c r="I147" s="16">
        <f t="shared" si="20"/>
        <v>-1.2500397861003876E-4</v>
      </c>
    </row>
    <row r="148" spans="1:9" x14ac:dyDescent="0.25">
      <c r="A148" s="36">
        <v>46239</v>
      </c>
      <c r="B148" s="60">
        <f t="shared" si="17"/>
        <v>30</v>
      </c>
      <c r="C148" s="4">
        <f t="shared" si="21"/>
        <v>13167896</v>
      </c>
      <c r="D148" s="2">
        <f t="shared" si="16"/>
        <v>3946375.5399999991</v>
      </c>
      <c r="E148" s="62">
        <f t="shared" si="18"/>
        <v>9221520.4600000009</v>
      </c>
      <c r="F148" s="2">
        <f t="shared" si="22"/>
        <v>737721637.13999975</v>
      </c>
      <c r="G148" s="2">
        <f t="shared" si="23"/>
        <v>733775261.59999979</v>
      </c>
      <c r="H148" s="63">
        <f t="shared" si="19"/>
        <v>9221520.4642499983</v>
      </c>
      <c r="I148" s="16">
        <f t="shared" si="20"/>
        <v>4.2499974370002747E-3</v>
      </c>
    </row>
    <row r="149" spans="1:9" x14ac:dyDescent="0.25">
      <c r="A149" s="36">
        <v>46270</v>
      </c>
      <c r="B149" s="60">
        <f t="shared" si="17"/>
        <v>30</v>
      </c>
      <c r="C149" s="4">
        <f t="shared" si="21"/>
        <v>13167896</v>
      </c>
      <c r="D149" s="2">
        <f t="shared" si="16"/>
        <v>3995705.2300000004</v>
      </c>
      <c r="E149" s="62">
        <f t="shared" si="18"/>
        <v>9172190.7699999996</v>
      </c>
      <c r="F149" s="2">
        <f t="shared" si="22"/>
        <v>733775261.59999979</v>
      </c>
      <c r="G149" s="2">
        <f t="shared" si="23"/>
        <v>729779556.36999977</v>
      </c>
      <c r="H149" s="63">
        <f t="shared" si="19"/>
        <v>9172190.7699999977</v>
      </c>
      <c r="I149" s="16">
        <f t="shared" si="20"/>
        <v>0</v>
      </c>
    </row>
    <row r="150" spans="1:9" x14ac:dyDescent="0.25">
      <c r="A150" s="36">
        <v>46300</v>
      </c>
      <c r="B150" s="60">
        <f t="shared" si="17"/>
        <v>30</v>
      </c>
      <c r="C150" s="4">
        <f t="shared" si="21"/>
        <v>13167896</v>
      </c>
      <c r="D150" s="2">
        <f t="shared" si="16"/>
        <v>4045651.5500000007</v>
      </c>
      <c r="E150" s="62">
        <f t="shared" si="18"/>
        <v>9122244.4499999993</v>
      </c>
      <c r="F150" s="2">
        <f t="shared" si="22"/>
        <v>729779556.36999977</v>
      </c>
      <c r="G150" s="2">
        <f t="shared" si="23"/>
        <v>725733904.81999981</v>
      </c>
      <c r="H150" s="63">
        <f t="shared" si="19"/>
        <v>9122244.4546249975</v>
      </c>
      <c r="I150" s="16">
        <f t="shared" si="20"/>
        <v>4.6249981969594955E-3</v>
      </c>
    </row>
    <row r="151" spans="1:9" x14ac:dyDescent="0.25">
      <c r="A151" s="36">
        <v>46331</v>
      </c>
      <c r="B151" s="60">
        <f t="shared" si="17"/>
        <v>30</v>
      </c>
      <c r="C151" s="4">
        <f t="shared" si="21"/>
        <v>13167896</v>
      </c>
      <c r="D151" s="2">
        <f t="shared" si="16"/>
        <v>4096222.1899999995</v>
      </c>
      <c r="E151" s="62">
        <f t="shared" si="18"/>
        <v>9071673.8100000005</v>
      </c>
      <c r="F151" s="2">
        <f t="shared" si="22"/>
        <v>725733904.81999981</v>
      </c>
      <c r="G151" s="2">
        <f t="shared" si="23"/>
        <v>721637682.62999976</v>
      </c>
      <c r="H151" s="63">
        <f t="shared" si="19"/>
        <v>9071673.8102499973</v>
      </c>
      <c r="I151" s="16">
        <f t="shared" si="20"/>
        <v>2.4999678134918213E-4</v>
      </c>
    </row>
    <row r="152" spans="1:9" x14ac:dyDescent="0.25">
      <c r="A152" s="36">
        <v>46361</v>
      </c>
      <c r="B152" s="60">
        <f t="shared" si="17"/>
        <v>30</v>
      </c>
      <c r="C152" s="4">
        <f t="shared" si="21"/>
        <v>13167896</v>
      </c>
      <c r="D152" s="2">
        <f t="shared" si="16"/>
        <v>4147424.9700000007</v>
      </c>
      <c r="E152" s="62">
        <f t="shared" si="18"/>
        <v>9020471.0299999993</v>
      </c>
      <c r="F152" s="2">
        <f t="shared" si="22"/>
        <v>721637682.62999976</v>
      </c>
      <c r="G152" s="2">
        <f t="shared" si="23"/>
        <v>717490257.65999973</v>
      </c>
      <c r="H152" s="63">
        <f t="shared" si="19"/>
        <v>9020471.0328749958</v>
      </c>
      <c r="I152" s="16">
        <f t="shared" si="20"/>
        <v>2.8749965131282806E-3</v>
      </c>
    </row>
    <row r="153" spans="1:9" x14ac:dyDescent="0.25">
      <c r="A153" s="36">
        <v>46392</v>
      </c>
      <c r="B153" s="60">
        <f t="shared" si="17"/>
        <v>30</v>
      </c>
      <c r="C153" s="4">
        <f t="shared" si="21"/>
        <v>13167896</v>
      </c>
      <c r="D153" s="2">
        <f t="shared" si="16"/>
        <v>4199267.7799999993</v>
      </c>
      <c r="E153" s="62">
        <f t="shared" si="18"/>
        <v>8968628.2200000007</v>
      </c>
      <c r="F153" s="2">
        <f t="shared" si="22"/>
        <v>717490257.65999973</v>
      </c>
      <c r="G153" s="2">
        <f t="shared" si="23"/>
        <v>713290989.87999976</v>
      </c>
      <c r="H153" s="63">
        <f t="shared" si="19"/>
        <v>8968628.2207499966</v>
      </c>
      <c r="I153" s="16">
        <f t="shared" si="20"/>
        <v>7.4999593198299408E-4</v>
      </c>
    </row>
    <row r="154" spans="1:9" x14ac:dyDescent="0.25">
      <c r="A154" s="36">
        <v>46423</v>
      </c>
      <c r="B154" s="60">
        <f t="shared" si="17"/>
        <v>30</v>
      </c>
      <c r="C154" s="4">
        <f t="shared" si="21"/>
        <v>13167896</v>
      </c>
      <c r="D154" s="2">
        <f t="shared" si="16"/>
        <v>4251758.6300000008</v>
      </c>
      <c r="E154" s="62">
        <f t="shared" si="18"/>
        <v>8916137.3699999992</v>
      </c>
      <c r="F154" s="2">
        <f t="shared" si="22"/>
        <v>713290989.87999976</v>
      </c>
      <c r="G154" s="2">
        <f t="shared" si="23"/>
        <v>709039231.24999976</v>
      </c>
      <c r="H154" s="63">
        <f t="shared" si="19"/>
        <v>8916137.373499997</v>
      </c>
      <c r="I154" s="16">
        <f t="shared" si="20"/>
        <v>3.4999977797269821E-3</v>
      </c>
    </row>
    <row r="155" spans="1:9" x14ac:dyDescent="0.25">
      <c r="A155" s="36">
        <v>46451</v>
      </c>
      <c r="B155" s="60">
        <f t="shared" si="17"/>
        <v>30</v>
      </c>
      <c r="C155" s="4">
        <f t="shared" si="21"/>
        <v>13167896</v>
      </c>
      <c r="D155" s="2">
        <f t="shared" si="16"/>
        <v>4304905.6099999994</v>
      </c>
      <c r="E155" s="62">
        <f t="shared" si="18"/>
        <v>8862990.3900000006</v>
      </c>
      <c r="F155" s="2">
        <f t="shared" si="22"/>
        <v>709039231.24999976</v>
      </c>
      <c r="G155" s="2">
        <f t="shared" si="23"/>
        <v>704734325.63999975</v>
      </c>
      <c r="H155" s="63">
        <f t="shared" si="19"/>
        <v>8862990.3906249963</v>
      </c>
      <c r="I155" s="16">
        <f t="shared" si="20"/>
        <v>6.2499567866325378E-4</v>
      </c>
    </row>
    <row r="156" spans="1:9" x14ac:dyDescent="0.25">
      <c r="A156" s="36">
        <v>46482</v>
      </c>
      <c r="B156" s="60">
        <f t="shared" si="17"/>
        <v>30</v>
      </c>
      <c r="C156" s="4">
        <f t="shared" si="21"/>
        <v>13167896</v>
      </c>
      <c r="D156" s="2">
        <f t="shared" si="16"/>
        <v>4358716.93</v>
      </c>
      <c r="E156" s="62">
        <f t="shared" si="18"/>
        <v>8809179.0700000003</v>
      </c>
      <c r="F156" s="2">
        <f t="shared" si="22"/>
        <v>704734325.63999975</v>
      </c>
      <c r="G156" s="2">
        <f t="shared" si="23"/>
        <v>700375608.7099998</v>
      </c>
      <c r="H156" s="63">
        <f t="shared" si="19"/>
        <v>8809179.0704999957</v>
      </c>
      <c r="I156" s="16">
        <f t="shared" si="20"/>
        <v>4.9999542534351349E-4</v>
      </c>
    </row>
    <row r="157" spans="1:9" x14ac:dyDescent="0.25">
      <c r="A157" s="36">
        <v>46512</v>
      </c>
      <c r="B157" s="60">
        <f t="shared" si="17"/>
        <v>30</v>
      </c>
      <c r="C157" s="4">
        <f t="shared" si="21"/>
        <v>13167896</v>
      </c>
      <c r="D157" s="2">
        <f t="shared" si="16"/>
        <v>4413200.8900000006</v>
      </c>
      <c r="E157" s="62">
        <f t="shared" si="18"/>
        <v>8754695.1099999994</v>
      </c>
      <c r="F157" s="2">
        <f t="shared" si="22"/>
        <v>700375608.7099998</v>
      </c>
      <c r="G157" s="2">
        <f t="shared" si="23"/>
        <v>695962407.81999981</v>
      </c>
      <c r="H157" s="63">
        <f t="shared" si="19"/>
        <v>8754695.1088749971</v>
      </c>
      <c r="I157" s="16">
        <f t="shared" si="20"/>
        <v>-1.1250022798776627E-3</v>
      </c>
    </row>
    <row r="158" spans="1:9" x14ac:dyDescent="0.25">
      <c r="A158" s="36">
        <v>46543</v>
      </c>
      <c r="B158" s="60">
        <f t="shared" si="17"/>
        <v>30</v>
      </c>
      <c r="C158" s="4">
        <f t="shared" si="21"/>
        <v>13167896</v>
      </c>
      <c r="D158" s="2">
        <f t="shared" si="16"/>
        <v>4468365.9000000004</v>
      </c>
      <c r="E158" s="62">
        <f t="shared" si="18"/>
        <v>8699530.0999999996</v>
      </c>
      <c r="F158" s="2">
        <f t="shared" si="22"/>
        <v>695962407.81999981</v>
      </c>
      <c r="G158" s="2">
        <f t="shared" si="23"/>
        <v>691494041.91999984</v>
      </c>
      <c r="H158" s="63">
        <f t="shared" si="19"/>
        <v>8699530.0977499969</v>
      </c>
      <c r="I158" s="16">
        <f t="shared" si="20"/>
        <v>-2.2500026971101761E-3</v>
      </c>
    </row>
    <row r="159" spans="1:9" x14ac:dyDescent="0.25">
      <c r="A159" s="36">
        <v>46573</v>
      </c>
      <c r="B159" s="60">
        <f t="shared" si="17"/>
        <v>30</v>
      </c>
      <c r="C159" s="4">
        <f t="shared" si="21"/>
        <v>13167896</v>
      </c>
      <c r="D159" s="2">
        <f t="shared" si="16"/>
        <v>4524220.4800000004</v>
      </c>
      <c r="E159" s="62">
        <f t="shared" si="18"/>
        <v>8643675.5199999996</v>
      </c>
      <c r="F159" s="2">
        <f t="shared" si="22"/>
        <v>691494041.91999984</v>
      </c>
      <c r="G159" s="2">
        <f t="shared" si="23"/>
        <v>686969821.43999982</v>
      </c>
      <c r="H159" s="63">
        <f t="shared" si="19"/>
        <v>8643675.5239999983</v>
      </c>
      <c r="I159" s="16">
        <f t="shared" si="20"/>
        <v>3.9999987930059433E-3</v>
      </c>
    </row>
    <row r="160" spans="1:9" x14ac:dyDescent="0.25">
      <c r="A160" s="36">
        <v>46604</v>
      </c>
      <c r="B160" s="60">
        <f t="shared" si="17"/>
        <v>30</v>
      </c>
      <c r="C160" s="4">
        <f t="shared" si="21"/>
        <v>13167896</v>
      </c>
      <c r="D160" s="2">
        <f t="shared" si="16"/>
        <v>4580773.2300000004</v>
      </c>
      <c r="E160" s="62">
        <f t="shared" si="18"/>
        <v>8587122.7699999996</v>
      </c>
      <c r="F160" s="2">
        <f t="shared" si="22"/>
        <v>686969821.43999982</v>
      </c>
      <c r="G160" s="2">
        <f t="shared" si="23"/>
        <v>682389048.2099998</v>
      </c>
      <c r="H160" s="63">
        <f t="shared" si="19"/>
        <v>8587122.7679999974</v>
      </c>
      <c r="I160" s="16">
        <f t="shared" si="20"/>
        <v>-2.0000021904706955E-3</v>
      </c>
    </row>
    <row r="161" spans="1:9" x14ac:dyDescent="0.25">
      <c r="A161" s="36">
        <v>46635</v>
      </c>
      <c r="B161" s="60">
        <f t="shared" si="17"/>
        <v>30</v>
      </c>
      <c r="C161" s="4">
        <f t="shared" si="21"/>
        <v>13167896</v>
      </c>
      <c r="D161" s="2">
        <f t="shared" si="16"/>
        <v>4638032.9000000004</v>
      </c>
      <c r="E161" s="62">
        <f t="shared" si="18"/>
        <v>8529863.0999999996</v>
      </c>
      <c r="F161" s="2">
        <f t="shared" si="22"/>
        <v>682389048.2099998</v>
      </c>
      <c r="G161" s="2">
        <f t="shared" si="23"/>
        <v>677751015.30999982</v>
      </c>
      <c r="H161" s="63">
        <f t="shared" si="19"/>
        <v>8529863.1026249975</v>
      </c>
      <c r="I161" s="16">
        <f t="shared" si="20"/>
        <v>2.6249978691339493E-3</v>
      </c>
    </row>
    <row r="162" spans="1:9" x14ac:dyDescent="0.25">
      <c r="A162" s="36">
        <v>46665</v>
      </c>
      <c r="B162" s="60">
        <f t="shared" si="17"/>
        <v>30</v>
      </c>
      <c r="C162" s="4">
        <f t="shared" si="21"/>
        <v>13167896</v>
      </c>
      <c r="D162" s="2">
        <f t="shared" si="16"/>
        <v>4696008.3100000005</v>
      </c>
      <c r="E162" s="62">
        <f t="shared" si="18"/>
        <v>8471887.6899999995</v>
      </c>
      <c r="F162" s="2">
        <f t="shared" si="22"/>
        <v>677751015.30999982</v>
      </c>
      <c r="G162" s="2">
        <f t="shared" si="23"/>
        <v>673055006.99999988</v>
      </c>
      <c r="H162" s="63">
        <f t="shared" si="19"/>
        <v>8471887.6913749967</v>
      </c>
      <c r="I162" s="16">
        <f t="shared" si="20"/>
        <v>1.3749971985816956E-3</v>
      </c>
    </row>
    <row r="163" spans="1:9" x14ac:dyDescent="0.25">
      <c r="A163" s="36">
        <v>46696</v>
      </c>
      <c r="B163" s="60">
        <f t="shared" si="17"/>
        <v>30</v>
      </c>
      <c r="C163" s="4">
        <f t="shared" si="21"/>
        <v>13167896</v>
      </c>
      <c r="D163" s="2">
        <f t="shared" si="16"/>
        <v>4754708.41</v>
      </c>
      <c r="E163" s="62">
        <f t="shared" si="18"/>
        <v>8413187.5899999999</v>
      </c>
      <c r="F163" s="2">
        <f t="shared" si="22"/>
        <v>673055006.99999988</v>
      </c>
      <c r="G163" s="2">
        <f t="shared" si="23"/>
        <v>668300298.58999991</v>
      </c>
      <c r="H163" s="63">
        <f t="shared" si="19"/>
        <v>8413187.5874999985</v>
      </c>
      <c r="I163" s="16">
        <f t="shared" si="20"/>
        <v>-2.5000013411045074E-3</v>
      </c>
    </row>
    <row r="164" spans="1:9" x14ac:dyDescent="0.25">
      <c r="A164" s="36">
        <v>46726</v>
      </c>
      <c r="B164" s="60">
        <f t="shared" si="17"/>
        <v>30</v>
      </c>
      <c r="C164" s="4">
        <f t="shared" si="21"/>
        <v>13167896</v>
      </c>
      <c r="D164" s="2">
        <f t="shared" si="16"/>
        <v>4814142.2699999996</v>
      </c>
      <c r="E164" s="62">
        <f t="shared" si="18"/>
        <v>8353753.7300000004</v>
      </c>
      <c r="F164" s="2">
        <f t="shared" si="22"/>
        <v>668300298.58999991</v>
      </c>
      <c r="G164" s="2">
        <f t="shared" si="23"/>
        <v>663486156.31999993</v>
      </c>
      <c r="H164" s="63">
        <f t="shared" si="19"/>
        <v>8353753.7323749978</v>
      </c>
      <c r="I164" s="16">
        <f t="shared" si="20"/>
        <v>2.3749973624944687E-3</v>
      </c>
    </row>
    <row r="165" spans="1:9" x14ac:dyDescent="0.25">
      <c r="A165" s="36">
        <v>46757</v>
      </c>
      <c r="B165" s="60">
        <f t="shared" si="17"/>
        <v>30</v>
      </c>
      <c r="C165" s="4">
        <f t="shared" si="21"/>
        <v>13167896</v>
      </c>
      <c r="D165" s="2">
        <f t="shared" si="16"/>
        <v>4874319.05</v>
      </c>
      <c r="E165" s="62">
        <f t="shared" si="18"/>
        <v>8293576.9500000002</v>
      </c>
      <c r="F165" s="2">
        <f t="shared" si="22"/>
        <v>663486156.31999993</v>
      </c>
      <c r="G165" s="2">
        <f t="shared" si="23"/>
        <v>658611837.26999998</v>
      </c>
      <c r="H165" s="63">
        <f t="shared" si="19"/>
        <v>8293576.953999999</v>
      </c>
      <c r="I165" s="16">
        <f t="shared" si="20"/>
        <v>3.9999987930059433E-3</v>
      </c>
    </row>
    <row r="166" spans="1:9" x14ac:dyDescent="0.25">
      <c r="A166" s="36">
        <v>46788</v>
      </c>
      <c r="B166" s="60">
        <f t="shared" si="17"/>
        <v>30</v>
      </c>
      <c r="C166" s="4">
        <f t="shared" si="21"/>
        <v>13167896</v>
      </c>
      <c r="D166" s="2">
        <f t="shared" si="16"/>
        <v>4935248.03</v>
      </c>
      <c r="E166" s="62">
        <f t="shared" si="18"/>
        <v>8232647.9699999997</v>
      </c>
      <c r="F166" s="2">
        <f t="shared" si="22"/>
        <v>658611837.26999998</v>
      </c>
      <c r="G166" s="2">
        <f t="shared" si="23"/>
        <v>653676589.24000001</v>
      </c>
      <c r="H166" s="63">
        <f t="shared" si="19"/>
        <v>8232647.9658750007</v>
      </c>
      <c r="I166" s="16">
        <f t="shared" si="20"/>
        <v>-4.1249990463256836E-3</v>
      </c>
    </row>
    <row r="167" spans="1:9" x14ac:dyDescent="0.25">
      <c r="A167" s="36">
        <v>46817</v>
      </c>
      <c r="B167" s="60">
        <f t="shared" si="17"/>
        <v>30</v>
      </c>
      <c r="C167" s="4">
        <f t="shared" si="21"/>
        <v>13167896</v>
      </c>
      <c r="D167" s="2">
        <f t="shared" si="16"/>
        <v>4996938.63</v>
      </c>
      <c r="E167" s="62">
        <f t="shared" si="18"/>
        <v>8170957.3700000001</v>
      </c>
      <c r="F167" s="2">
        <f t="shared" si="22"/>
        <v>653676589.24000001</v>
      </c>
      <c r="G167" s="2">
        <f t="shared" si="23"/>
        <v>648679650.61000001</v>
      </c>
      <c r="H167" s="63">
        <f t="shared" si="19"/>
        <v>8170957.3654999994</v>
      </c>
      <c r="I167" s="16">
        <f t="shared" si="20"/>
        <v>-4.5000007376074791E-3</v>
      </c>
    </row>
    <row r="168" spans="1:9" x14ac:dyDescent="0.25">
      <c r="A168" s="36">
        <v>46848</v>
      </c>
      <c r="B168" s="60">
        <f t="shared" si="17"/>
        <v>30</v>
      </c>
      <c r="C168" s="4">
        <f t="shared" si="21"/>
        <v>13167896</v>
      </c>
      <c r="D168" s="2">
        <f t="shared" si="16"/>
        <v>5059400.37</v>
      </c>
      <c r="E168" s="62">
        <f t="shared" si="18"/>
        <v>8108495.6299999999</v>
      </c>
      <c r="F168" s="2">
        <f t="shared" si="22"/>
        <v>648679650.61000001</v>
      </c>
      <c r="G168" s="2">
        <f t="shared" si="23"/>
        <v>643620250.24000001</v>
      </c>
      <c r="H168" s="63">
        <f t="shared" si="19"/>
        <v>8108495.6326249996</v>
      </c>
      <c r="I168" s="16">
        <f t="shared" si="20"/>
        <v>2.6249997317790985E-3</v>
      </c>
    </row>
    <row r="169" spans="1:9" x14ac:dyDescent="0.25">
      <c r="A169" s="36">
        <v>46878</v>
      </c>
      <c r="B169" s="60">
        <f t="shared" si="17"/>
        <v>30</v>
      </c>
      <c r="C169" s="4">
        <f t="shared" si="21"/>
        <v>13167896</v>
      </c>
      <c r="D169" s="2">
        <f t="shared" si="16"/>
        <v>5122642.87</v>
      </c>
      <c r="E169" s="62">
        <f t="shared" si="18"/>
        <v>8045253.1299999999</v>
      </c>
      <c r="F169" s="2">
        <f t="shared" si="22"/>
        <v>643620250.24000001</v>
      </c>
      <c r="G169" s="2">
        <f t="shared" si="23"/>
        <v>638497607.37</v>
      </c>
      <c r="H169" s="63">
        <f t="shared" si="19"/>
        <v>8045253.1279999996</v>
      </c>
      <c r="I169" s="16">
        <f t="shared" si="20"/>
        <v>-2.0000003278255463E-3</v>
      </c>
    </row>
    <row r="170" spans="1:9" x14ac:dyDescent="0.25">
      <c r="A170" s="36">
        <v>46909</v>
      </c>
      <c r="B170" s="60">
        <f t="shared" si="17"/>
        <v>30</v>
      </c>
      <c r="C170" s="4">
        <f t="shared" si="21"/>
        <v>13167896</v>
      </c>
      <c r="D170" s="2">
        <f t="shared" si="16"/>
        <v>5186675.91</v>
      </c>
      <c r="E170" s="62">
        <f t="shared" si="18"/>
        <v>7981220.0899999999</v>
      </c>
      <c r="F170" s="2">
        <f t="shared" si="22"/>
        <v>638497607.37</v>
      </c>
      <c r="G170" s="2">
        <f t="shared" si="23"/>
        <v>633310931.46000004</v>
      </c>
      <c r="H170" s="63">
        <f t="shared" si="19"/>
        <v>7981220.0921249995</v>
      </c>
      <c r="I170" s="16">
        <f t="shared" si="20"/>
        <v>2.1249996498227119E-3</v>
      </c>
    </row>
    <row r="171" spans="1:9" x14ac:dyDescent="0.25">
      <c r="A171" s="36">
        <v>46939</v>
      </c>
      <c r="B171" s="60">
        <f t="shared" si="17"/>
        <v>30</v>
      </c>
      <c r="C171" s="4">
        <f t="shared" si="21"/>
        <v>13167896</v>
      </c>
      <c r="D171" s="2">
        <f t="shared" si="16"/>
        <v>5251509.3600000003</v>
      </c>
      <c r="E171" s="62">
        <f t="shared" si="18"/>
        <v>7916386.6399999997</v>
      </c>
      <c r="F171" s="2">
        <f t="shared" si="22"/>
        <v>633310931.46000004</v>
      </c>
      <c r="G171" s="2">
        <f t="shared" si="23"/>
        <v>628059422.10000002</v>
      </c>
      <c r="H171" s="63">
        <f t="shared" si="19"/>
        <v>7916386.6432499988</v>
      </c>
      <c r="I171" s="16">
        <f t="shared" si="20"/>
        <v>3.2499991357326508E-3</v>
      </c>
    </row>
    <row r="172" spans="1:9" x14ac:dyDescent="0.25">
      <c r="A172" s="36">
        <v>46970</v>
      </c>
      <c r="B172" s="60">
        <f t="shared" si="17"/>
        <v>30</v>
      </c>
      <c r="C172" s="4">
        <f t="shared" si="21"/>
        <v>13167896</v>
      </c>
      <c r="D172" s="2">
        <f t="shared" si="16"/>
        <v>5317153.22</v>
      </c>
      <c r="E172" s="62">
        <f t="shared" si="18"/>
        <v>7850742.7800000003</v>
      </c>
      <c r="F172" s="2">
        <f t="shared" si="22"/>
        <v>628059422.10000002</v>
      </c>
      <c r="G172" s="2">
        <f t="shared" si="23"/>
        <v>622742268.88</v>
      </c>
      <c r="H172" s="63">
        <f t="shared" si="19"/>
        <v>7850742.7762499992</v>
      </c>
      <c r="I172" s="16">
        <f t="shared" si="20"/>
        <v>-3.7500010803341866E-3</v>
      </c>
    </row>
    <row r="173" spans="1:9" x14ac:dyDescent="0.25">
      <c r="A173" s="36">
        <v>47001</v>
      </c>
      <c r="B173" s="60">
        <f t="shared" si="17"/>
        <v>30</v>
      </c>
      <c r="C173" s="4">
        <f t="shared" si="21"/>
        <v>13167896</v>
      </c>
      <c r="D173" s="2">
        <f t="shared" si="16"/>
        <v>5383617.6399999997</v>
      </c>
      <c r="E173" s="62">
        <f t="shared" si="18"/>
        <v>7784278.3600000003</v>
      </c>
      <c r="F173" s="2">
        <f t="shared" si="22"/>
        <v>622742268.88</v>
      </c>
      <c r="G173" s="2">
        <f t="shared" si="23"/>
        <v>617358651.24000001</v>
      </c>
      <c r="H173" s="63">
        <f t="shared" si="19"/>
        <v>7784278.3610000005</v>
      </c>
      <c r="I173" s="16">
        <f t="shared" si="20"/>
        <v>1.0000001639127731E-3</v>
      </c>
    </row>
    <row r="174" spans="1:9" x14ac:dyDescent="0.25">
      <c r="A174" s="36">
        <v>47031</v>
      </c>
      <c r="B174" s="60">
        <f t="shared" si="17"/>
        <v>30</v>
      </c>
      <c r="C174" s="4">
        <f t="shared" si="21"/>
        <v>13167896</v>
      </c>
      <c r="D174" s="2">
        <f t="shared" si="16"/>
        <v>5450912.8600000003</v>
      </c>
      <c r="E174" s="62">
        <f t="shared" si="18"/>
        <v>7716983.1399999997</v>
      </c>
      <c r="F174" s="2">
        <f t="shared" si="22"/>
        <v>617358651.24000001</v>
      </c>
      <c r="G174" s="2">
        <f t="shared" si="23"/>
        <v>611907738.38</v>
      </c>
      <c r="H174" s="63">
        <f t="shared" si="19"/>
        <v>7716983.1404999997</v>
      </c>
      <c r="I174" s="16">
        <f t="shared" si="20"/>
        <v>5.0000008195638657E-4</v>
      </c>
    </row>
    <row r="175" spans="1:9" x14ac:dyDescent="0.25">
      <c r="A175" s="36">
        <v>47062</v>
      </c>
      <c r="B175" s="60">
        <f t="shared" si="17"/>
        <v>30</v>
      </c>
      <c r="C175" s="4">
        <f t="shared" si="21"/>
        <v>13167896</v>
      </c>
      <c r="D175" s="2">
        <f t="shared" si="16"/>
        <v>5519049.2699999996</v>
      </c>
      <c r="E175" s="62">
        <f t="shared" si="18"/>
        <v>7648846.7300000004</v>
      </c>
      <c r="F175" s="2">
        <f t="shared" si="22"/>
        <v>611907738.38</v>
      </c>
      <c r="G175" s="2">
        <f t="shared" si="23"/>
        <v>606388689.11000001</v>
      </c>
      <c r="H175" s="63">
        <f t="shared" si="19"/>
        <v>7648846.7297499999</v>
      </c>
      <c r="I175" s="16">
        <f t="shared" si="20"/>
        <v>-2.5000050663948059E-4</v>
      </c>
    </row>
    <row r="176" spans="1:9" x14ac:dyDescent="0.25">
      <c r="A176" s="36">
        <v>47092</v>
      </c>
      <c r="B176" s="60">
        <f t="shared" si="17"/>
        <v>30</v>
      </c>
      <c r="C176" s="4">
        <f t="shared" si="21"/>
        <v>13167896</v>
      </c>
      <c r="D176" s="2">
        <f t="shared" si="16"/>
        <v>5588037.3899999997</v>
      </c>
      <c r="E176" s="62">
        <f t="shared" si="18"/>
        <v>7579858.6100000003</v>
      </c>
      <c r="F176" s="2">
        <f t="shared" si="22"/>
        <v>606388689.11000001</v>
      </c>
      <c r="G176" s="2">
        <f t="shared" si="23"/>
        <v>600800651.72000003</v>
      </c>
      <c r="H176" s="63">
        <f t="shared" si="19"/>
        <v>7579858.6138750007</v>
      </c>
      <c r="I176" s="16">
        <f t="shared" si="20"/>
        <v>3.8750004023313522E-3</v>
      </c>
    </row>
    <row r="177" spans="1:9" x14ac:dyDescent="0.25">
      <c r="A177" s="36">
        <v>47123</v>
      </c>
      <c r="B177" s="60">
        <f t="shared" si="17"/>
        <v>30</v>
      </c>
      <c r="C177" s="4">
        <f t="shared" si="21"/>
        <v>13167896</v>
      </c>
      <c r="D177" s="2">
        <f t="shared" si="16"/>
        <v>5657887.8499999996</v>
      </c>
      <c r="E177" s="62">
        <f t="shared" si="18"/>
        <v>7510008.1500000004</v>
      </c>
      <c r="F177" s="2">
        <f t="shared" si="22"/>
        <v>600800651.72000003</v>
      </c>
      <c r="G177" s="2">
        <f t="shared" si="23"/>
        <v>595142763.87</v>
      </c>
      <c r="H177" s="63">
        <f t="shared" si="19"/>
        <v>7510008.1465000007</v>
      </c>
      <c r="I177" s="16">
        <f t="shared" si="20"/>
        <v>-3.4999996423721313E-3</v>
      </c>
    </row>
    <row r="178" spans="1:9" x14ac:dyDescent="0.25">
      <c r="A178" s="36">
        <v>47154</v>
      </c>
      <c r="B178" s="60">
        <f t="shared" si="17"/>
        <v>30</v>
      </c>
      <c r="C178" s="4">
        <f t="shared" si="21"/>
        <v>13167896</v>
      </c>
      <c r="D178" s="2">
        <f t="shared" si="16"/>
        <v>5728611.4500000002</v>
      </c>
      <c r="E178" s="62">
        <f t="shared" si="18"/>
        <v>7439284.5499999998</v>
      </c>
      <c r="F178" s="2">
        <f t="shared" si="22"/>
        <v>595142763.87</v>
      </c>
      <c r="G178" s="2">
        <f t="shared" si="23"/>
        <v>589414152.41999996</v>
      </c>
      <c r="H178" s="63">
        <f t="shared" si="19"/>
        <v>7439284.5483750002</v>
      </c>
      <c r="I178" s="16">
        <f t="shared" si="20"/>
        <v>-1.6249995678663254E-3</v>
      </c>
    </row>
    <row r="179" spans="1:9" x14ac:dyDescent="0.25">
      <c r="A179" s="36">
        <v>47182</v>
      </c>
      <c r="B179" s="60">
        <f t="shared" si="17"/>
        <v>30</v>
      </c>
      <c r="C179" s="4">
        <f t="shared" si="21"/>
        <v>13167896</v>
      </c>
      <c r="D179" s="2">
        <f t="shared" si="16"/>
        <v>5800219.0899999999</v>
      </c>
      <c r="E179" s="62">
        <f t="shared" si="18"/>
        <v>7367676.9100000001</v>
      </c>
      <c r="F179" s="2">
        <f t="shared" si="22"/>
        <v>589414152.41999996</v>
      </c>
      <c r="G179" s="2">
        <f t="shared" si="23"/>
        <v>583613933.32999992</v>
      </c>
      <c r="H179" s="63">
        <f t="shared" si="19"/>
        <v>7367676.9052499998</v>
      </c>
      <c r="I179" s="16">
        <f t="shared" si="20"/>
        <v>-4.7500003129243851E-3</v>
      </c>
    </row>
    <row r="180" spans="1:9" x14ac:dyDescent="0.25">
      <c r="A180" s="36">
        <v>47213</v>
      </c>
      <c r="B180" s="60">
        <f t="shared" si="17"/>
        <v>30</v>
      </c>
      <c r="C180" s="4">
        <f t="shared" si="21"/>
        <v>13167896</v>
      </c>
      <c r="D180" s="2">
        <f t="shared" si="16"/>
        <v>5872721.8300000001</v>
      </c>
      <c r="E180" s="62">
        <f t="shared" si="18"/>
        <v>7295174.1699999999</v>
      </c>
      <c r="F180" s="2">
        <f t="shared" si="22"/>
        <v>583613933.32999992</v>
      </c>
      <c r="G180" s="2">
        <f t="shared" si="23"/>
        <v>577741211.49999988</v>
      </c>
      <c r="H180" s="63">
        <f t="shared" si="19"/>
        <v>7295174.1666249987</v>
      </c>
      <c r="I180" s="16">
        <f t="shared" si="20"/>
        <v>-3.3750012516975403E-3</v>
      </c>
    </row>
    <row r="181" spans="1:9" x14ac:dyDescent="0.25">
      <c r="A181" s="36">
        <v>47243</v>
      </c>
      <c r="B181" s="60">
        <f t="shared" si="17"/>
        <v>30</v>
      </c>
      <c r="C181" s="4">
        <f t="shared" si="21"/>
        <v>13167896</v>
      </c>
      <c r="D181" s="2">
        <f t="shared" si="16"/>
        <v>5946130.8600000003</v>
      </c>
      <c r="E181" s="62">
        <f t="shared" si="18"/>
        <v>7221765.1399999997</v>
      </c>
      <c r="F181" s="2">
        <f t="shared" si="22"/>
        <v>577741211.49999988</v>
      </c>
      <c r="G181" s="2">
        <f t="shared" si="23"/>
        <v>571795080.63999987</v>
      </c>
      <c r="H181" s="63">
        <f t="shared" si="19"/>
        <v>7221765.1437499989</v>
      </c>
      <c r="I181" s="16">
        <f t="shared" si="20"/>
        <v>3.7499992176890373E-3</v>
      </c>
    </row>
    <row r="182" spans="1:9" x14ac:dyDescent="0.25">
      <c r="A182" s="36">
        <v>47274</v>
      </c>
      <c r="B182" s="60">
        <f t="shared" si="17"/>
        <v>30</v>
      </c>
      <c r="C182" s="4">
        <f t="shared" si="21"/>
        <v>13167896</v>
      </c>
      <c r="D182" s="2">
        <f t="shared" si="16"/>
        <v>6020457.4900000002</v>
      </c>
      <c r="E182" s="62">
        <f t="shared" si="18"/>
        <v>7147438.5099999998</v>
      </c>
      <c r="F182" s="2">
        <f t="shared" si="22"/>
        <v>571795080.63999987</v>
      </c>
      <c r="G182" s="2">
        <f t="shared" si="23"/>
        <v>565774623.14999986</v>
      </c>
      <c r="H182" s="63">
        <f t="shared" si="19"/>
        <v>7147438.5079999976</v>
      </c>
      <c r="I182" s="16">
        <f t="shared" si="20"/>
        <v>-2.0000021904706955E-3</v>
      </c>
    </row>
    <row r="183" spans="1:9" x14ac:dyDescent="0.25">
      <c r="A183" s="36">
        <v>47304</v>
      </c>
      <c r="B183" s="60">
        <f t="shared" si="17"/>
        <v>30</v>
      </c>
      <c r="C183" s="4">
        <f t="shared" si="21"/>
        <v>13167896</v>
      </c>
      <c r="D183" s="2">
        <f t="shared" si="16"/>
        <v>6095713.21</v>
      </c>
      <c r="E183" s="62">
        <f t="shared" si="18"/>
        <v>7072182.79</v>
      </c>
      <c r="F183" s="2">
        <f t="shared" si="22"/>
        <v>565774623.14999986</v>
      </c>
      <c r="G183" s="2">
        <f t="shared" si="23"/>
        <v>559678909.93999982</v>
      </c>
      <c r="H183" s="63">
        <f t="shared" si="19"/>
        <v>7072182.7893749978</v>
      </c>
      <c r="I183" s="16">
        <f t="shared" si="20"/>
        <v>-6.2500219792127609E-4</v>
      </c>
    </row>
    <row r="184" spans="1:9" x14ac:dyDescent="0.25">
      <c r="A184" s="36">
        <v>47335</v>
      </c>
      <c r="B184" s="60">
        <f t="shared" si="17"/>
        <v>30</v>
      </c>
      <c r="C184" s="4">
        <f t="shared" si="21"/>
        <v>13167896</v>
      </c>
      <c r="D184" s="2">
        <f t="shared" si="16"/>
        <v>6171909.6299999999</v>
      </c>
      <c r="E184" s="62">
        <f t="shared" si="18"/>
        <v>6995986.3700000001</v>
      </c>
      <c r="F184" s="2">
        <f t="shared" si="22"/>
        <v>559678909.93999982</v>
      </c>
      <c r="G184" s="2">
        <f t="shared" si="23"/>
        <v>553507000.30999982</v>
      </c>
      <c r="H184" s="63">
        <f t="shared" si="19"/>
        <v>6995986.3742499975</v>
      </c>
      <c r="I184" s="16">
        <f t="shared" si="20"/>
        <v>4.2499974370002747E-3</v>
      </c>
    </row>
    <row r="185" spans="1:9" x14ac:dyDescent="0.25">
      <c r="A185" s="36">
        <v>47366</v>
      </c>
      <c r="B185" s="60">
        <f t="shared" si="17"/>
        <v>30</v>
      </c>
      <c r="C185" s="4">
        <f t="shared" si="21"/>
        <v>13167896</v>
      </c>
      <c r="D185" s="2">
        <f t="shared" si="16"/>
        <v>6249058.5</v>
      </c>
      <c r="E185" s="62">
        <f t="shared" si="18"/>
        <v>6918837.5</v>
      </c>
      <c r="F185" s="2">
        <f t="shared" si="22"/>
        <v>553507000.30999982</v>
      </c>
      <c r="G185" s="2">
        <f t="shared" si="23"/>
        <v>547257941.80999982</v>
      </c>
      <c r="H185" s="63">
        <f t="shared" si="19"/>
        <v>6918837.5038749976</v>
      </c>
      <c r="I185" s="16">
        <f t="shared" si="20"/>
        <v>3.8749976083636284E-3</v>
      </c>
    </row>
    <row r="186" spans="1:9" x14ac:dyDescent="0.25">
      <c r="A186" s="36">
        <v>47396</v>
      </c>
      <c r="B186" s="60">
        <f t="shared" si="17"/>
        <v>30</v>
      </c>
      <c r="C186" s="4">
        <f t="shared" si="21"/>
        <v>13167896</v>
      </c>
      <c r="D186" s="2">
        <f t="shared" si="16"/>
        <v>6327171.7300000004</v>
      </c>
      <c r="E186" s="62">
        <f t="shared" si="18"/>
        <v>6840724.2699999996</v>
      </c>
      <c r="F186" s="2">
        <f t="shared" si="22"/>
        <v>547257941.80999982</v>
      </c>
      <c r="G186" s="2">
        <f t="shared" si="23"/>
        <v>540930770.0799998</v>
      </c>
      <c r="H186" s="63">
        <f t="shared" si="19"/>
        <v>6840724.2726249984</v>
      </c>
      <c r="I186" s="16">
        <f t="shared" si="20"/>
        <v>2.6249988004565239E-3</v>
      </c>
    </row>
    <row r="187" spans="1:9" x14ac:dyDescent="0.25">
      <c r="A187" s="36">
        <v>47427</v>
      </c>
      <c r="B187" s="60">
        <f t="shared" si="17"/>
        <v>30</v>
      </c>
      <c r="C187" s="4">
        <f t="shared" si="21"/>
        <v>13167896</v>
      </c>
      <c r="D187" s="2">
        <f t="shared" si="16"/>
        <v>6406261.3700000001</v>
      </c>
      <c r="E187" s="62">
        <f t="shared" si="18"/>
        <v>6761634.6299999999</v>
      </c>
      <c r="F187" s="2">
        <f t="shared" si="22"/>
        <v>540930770.0799998</v>
      </c>
      <c r="G187" s="2">
        <f t="shared" si="23"/>
        <v>534524508.7099998</v>
      </c>
      <c r="H187" s="63">
        <f t="shared" si="19"/>
        <v>6761634.6259999964</v>
      </c>
      <c r="I187" s="16">
        <f t="shared" si="20"/>
        <v>-4.0000034496188164E-3</v>
      </c>
    </row>
    <row r="188" spans="1:9" x14ac:dyDescent="0.25">
      <c r="A188" s="36">
        <v>47457</v>
      </c>
      <c r="B188" s="60">
        <f t="shared" si="17"/>
        <v>30</v>
      </c>
      <c r="C188" s="4">
        <f t="shared" si="21"/>
        <v>13167896</v>
      </c>
      <c r="D188" s="2">
        <f t="shared" si="16"/>
        <v>6486339.6399999997</v>
      </c>
      <c r="E188" s="62">
        <f t="shared" si="18"/>
        <v>6681556.3600000003</v>
      </c>
      <c r="F188" s="2">
        <f t="shared" si="22"/>
        <v>534524508.7099998</v>
      </c>
      <c r="G188" s="2">
        <f t="shared" si="23"/>
        <v>528038169.06999981</v>
      </c>
      <c r="H188" s="63">
        <f t="shared" si="19"/>
        <v>6681556.3588749981</v>
      </c>
      <c r="I188" s="16">
        <f t="shared" si="20"/>
        <v>-1.1250022798776627E-3</v>
      </c>
    </row>
    <row r="189" spans="1:9" x14ac:dyDescent="0.25">
      <c r="A189" s="36">
        <v>47488</v>
      </c>
      <c r="B189" s="60">
        <f t="shared" si="17"/>
        <v>30</v>
      </c>
      <c r="C189" s="4">
        <f t="shared" si="21"/>
        <v>13167896</v>
      </c>
      <c r="D189" s="2">
        <f t="shared" si="16"/>
        <v>6567418.8899999997</v>
      </c>
      <c r="E189" s="62">
        <f t="shared" si="18"/>
        <v>6600477.1100000003</v>
      </c>
      <c r="F189" s="2">
        <f t="shared" si="22"/>
        <v>528038169.06999981</v>
      </c>
      <c r="G189" s="2">
        <f t="shared" si="23"/>
        <v>521470750.17999983</v>
      </c>
      <c r="H189" s="63">
        <f t="shared" si="19"/>
        <v>6600477.1133749979</v>
      </c>
      <c r="I189" s="16">
        <f t="shared" si="20"/>
        <v>3.3749975264072418E-3</v>
      </c>
    </row>
    <row r="190" spans="1:9" x14ac:dyDescent="0.25">
      <c r="A190" s="36">
        <v>47519</v>
      </c>
      <c r="B190" s="60">
        <f t="shared" si="17"/>
        <v>30</v>
      </c>
      <c r="C190" s="4">
        <f t="shared" si="21"/>
        <v>13167896</v>
      </c>
      <c r="D190" s="2">
        <f t="shared" si="16"/>
        <v>6649511.6200000001</v>
      </c>
      <c r="E190" s="62">
        <f t="shared" si="18"/>
        <v>6518384.3799999999</v>
      </c>
      <c r="F190" s="2">
        <f t="shared" si="22"/>
        <v>521470750.17999983</v>
      </c>
      <c r="G190" s="2">
        <f t="shared" si="23"/>
        <v>514821238.55999982</v>
      </c>
      <c r="H190" s="63">
        <f t="shared" si="19"/>
        <v>6518384.3772499971</v>
      </c>
      <c r="I190" s="16">
        <f t="shared" si="20"/>
        <v>-2.7500027790665627E-3</v>
      </c>
    </row>
    <row r="191" spans="1:9" x14ac:dyDescent="0.25">
      <c r="A191" s="36">
        <v>47547</v>
      </c>
      <c r="B191" s="60">
        <f t="shared" si="17"/>
        <v>30</v>
      </c>
      <c r="C191" s="4">
        <f t="shared" si="21"/>
        <v>13167896</v>
      </c>
      <c r="D191" s="2">
        <f t="shared" si="16"/>
        <v>6732630.5199999996</v>
      </c>
      <c r="E191" s="62">
        <f t="shared" si="18"/>
        <v>6435265.4800000004</v>
      </c>
      <c r="F191" s="2">
        <f t="shared" si="22"/>
        <v>514821238.55999982</v>
      </c>
      <c r="G191" s="2">
        <f t="shared" si="23"/>
        <v>508088608.03999984</v>
      </c>
      <c r="H191" s="63">
        <f t="shared" si="19"/>
        <v>6435265.481999997</v>
      </c>
      <c r="I191" s="16">
        <f t="shared" si="20"/>
        <v>1.9999966025352478E-3</v>
      </c>
    </row>
    <row r="192" spans="1:9" x14ac:dyDescent="0.25">
      <c r="A192" s="36">
        <v>47578</v>
      </c>
      <c r="B192" s="60">
        <f t="shared" si="17"/>
        <v>30</v>
      </c>
      <c r="C192" s="4">
        <f t="shared" si="21"/>
        <v>13167896</v>
      </c>
      <c r="D192" s="2">
        <f t="shared" si="16"/>
        <v>6816788.4000000004</v>
      </c>
      <c r="E192" s="62">
        <f t="shared" si="18"/>
        <v>6351107.5999999996</v>
      </c>
      <c r="F192" s="2">
        <f t="shared" si="22"/>
        <v>508088608.03999984</v>
      </c>
      <c r="G192" s="2">
        <f t="shared" si="23"/>
        <v>501271819.63999987</v>
      </c>
      <c r="H192" s="63">
        <f t="shared" si="19"/>
        <v>6351107.6004999978</v>
      </c>
      <c r="I192" s="16">
        <f t="shared" si="20"/>
        <v>4.9999821931123734E-4</v>
      </c>
    </row>
    <row r="193" spans="1:9" x14ac:dyDescent="0.25">
      <c r="A193" s="36">
        <v>47608</v>
      </c>
      <c r="B193" s="60">
        <f t="shared" si="17"/>
        <v>30</v>
      </c>
      <c r="C193" s="4">
        <f t="shared" si="21"/>
        <v>13167896</v>
      </c>
      <c r="D193" s="2">
        <f t="shared" si="16"/>
        <v>6901998.25</v>
      </c>
      <c r="E193" s="62">
        <f t="shared" si="18"/>
        <v>6265897.75</v>
      </c>
      <c r="F193" s="2">
        <f t="shared" si="22"/>
        <v>501271819.63999987</v>
      </c>
      <c r="G193" s="2">
        <f t="shared" si="23"/>
        <v>494369821.38999987</v>
      </c>
      <c r="H193" s="63">
        <f t="shared" si="19"/>
        <v>6265897.7454999974</v>
      </c>
      <c r="I193" s="16">
        <f t="shared" si="20"/>
        <v>-4.5000026002526283E-3</v>
      </c>
    </row>
    <row r="194" spans="1:9" x14ac:dyDescent="0.25">
      <c r="A194" s="36">
        <v>47639</v>
      </c>
      <c r="B194" s="60">
        <f t="shared" si="17"/>
        <v>30</v>
      </c>
      <c r="C194" s="4">
        <f t="shared" si="21"/>
        <v>13167896</v>
      </c>
      <c r="D194" s="2">
        <f t="shared" si="16"/>
        <v>6988273.2300000004</v>
      </c>
      <c r="E194" s="62">
        <f t="shared" si="18"/>
        <v>6179622.7699999996</v>
      </c>
      <c r="F194" s="2">
        <f t="shared" si="22"/>
        <v>494369821.38999987</v>
      </c>
      <c r="G194" s="2">
        <f t="shared" si="23"/>
        <v>487381548.15999985</v>
      </c>
      <c r="H194" s="63">
        <f t="shared" si="19"/>
        <v>6179622.7673749989</v>
      </c>
      <c r="I194" s="16">
        <f t="shared" si="20"/>
        <v>-2.6250006631016731E-3</v>
      </c>
    </row>
    <row r="195" spans="1:9" x14ac:dyDescent="0.25">
      <c r="A195" s="36">
        <v>47669</v>
      </c>
      <c r="B195" s="60">
        <f t="shared" si="17"/>
        <v>30</v>
      </c>
      <c r="C195" s="4">
        <f t="shared" si="21"/>
        <v>13167896</v>
      </c>
      <c r="D195" s="2">
        <f t="shared" si="16"/>
        <v>7075626.6500000004</v>
      </c>
      <c r="E195" s="62">
        <f t="shared" si="18"/>
        <v>6092269.3499999996</v>
      </c>
      <c r="F195" s="2">
        <f t="shared" si="22"/>
        <v>487381548.15999985</v>
      </c>
      <c r="G195" s="2">
        <f t="shared" si="23"/>
        <v>480305921.50999987</v>
      </c>
      <c r="H195" s="63">
        <f t="shared" si="19"/>
        <v>6092269.3519999981</v>
      </c>
      <c r="I195" s="16">
        <f t="shared" si="20"/>
        <v>1.999998465180397E-3</v>
      </c>
    </row>
    <row r="196" spans="1:9" x14ac:dyDescent="0.25">
      <c r="A196" s="36">
        <v>47700</v>
      </c>
      <c r="B196" s="60">
        <f t="shared" si="17"/>
        <v>30</v>
      </c>
      <c r="C196" s="4">
        <f t="shared" si="21"/>
        <v>13167896</v>
      </c>
      <c r="D196" s="2">
        <f t="shared" si="16"/>
        <v>7164071.9800000004</v>
      </c>
      <c r="E196" s="62">
        <f t="shared" si="18"/>
        <v>6003824.0199999996</v>
      </c>
      <c r="F196" s="2">
        <f t="shared" si="22"/>
        <v>480305921.50999987</v>
      </c>
      <c r="G196" s="2">
        <f t="shared" si="23"/>
        <v>473141849.52999985</v>
      </c>
      <c r="H196" s="63">
        <f t="shared" si="19"/>
        <v>6003824.0188749973</v>
      </c>
      <c r="I196" s="16">
        <f t="shared" si="20"/>
        <v>-1.1250022798776627E-3</v>
      </c>
    </row>
    <row r="197" spans="1:9" x14ac:dyDescent="0.25">
      <c r="A197" s="36">
        <v>47731</v>
      </c>
      <c r="B197" s="60">
        <f t="shared" si="17"/>
        <v>30</v>
      </c>
      <c r="C197" s="4">
        <f t="shared" si="21"/>
        <v>13167896</v>
      </c>
      <c r="D197" s="2">
        <f t="shared" ref="D197:D260" si="24">C197-E197</f>
        <v>7253622.8799999999</v>
      </c>
      <c r="E197" s="62">
        <f t="shared" si="18"/>
        <v>5914273.1200000001</v>
      </c>
      <c r="F197" s="2">
        <f t="shared" si="22"/>
        <v>473141849.52999985</v>
      </c>
      <c r="G197" s="2">
        <f t="shared" si="23"/>
        <v>465888226.64999986</v>
      </c>
      <c r="H197" s="63">
        <f t="shared" si="19"/>
        <v>5914273.1191249974</v>
      </c>
      <c r="I197" s="16">
        <f t="shared" si="20"/>
        <v>-8.7500270456075668E-4</v>
      </c>
    </row>
    <row r="198" spans="1:9" x14ac:dyDescent="0.25">
      <c r="A198" s="36">
        <v>47761</v>
      </c>
      <c r="B198" s="60">
        <f t="shared" ref="B198:B261" si="25">DAYS360(A197,A198,TRUE)</f>
        <v>30</v>
      </c>
      <c r="C198" s="4">
        <f t="shared" si="21"/>
        <v>13167896</v>
      </c>
      <c r="D198" s="2">
        <f t="shared" si="24"/>
        <v>7344293.1699999999</v>
      </c>
      <c r="E198" s="62">
        <f t="shared" ref="E198:E243" si="26">ROUND(F198*$B$2*B198/360,2)</f>
        <v>5823602.8300000001</v>
      </c>
      <c r="F198" s="2">
        <f t="shared" si="22"/>
        <v>465888226.64999986</v>
      </c>
      <c r="G198" s="2">
        <f t="shared" si="23"/>
        <v>458543933.47999984</v>
      </c>
      <c r="H198" s="63">
        <f t="shared" ref="H198:H241" si="27">F198*$B$2*B198/360</f>
        <v>5823602.833124998</v>
      </c>
      <c r="I198" s="16">
        <f t="shared" ref="I198:I241" si="28">H198-E198</f>
        <v>3.1249979510903358E-3</v>
      </c>
    </row>
    <row r="199" spans="1:9" x14ac:dyDescent="0.25">
      <c r="A199" s="36">
        <v>47792</v>
      </c>
      <c r="B199" s="60">
        <f t="shared" si="25"/>
        <v>30</v>
      </c>
      <c r="C199" s="4">
        <f t="shared" ref="C199:C245" si="29">$D$1</f>
        <v>13167896</v>
      </c>
      <c r="D199" s="2">
        <f t="shared" si="24"/>
        <v>7436096.8300000001</v>
      </c>
      <c r="E199" s="62">
        <f t="shared" si="26"/>
        <v>5731799.1699999999</v>
      </c>
      <c r="F199" s="2">
        <f t="shared" ref="F199:F262" si="30">G198</f>
        <v>458543933.47999984</v>
      </c>
      <c r="G199" s="2">
        <f t="shared" ref="G199:G262" si="31">F199-D199</f>
        <v>451107836.64999986</v>
      </c>
      <c r="H199" s="63">
        <f t="shared" si="27"/>
        <v>5731799.1684999978</v>
      </c>
      <c r="I199" s="16">
        <f t="shared" si="28"/>
        <v>-1.5000021085143089E-3</v>
      </c>
    </row>
    <row r="200" spans="1:9" x14ac:dyDescent="0.25">
      <c r="A200" s="36">
        <v>47822</v>
      </c>
      <c r="B200" s="60">
        <f t="shared" si="25"/>
        <v>30</v>
      </c>
      <c r="C200" s="4">
        <f t="shared" si="29"/>
        <v>13167896</v>
      </c>
      <c r="D200" s="2">
        <f t="shared" si="24"/>
        <v>7529048.04</v>
      </c>
      <c r="E200" s="62">
        <f t="shared" si="26"/>
        <v>5638847.96</v>
      </c>
      <c r="F200" s="2">
        <f t="shared" si="30"/>
        <v>451107836.64999986</v>
      </c>
      <c r="G200" s="2">
        <f t="shared" si="31"/>
        <v>443578788.60999984</v>
      </c>
      <c r="H200" s="63">
        <f t="shared" si="27"/>
        <v>5638847.958124998</v>
      </c>
      <c r="I200" s="16">
        <f t="shared" si="28"/>
        <v>-1.8750019371509552E-3</v>
      </c>
    </row>
    <row r="201" spans="1:9" x14ac:dyDescent="0.25">
      <c r="A201" s="36">
        <v>47853</v>
      </c>
      <c r="B201" s="60">
        <f t="shared" si="25"/>
        <v>30</v>
      </c>
      <c r="C201" s="4">
        <f t="shared" si="29"/>
        <v>13167896</v>
      </c>
      <c r="D201" s="2">
        <f t="shared" si="24"/>
        <v>7623161.1399999997</v>
      </c>
      <c r="E201" s="62">
        <f t="shared" si="26"/>
        <v>5544734.8600000003</v>
      </c>
      <c r="F201" s="2">
        <f t="shared" si="30"/>
        <v>443578788.60999984</v>
      </c>
      <c r="G201" s="2">
        <f t="shared" si="31"/>
        <v>435955627.46999985</v>
      </c>
      <c r="H201" s="63">
        <f t="shared" si="27"/>
        <v>5544734.8576249974</v>
      </c>
      <c r="I201" s="16">
        <f t="shared" si="28"/>
        <v>-2.3750029504299164E-3</v>
      </c>
    </row>
    <row r="202" spans="1:9" x14ac:dyDescent="0.25">
      <c r="A202" s="36">
        <v>47884</v>
      </c>
      <c r="B202" s="60">
        <f t="shared" si="25"/>
        <v>30</v>
      </c>
      <c r="C202" s="4">
        <f t="shared" si="29"/>
        <v>13167896</v>
      </c>
      <c r="D202" s="2">
        <f t="shared" si="24"/>
        <v>7718450.6600000001</v>
      </c>
      <c r="E202" s="62">
        <f t="shared" si="26"/>
        <v>5449445.3399999999</v>
      </c>
      <c r="F202" s="2">
        <f t="shared" si="30"/>
        <v>435955627.46999985</v>
      </c>
      <c r="G202" s="2">
        <f t="shared" si="31"/>
        <v>428237176.80999982</v>
      </c>
      <c r="H202" s="63">
        <f t="shared" si="27"/>
        <v>5449445.3433749983</v>
      </c>
      <c r="I202" s="16">
        <f t="shared" si="28"/>
        <v>3.3749984577298164E-3</v>
      </c>
    </row>
    <row r="203" spans="1:9" x14ac:dyDescent="0.25">
      <c r="A203" s="36">
        <v>47912</v>
      </c>
      <c r="B203" s="60">
        <f t="shared" si="25"/>
        <v>30</v>
      </c>
      <c r="C203" s="4">
        <f t="shared" si="29"/>
        <v>13167896</v>
      </c>
      <c r="D203" s="2">
        <f t="shared" si="24"/>
        <v>7814931.29</v>
      </c>
      <c r="E203" s="62">
        <f t="shared" si="26"/>
        <v>5352964.71</v>
      </c>
      <c r="F203" s="2">
        <f t="shared" si="30"/>
        <v>428237176.80999982</v>
      </c>
      <c r="G203" s="2">
        <f t="shared" si="31"/>
        <v>420422245.5199998</v>
      </c>
      <c r="H203" s="63">
        <f t="shared" si="27"/>
        <v>5352964.7101249974</v>
      </c>
      <c r="I203" s="16">
        <f t="shared" si="28"/>
        <v>1.2499745935201645E-4</v>
      </c>
    </row>
    <row r="204" spans="1:9" x14ac:dyDescent="0.25">
      <c r="A204" s="36">
        <v>47943</v>
      </c>
      <c r="B204" s="60">
        <f t="shared" si="25"/>
        <v>30</v>
      </c>
      <c r="C204" s="4">
        <f t="shared" si="29"/>
        <v>13167896</v>
      </c>
      <c r="D204" s="2">
        <f t="shared" si="24"/>
        <v>7912617.9299999997</v>
      </c>
      <c r="E204" s="62">
        <f t="shared" si="26"/>
        <v>5255278.07</v>
      </c>
      <c r="F204" s="2">
        <f t="shared" si="30"/>
        <v>420422245.5199998</v>
      </c>
      <c r="G204" s="2">
        <f t="shared" si="31"/>
        <v>412509627.58999979</v>
      </c>
      <c r="H204" s="63">
        <f t="shared" si="27"/>
        <v>5255278.0689999973</v>
      </c>
      <c r="I204" s="16">
        <f t="shared" si="28"/>
        <v>-1.000002957880497E-3</v>
      </c>
    </row>
    <row r="205" spans="1:9" x14ac:dyDescent="0.25">
      <c r="A205" s="36">
        <v>47973</v>
      </c>
      <c r="B205" s="60">
        <f t="shared" si="25"/>
        <v>30</v>
      </c>
      <c r="C205" s="4">
        <f t="shared" si="29"/>
        <v>13167896</v>
      </c>
      <c r="D205" s="2">
        <f t="shared" si="24"/>
        <v>8011525.6600000001</v>
      </c>
      <c r="E205" s="62">
        <f t="shared" si="26"/>
        <v>5156370.34</v>
      </c>
      <c r="F205" s="2">
        <f t="shared" si="30"/>
        <v>412509627.58999979</v>
      </c>
      <c r="G205" s="2">
        <f t="shared" si="31"/>
        <v>404498101.92999977</v>
      </c>
      <c r="H205" s="63">
        <f t="shared" si="27"/>
        <v>5156370.3448749976</v>
      </c>
      <c r="I205" s="16">
        <f t="shared" si="28"/>
        <v>4.8749977722764015E-3</v>
      </c>
    </row>
    <row r="206" spans="1:9" x14ac:dyDescent="0.25">
      <c r="A206" s="36">
        <v>48004</v>
      </c>
      <c r="B206" s="60">
        <f t="shared" si="25"/>
        <v>30</v>
      </c>
      <c r="C206" s="4">
        <f t="shared" si="29"/>
        <v>13167896</v>
      </c>
      <c r="D206" s="2">
        <f t="shared" si="24"/>
        <v>8111669.7300000004</v>
      </c>
      <c r="E206" s="62">
        <f t="shared" si="26"/>
        <v>5056226.2699999996</v>
      </c>
      <c r="F206" s="2">
        <f t="shared" si="30"/>
        <v>404498101.92999977</v>
      </c>
      <c r="G206" s="2">
        <f t="shared" si="31"/>
        <v>396386432.19999975</v>
      </c>
      <c r="H206" s="63">
        <f t="shared" si="27"/>
        <v>5056226.2741249967</v>
      </c>
      <c r="I206" s="16">
        <f t="shared" si="28"/>
        <v>4.1249971836805344E-3</v>
      </c>
    </row>
    <row r="207" spans="1:9" x14ac:dyDescent="0.25">
      <c r="A207" s="36">
        <v>48034</v>
      </c>
      <c r="B207" s="60">
        <f t="shared" si="25"/>
        <v>30</v>
      </c>
      <c r="C207" s="4">
        <f t="shared" si="29"/>
        <v>13167896</v>
      </c>
      <c r="D207" s="2">
        <f t="shared" si="24"/>
        <v>8213065.5999999996</v>
      </c>
      <c r="E207" s="62">
        <f t="shared" si="26"/>
        <v>4954830.4000000004</v>
      </c>
      <c r="F207" s="2">
        <f t="shared" si="30"/>
        <v>396386432.19999975</v>
      </c>
      <c r="G207" s="2">
        <f t="shared" si="31"/>
        <v>388173366.59999973</v>
      </c>
      <c r="H207" s="63">
        <f t="shared" si="27"/>
        <v>4954830.4024999971</v>
      </c>
      <c r="I207" s="16">
        <f t="shared" si="28"/>
        <v>2.4999966844916344E-3</v>
      </c>
    </row>
    <row r="208" spans="1:9" x14ac:dyDescent="0.25">
      <c r="A208" s="36">
        <v>48065</v>
      </c>
      <c r="B208" s="60">
        <f t="shared" si="25"/>
        <v>30</v>
      </c>
      <c r="C208" s="4">
        <f t="shared" si="29"/>
        <v>13167896</v>
      </c>
      <c r="D208" s="2">
        <f t="shared" si="24"/>
        <v>8315728.9199999999</v>
      </c>
      <c r="E208" s="62">
        <f t="shared" si="26"/>
        <v>4852167.08</v>
      </c>
      <c r="F208" s="2">
        <f t="shared" si="30"/>
        <v>388173366.59999973</v>
      </c>
      <c r="G208" s="2">
        <f t="shared" si="31"/>
        <v>379857637.67999971</v>
      </c>
      <c r="H208" s="63">
        <f t="shared" si="27"/>
        <v>4852167.0824999958</v>
      </c>
      <c r="I208" s="16">
        <f t="shared" si="28"/>
        <v>2.4999957531690598E-3</v>
      </c>
    </row>
    <row r="209" spans="1:9" x14ac:dyDescent="0.25">
      <c r="A209" s="36">
        <v>48096</v>
      </c>
      <c r="B209" s="60">
        <f t="shared" si="25"/>
        <v>30</v>
      </c>
      <c r="C209" s="4">
        <f t="shared" si="29"/>
        <v>13167896</v>
      </c>
      <c r="D209" s="2">
        <f t="shared" si="24"/>
        <v>8419675.5300000012</v>
      </c>
      <c r="E209" s="62">
        <f t="shared" si="26"/>
        <v>4748220.47</v>
      </c>
      <c r="F209" s="2">
        <f t="shared" si="30"/>
        <v>379857637.67999971</v>
      </c>
      <c r="G209" s="2">
        <f t="shared" si="31"/>
        <v>371437962.14999974</v>
      </c>
      <c r="H209" s="63">
        <f t="shared" si="27"/>
        <v>4748220.4709999962</v>
      </c>
      <c r="I209" s="16">
        <f t="shared" si="28"/>
        <v>9.9999643862247467E-4</v>
      </c>
    </row>
    <row r="210" spans="1:9" x14ac:dyDescent="0.25">
      <c r="A210" s="36">
        <v>48126</v>
      </c>
      <c r="B210" s="60">
        <f t="shared" si="25"/>
        <v>30</v>
      </c>
      <c r="C210" s="4">
        <f t="shared" si="29"/>
        <v>13167896</v>
      </c>
      <c r="D210" s="2">
        <f t="shared" si="24"/>
        <v>8524921.4699999988</v>
      </c>
      <c r="E210" s="62">
        <f t="shared" si="26"/>
        <v>4642974.53</v>
      </c>
      <c r="F210" s="2">
        <f t="shared" si="30"/>
        <v>371437962.14999974</v>
      </c>
      <c r="G210" s="2">
        <f t="shared" si="31"/>
        <v>362913040.67999971</v>
      </c>
      <c r="H210" s="63">
        <f t="shared" si="27"/>
        <v>4642974.5268749967</v>
      </c>
      <c r="I210" s="16">
        <f t="shared" si="28"/>
        <v>-3.1250035390257835E-3</v>
      </c>
    </row>
    <row r="211" spans="1:9" x14ac:dyDescent="0.25">
      <c r="A211" s="36">
        <v>48157</v>
      </c>
      <c r="B211" s="60">
        <f t="shared" si="25"/>
        <v>30</v>
      </c>
      <c r="C211" s="4">
        <f t="shared" si="29"/>
        <v>13167896</v>
      </c>
      <c r="D211" s="2">
        <f t="shared" si="24"/>
        <v>8631482.9900000002</v>
      </c>
      <c r="E211" s="62">
        <f t="shared" si="26"/>
        <v>4536413.01</v>
      </c>
      <c r="F211" s="2">
        <f t="shared" si="30"/>
        <v>362913040.67999971</v>
      </c>
      <c r="G211" s="2">
        <f t="shared" si="31"/>
        <v>354281557.6899997</v>
      </c>
      <c r="H211" s="63">
        <f t="shared" si="27"/>
        <v>4536413.0084999958</v>
      </c>
      <c r="I211" s="16">
        <f t="shared" si="28"/>
        <v>-1.5000039711594582E-3</v>
      </c>
    </row>
    <row r="212" spans="1:9" x14ac:dyDescent="0.25">
      <c r="A212" s="36">
        <v>48187</v>
      </c>
      <c r="B212" s="60">
        <f t="shared" si="25"/>
        <v>30</v>
      </c>
      <c r="C212" s="4">
        <f t="shared" si="29"/>
        <v>13167896</v>
      </c>
      <c r="D212" s="2">
        <f t="shared" si="24"/>
        <v>8739376.5300000012</v>
      </c>
      <c r="E212" s="62">
        <f t="shared" si="26"/>
        <v>4428519.47</v>
      </c>
      <c r="F212" s="2">
        <f t="shared" si="30"/>
        <v>354281557.6899997</v>
      </c>
      <c r="G212" s="2">
        <f t="shared" si="31"/>
        <v>345542181.15999973</v>
      </c>
      <c r="H212" s="63">
        <f t="shared" si="27"/>
        <v>4428519.4711249964</v>
      </c>
      <c r="I212" s="16">
        <f t="shared" si="28"/>
        <v>1.124996691942215E-3</v>
      </c>
    </row>
    <row r="213" spans="1:9" x14ac:dyDescent="0.25">
      <c r="A213" s="36">
        <v>48218</v>
      </c>
      <c r="B213" s="60">
        <f t="shared" si="25"/>
        <v>30</v>
      </c>
      <c r="C213" s="4">
        <f t="shared" si="29"/>
        <v>13167896</v>
      </c>
      <c r="D213" s="2">
        <f t="shared" si="24"/>
        <v>8848618.7400000002</v>
      </c>
      <c r="E213" s="62">
        <f t="shared" si="26"/>
        <v>4319277.26</v>
      </c>
      <c r="F213" s="2">
        <f t="shared" si="30"/>
        <v>345542181.15999973</v>
      </c>
      <c r="G213" s="2">
        <f t="shared" si="31"/>
        <v>336693562.41999972</v>
      </c>
      <c r="H213" s="63">
        <f t="shared" si="27"/>
        <v>4319277.2644999968</v>
      </c>
      <c r="I213" s="16">
        <f t="shared" si="28"/>
        <v>4.4999970123171806E-3</v>
      </c>
    </row>
    <row r="214" spans="1:9" x14ac:dyDescent="0.25">
      <c r="A214" s="36">
        <v>48249</v>
      </c>
      <c r="B214" s="60">
        <f t="shared" si="25"/>
        <v>30</v>
      </c>
      <c r="C214" s="4">
        <f t="shared" si="29"/>
        <v>13167896</v>
      </c>
      <c r="D214" s="2">
        <f t="shared" si="24"/>
        <v>8959226.4699999988</v>
      </c>
      <c r="E214" s="62">
        <f t="shared" si="26"/>
        <v>4208669.53</v>
      </c>
      <c r="F214" s="2">
        <f t="shared" si="30"/>
        <v>336693562.41999972</v>
      </c>
      <c r="G214" s="2">
        <f t="shared" si="31"/>
        <v>327734335.94999969</v>
      </c>
      <c r="H214" s="63">
        <f t="shared" si="27"/>
        <v>4208669.5302499961</v>
      </c>
      <c r="I214" s="16">
        <f t="shared" si="28"/>
        <v>2.4999585002660751E-4</v>
      </c>
    </row>
    <row r="215" spans="1:9" x14ac:dyDescent="0.25">
      <c r="A215" s="36">
        <v>48278</v>
      </c>
      <c r="B215" s="60">
        <f t="shared" si="25"/>
        <v>30</v>
      </c>
      <c r="C215" s="4">
        <f t="shared" si="29"/>
        <v>13167896</v>
      </c>
      <c r="D215" s="2">
        <f t="shared" si="24"/>
        <v>9071216.8000000007</v>
      </c>
      <c r="E215" s="62">
        <f t="shared" si="26"/>
        <v>4096679.2</v>
      </c>
      <c r="F215" s="2">
        <f t="shared" si="30"/>
        <v>327734335.94999969</v>
      </c>
      <c r="G215" s="2">
        <f t="shared" si="31"/>
        <v>318663119.14999968</v>
      </c>
      <c r="H215" s="63">
        <f t="shared" si="27"/>
        <v>4096679.1993749961</v>
      </c>
      <c r="I215" s="16">
        <f t="shared" si="28"/>
        <v>-6.2500406056642532E-4</v>
      </c>
    </row>
    <row r="216" spans="1:9" x14ac:dyDescent="0.25">
      <c r="A216" s="36">
        <v>48309</v>
      </c>
      <c r="B216" s="60">
        <f t="shared" si="25"/>
        <v>30</v>
      </c>
      <c r="C216" s="4">
        <f t="shared" si="29"/>
        <v>13167896</v>
      </c>
      <c r="D216" s="2">
        <f t="shared" si="24"/>
        <v>9184607.0099999998</v>
      </c>
      <c r="E216" s="62">
        <f t="shared" si="26"/>
        <v>3983288.99</v>
      </c>
      <c r="F216" s="2">
        <f t="shared" si="30"/>
        <v>318663119.14999968</v>
      </c>
      <c r="G216" s="2">
        <f t="shared" si="31"/>
        <v>309478512.13999969</v>
      </c>
      <c r="H216" s="63">
        <f t="shared" si="27"/>
        <v>3983288.9893749957</v>
      </c>
      <c r="I216" s="16">
        <f t="shared" si="28"/>
        <v>-6.2500452622771263E-4</v>
      </c>
    </row>
    <row r="217" spans="1:9" x14ac:dyDescent="0.25">
      <c r="A217" s="36">
        <v>48339</v>
      </c>
      <c r="B217" s="60">
        <f t="shared" si="25"/>
        <v>30</v>
      </c>
      <c r="C217" s="4">
        <f t="shared" si="29"/>
        <v>13167896</v>
      </c>
      <c r="D217" s="2">
        <f t="shared" si="24"/>
        <v>9299414.5999999996</v>
      </c>
      <c r="E217" s="62">
        <f t="shared" si="26"/>
        <v>3868481.4</v>
      </c>
      <c r="F217" s="2">
        <f t="shared" si="30"/>
        <v>309478512.13999969</v>
      </c>
      <c r="G217" s="2">
        <f t="shared" si="31"/>
        <v>300179097.53999966</v>
      </c>
      <c r="H217" s="63">
        <f t="shared" si="27"/>
        <v>3868481.4017499955</v>
      </c>
      <c r="I217" s="16">
        <f t="shared" si="28"/>
        <v>1.7499956302344799E-3</v>
      </c>
    </row>
    <row r="218" spans="1:9" x14ac:dyDescent="0.25">
      <c r="A218" s="36">
        <v>48370</v>
      </c>
      <c r="B218" s="60">
        <f t="shared" si="25"/>
        <v>30</v>
      </c>
      <c r="C218" s="4">
        <f t="shared" si="29"/>
        <v>13167896</v>
      </c>
      <c r="D218" s="2">
        <f t="shared" si="24"/>
        <v>9415657.2799999993</v>
      </c>
      <c r="E218" s="62">
        <f t="shared" si="26"/>
        <v>3752238.72</v>
      </c>
      <c r="F218" s="2">
        <f t="shared" si="30"/>
        <v>300179097.53999966</v>
      </c>
      <c r="G218" s="2">
        <f t="shared" si="31"/>
        <v>290763440.25999969</v>
      </c>
      <c r="H218" s="63">
        <f t="shared" si="27"/>
        <v>3752238.7192499954</v>
      </c>
      <c r="I218" s="16">
        <f t="shared" si="28"/>
        <v>-7.5000477954745293E-4</v>
      </c>
    </row>
    <row r="219" spans="1:9" x14ac:dyDescent="0.25">
      <c r="A219" s="36">
        <v>48400</v>
      </c>
      <c r="B219" s="60">
        <f t="shared" si="25"/>
        <v>30</v>
      </c>
      <c r="C219" s="4">
        <f t="shared" si="29"/>
        <v>13167896</v>
      </c>
      <c r="D219" s="2">
        <f t="shared" si="24"/>
        <v>9533353</v>
      </c>
      <c r="E219" s="62">
        <f t="shared" si="26"/>
        <v>3634543</v>
      </c>
      <c r="F219" s="2">
        <f t="shared" si="30"/>
        <v>290763440.25999969</v>
      </c>
      <c r="G219" s="2">
        <f t="shared" si="31"/>
        <v>281230087.25999969</v>
      </c>
      <c r="H219" s="63">
        <f t="shared" si="27"/>
        <v>3634543.0032499963</v>
      </c>
      <c r="I219" s="16">
        <f t="shared" si="28"/>
        <v>3.2499963417649269E-3</v>
      </c>
    </row>
    <row r="220" spans="1:9" x14ac:dyDescent="0.25">
      <c r="A220" s="36">
        <v>48431</v>
      </c>
      <c r="B220" s="60">
        <f t="shared" si="25"/>
        <v>30</v>
      </c>
      <c r="C220" s="4">
        <f t="shared" si="29"/>
        <v>13167896</v>
      </c>
      <c r="D220" s="2">
        <f t="shared" si="24"/>
        <v>9652519.9100000001</v>
      </c>
      <c r="E220" s="62">
        <f t="shared" si="26"/>
        <v>3515376.09</v>
      </c>
      <c r="F220" s="2">
        <f t="shared" si="30"/>
        <v>281230087.25999969</v>
      </c>
      <c r="G220" s="2">
        <f t="shared" si="31"/>
        <v>271577567.34999967</v>
      </c>
      <c r="H220" s="63">
        <f t="shared" si="27"/>
        <v>3515376.0907499958</v>
      </c>
      <c r="I220" s="16">
        <f t="shared" si="28"/>
        <v>7.4999593198299408E-4</v>
      </c>
    </row>
    <row r="221" spans="1:9" x14ac:dyDescent="0.25">
      <c r="A221" s="36">
        <v>48462</v>
      </c>
      <c r="B221" s="60">
        <f t="shared" si="25"/>
        <v>30</v>
      </c>
      <c r="C221" s="4">
        <f t="shared" si="29"/>
        <v>13167896</v>
      </c>
      <c r="D221" s="2">
        <f t="shared" si="24"/>
        <v>9773176.4100000001</v>
      </c>
      <c r="E221" s="62">
        <f t="shared" si="26"/>
        <v>3394719.59</v>
      </c>
      <c r="F221" s="2">
        <f t="shared" si="30"/>
        <v>271577567.34999967</v>
      </c>
      <c r="G221" s="2">
        <f t="shared" si="31"/>
        <v>261804390.93999967</v>
      </c>
      <c r="H221" s="63">
        <f t="shared" si="27"/>
        <v>3394719.5918749953</v>
      </c>
      <c r="I221" s="16">
        <f t="shared" si="28"/>
        <v>1.8749954178929329E-3</v>
      </c>
    </row>
    <row r="222" spans="1:9" x14ac:dyDescent="0.25">
      <c r="A222" s="36">
        <v>48492</v>
      </c>
      <c r="B222" s="60">
        <f t="shared" si="25"/>
        <v>30</v>
      </c>
      <c r="C222" s="4">
        <f t="shared" si="29"/>
        <v>13167896</v>
      </c>
      <c r="D222" s="2">
        <f t="shared" si="24"/>
        <v>9895341.1099999994</v>
      </c>
      <c r="E222" s="62">
        <f t="shared" si="26"/>
        <v>3272554.89</v>
      </c>
      <c r="F222" s="2">
        <f t="shared" si="30"/>
        <v>261804390.93999967</v>
      </c>
      <c r="G222" s="2">
        <f t="shared" si="31"/>
        <v>251909049.82999969</v>
      </c>
      <c r="H222" s="63">
        <f t="shared" si="27"/>
        <v>3272554.8867499959</v>
      </c>
      <c r="I222" s="16">
        <f t="shared" si="28"/>
        <v>-3.2500042580068111E-3</v>
      </c>
    </row>
    <row r="223" spans="1:9" x14ac:dyDescent="0.25">
      <c r="A223" s="36">
        <v>48523</v>
      </c>
      <c r="B223" s="60">
        <f t="shared" si="25"/>
        <v>30</v>
      </c>
      <c r="C223" s="4">
        <f t="shared" si="29"/>
        <v>13167896</v>
      </c>
      <c r="D223" s="2">
        <f t="shared" si="24"/>
        <v>10019032.879999999</v>
      </c>
      <c r="E223" s="62">
        <f t="shared" si="26"/>
        <v>3148863.12</v>
      </c>
      <c r="F223" s="2">
        <f t="shared" si="30"/>
        <v>251909049.82999969</v>
      </c>
      <c r="G223" s="2">
        <f t="shared" si="31"/>
        <v>241890016.94999969</v>
      </c>
      <c r="H223" s="63">
        <f t="shared" si="27"/>
        <v>3148863.1228749957</v>
      </c>
      <c r="I223" s="16">
        <f t="shared" si="28"/>
        <v>2.874995581805706E-3</v>
      </c>
    </row>
    <row r="224" spans="1:9" x14ac:dyDescent="0.25">
      <c r="A224" s="36">
        <v>48553</v>
      </c>
      <c r="B224" s="60">
        <f t="shared" si="25"/>
        <v>30</v>
      </c>
      <c r="C224" s="4">
        <f t="shared" si="29"/>
        <v>13167896</v>
      </c>
      <c r="D224" s="2">
        <f t="shared" si="24"/>
        <v>10144270.789999999</v>
      </c>
      <c r="E224" s="62">
        <f t="shared" si="26"/>
        <v>3023625.21</v>
      </c>
      <c r="F224" s="2">
        <f t="shared" si="30"/>
        <v>241890016.94999969</v>
      </c>
      <c r="G224" s="2">
        <f t="shared" si="31"/>
        <v>231745746.1599997</v>
      </c>
      <c r="H224" s="63">
        <f t="shared" si="27"/>
        <v>3023625.2118749963</v>
      </c>
      <c r="I224" s="16">
        <f t="shared" si="28"/>
        <v>1.8749963492155075E-3</v>
      </c>
    </row>
    <row r="225" spans="1:9" x14ac:dyDescent="0.25">
      <c r="A225" s="36">
        <v>48584</v>
      </c>
      <c r="B225" s="60">
        <f t="shared" si="25"/>
        <v>30</v>
      </c>
      <c r="C225" s="4">
        <f t="shared" si="29"/>
        <v>13167896</v>
      </c>
      <c r="D225" s="2">
        <f t="shared" si="24"/>
        <v>10271074.17</v>
      </c>
      <c r="E225" s="62">
        <f t="shared" si="26"/>
        <v>2896821.83</v>
      </c>
      <c r="F225" s="2">
        <f t="shared" si="30"/>
        <v>231745746.1599997</v>
      </c>
      <c r="G225" s="2">
        <f t="shared" si="31"/>
        <v>221474671.98999971</v>
      </c>
      <c r="H225" s="63">
        <f t="shared" si="27"/>
        <v>2896821.8269999959</v>
      </c>
      <c r="I225" s="16">
        <f t="shared" si="28"/>
        <v>-3.0000042170286179E-3</v>
      </c>
    </row>
    <row r="226" spans="1:9" x14ac:dyDescent="0.25">
      <c r="A226" s="36">
        <v>48615</v>
      </c>
      <c r="B226" s="60">
        <f t="shared" si="25"/>
        <v>30</v>
      </c>
      <c r="C226" s="4">
        <f t="shared" si="29"/>
        <v>13167896</v>
      </c>
      <c r="D226" s="2">
        <f t="shared" si="24"/>
        <v>10399462.6</v>
      </c>
      <c r="E226" s="62">
        <f t="shared" si="26"/>
        <v>2768433.4</v>
      </c>
      <c r="F226" s="2">
        <f t="shared" si="30"/>
        <v>221474671.98999971</v>
      </c>
      <c r="G226" s="2">
        <f t="shared" si="31"/>
        <v>211075209.38999972</v>
      </c>
      <c r="H226" s="63">
        <f t="shared" si="27"/>
        <v>2768433.3998749964</v>
      </c>
      <c r="I226" s="16">
        <f t="shared" si="28"/>
        <v>-1.2500351294875145E-4</v>
      </c>
    </row>
    <row r="227" spans="1:9" x14ac:dyDescent="0.25">
      <c r="A227" s="36">
        <v>48643</v>
      </c>
      <c r="B227" s="60">
        <f t="shared" si="25"/>
        <v>30</v>
      </c>
      <c r="C227" s="4">
        <f t="shared" si="29"/>
        <v>13167896</v>
      </c>
      <c r="D227" s="2">
        <f t="shared" si="24"/>
        <v>10529455.879999999</v>
      </c>
      <c r="E227" s="62">
        <f t="shared" si="26"/>
        <v>2638440.12</v>
      </c>
      <c r="F227" s="2">
        <f t="shared" si="30"/>
        <v>211075209.38999972</v>
      </c>
      <c r="G227" s="2">
        <f t="shared" si="31"/>
        <v>200545753.50999972</v>
      </c>
      <c r="H227" s="63">
        <f t="shared" si="27"/>
        <v>2638440.1173749962</v>
      </c>
      <c r="I227" s="16">
        <f t="shared" si="28"/>
        <v>-2.6250039227306843E-3</v>
      </c>
    </row>
    <row r="228" spans="1:9" x14ac:dyDescent="0.25">
      <c r="A228" s="36">
        <v>48674</v>
      </c>
      <c r="B228" s="60">
        <f t="shared" si="25"/>
        <v>30</v>
      </c>
      <c r="C228" s="4">
        <f t="shared" si="29"/>
        <v>13167896</v>
      </c>
      <c r="D228" s="2">
        <f t="shared" si="24"/>
        <v>10661074.08</v>
      </c>
      <c r="E228" s="62">
        <f t="shared" si="26"/>
        <v>2506821.92</v>
      </c>
      <c r="F228" s="2">
        <f t="shared" si="30"/>
        <v>200545753.50999972</v>
      </c>
      <c r="G228" s="2">
        <f t="shared" si="31"/>
        <v>189884679.42999971</v>
      </c>
      <c r="H228" s="63">
        <f t="shared" si="27"/>
        <v>2506821.9188749962</v>
      </c>
      <c r="I228" s="16">
        <f t="shared" si="28"/>
        <v>-1.1250036768615246E-3</v>
      </c>
    </row>
    <row r="229" spans="1:9" x14ac:dyDescent="0.25">
      <c r="A229" s="36">
        <v>48704</v>
      </c>
      <c r="B229" s="60">
        <f t="shared" si="25"/>
        <v>30</v>
      </c>
      <c r="C229" s="4">
        <f t="shared" si="29"/>
        <v>13167896</v>
      </c>
      <c r="D229" s="2">
        <f t="shared" si="24"/>
        <v>10794337.51</v>
      </c>
      <c r="E229" s="62">
        <f t="shared" si="26"/>
        <v>2373558.4900000002</v>
      </c>
      <c r="F229" s="2">
        <f t="shared" si="30"/>
        <v>189884679.42999971</v>
      </c>
      <c r="G229" s="2">
        <f t="shared" si="31"/>
        <v>179090341.91999972</v>
      </c>
      <c r="H229" s="63">
        <f t="shared" si="27"/>
        <v>2373558.4928749967</v>
      </c>
      <c r="I229" s="16">
        <f t="shared" si="28"/>
        <v>2.8749965131282806E-3</v>
      </c>
    </row>
    <row r="230" spans="1:9" x14ac:dyDescent="0.25">
      <c r="A230" s="36">
        <v>48735</v>
      </c>
      <c r="B230" s="60">
        <f t="shared" si="25"/>
        <v>30</v>
      </c>
      <c r="C230" s="4">
        <f t="shared" si="29"/>
        <v>13167896</v>
      </c>
      <c r="D230" s="2">
        <f t="shared" si="24"/>
        <v>10929266.73</v>
      </c>
      <c r="E230" s="62">
        <f t="shared" si="26"/>
        <v>2238629.27</v>
      </c>
      <c r="F230" s="2">
        <f t="shared" si="30"/>
        <v>179090341.91999972</v>
      </c>
      <c r="G230" s="2">
        <f t="shared" si="31"/>
        <v>168161075.18999973</v>
      </c>
      <c r="H230" s="63">
        <f t="shared" si="27"/>
        <v>2238629.2739999965</v>
      </c>
      <c r="I230" s="16">
        <f t="shared" si="28"/>
        <v>3.9999964646995068E-3</v>
      </c>
    </row>
    <row r="231" spans="1:9" x14ac:dyDescent="0.25">
      <c r="A231" s="36">
        <v>48765</v>
      </c>
      <c r="B231" s="60">
        <f t="shared" si="25"/>
        <v>30</v>
      </c>
      <c r="C231" s="4">
        <f t="shared" si="29"/>
        <v>13167896</v>
      </c>
      <c r="D231" s="2">
        <f t="shared" si="24"/>
        <v>11065882.560000001</v>
      </c>
      <c r="E231" s="62">
        <f t="shared" si="26"/>
        <v>2102013.44</v>
      </c>
      <c r="F231" s="2">
        <f t="shared" si="30"/>
        <v>168161075.18999973</v>
      </c>
      <c r="G231" s="2">
        <f t="shared" si="31"/>
        <v>157095192.62999973</v>
      </c>
      <c r="H231" s="63">
        <f t="shared" si="27"/>
        <v>2102013.4398749964</v>
      </c>
      <c r="I231" s="16">
        <f t="shared" si="28"/>
        <v>-1.2500351294875145E-4</v>
      </c>
    </row>
    <row r="232" spans="1:9" x14ac:dyDescent="0.25">
      <c r="A232" s="36">
        <v>48796</v>
      </c>
      <c r="B232" s="60">
        <f t="shared" si="25"/>
        <v>30</v>
      </c>
      <c r="C232" s="4">
        <f t="shared" si="29"/>
        <v>13167896</v>
      </c>
      <c r="D232" s="2">
        <f t="shared" si="24"/>
        <v>11204206.09</v>
      </c>
      <c r="E232" s="62">
        <f t="shared" si="26"/>
        <v>1963689.91</v>
      </c>
      <c r="F232" s="2">
        <f t="shared" si="30"/>
        <v>157095192.62999973</v>
      </c>
      <c r="G232" s="2">
        <f t="shared" si="31"/>
        <v>145890986.53999972</v>
      </c>
      <c r="H232" s="63">
        <f t="shared" si="27"/>
        <v>1963689.9078749965</v>
      </c>
      <c r="I232" s="16">
        <f t="shared" si="28"/>
        <v>-2.1250033751130104E-3</v>
      </c>
    </row>
    <row r="233" spans="1:9" x14ac:dyDescent="0.25">
      <c r="A233" s="36">
        <v>48827</v>
      </c>
      <c r="B233" s="60">
        <f t="shared" si="25"/>
        <v>30</v>
      </c>
      <c r="C233" s="4">
        <f t="shared" si="29"/>
        <v>13167896</v>
      </c>
      <c r="D233" s="2">
        <f t="shared" si="24"/>
        <v>11344258.67</v>
      </c>
      <c r="E233" s="62">
        <f t="shared" si="26"/>
        <v>1823637.33</v>
      </c>
      <c r="F233" s="2">
        <f t="shared" si="30"/>
        <v>145890986.53999972</v>
      </c>
      <c r="G233" s="2">
        <f t="shared" si="31"/>
        <v>134546727.86999974</v>
      </c>
      <c r="H233" s="63">
        <f t="shared" si="27"/>
        <v>1823637.3317499966</v>
      </c>
      <c r="I233" s="16">
        <f t="shared" si="28"/>
        <v>1.7499965615570545E-3</v>
      </c>
    </row>
    <row r="234" spans="1:9" x14ac:dyDescent="0.25">
      <c r="A234" s="36">
        <v>48857</v>
      </c>
      <c r="B234" s="60">
        <f t="shared" si="25"/>
        <v>30</v>
      </c>
      <c r="C234" s="4">
        <f t="shared" si="29"/>
        <v>13167896</v>
      </c>
      <c r="D234" s="2">
        <f t="shared" si="24"/>
        <v>11486061.9</v>
      </c>
      <c r="E234" s="62">
        <f t="shared" si="26"/>
        <v>1681834.1</v>
      </c>
      <c r="F234" s="2">
        <f t="shared" si="30"/>
        <v>134546727.86999974</v>
      </c>
      <c r="G234" s="2">
        <f t="shared" si="31"/>
        <v>123060665.96999973</v>
      </c>
      <c r="H234" s="63">
        <f t="shared" si="27"/>
        <v>1681834.0983749966</v>
      </c>
      <c r="I234" s="16">
        <f t="shared" si="28"/>
        <v>-1.6250035259872675E-3</v>
      </c>
    </row>
    <row r="235" spans="1:9" x14ac:dyDescent="0.25">
      <c r="A235" s="36">
        <v>48888</v>
      </c>
      <c r="B235" s="60">
        <f t="shared" si="25"/>
        <v>30</v>
      </c>
      <c r="C235" s="4">
        <f t="shared" si="29"/>
        <v>13167896</v>
      </c>
      <c r="D235" s="2">
        <f t="shared" si="24"/>
        <v>11629637.68</v>
      </c>
      <c r="E235" s="62">
        <f t="shared" si="26"/>
        <v>1538258.32</v>
      </c>
      <c r="F235" s="2">
        <f t="shared" si="30"/>
        <v>123060665.96999973</v>
      </c>
      <c r="G235" s="2">
        <f t="shared" si="31"/>
        <v>111431028.28999972</v>
      </c>
      <c r="H235" s="63">
        <f t="shared" si="27"/>
        <v>1538258.3246249966</v>
      </c>
      <c r="I235" s="16">
        <f t="shared" si="28"/>
        <v>4.62499656714499E-3</v>
      </c>
    </row>
    <row r="236" spans="1:9" x14ac:dyDescent="0.25">
      <c r="A236" s="36">
        <v>48918</v>
      </c>
      <c r="B236" s="60">
        <f t="shared" si="25"/>
        <v>30</v>
      </c>
      <c r="C236" s="4">
        <f t="shared" si="29"/>
        <v>13167896</v>
      </c>
      <c r="D236" s="2">
        <f t="shared" si="24"/>
        <v>11775008.15</v>
      </c>
      <c r="E236" s="62">
        <f t="shared" si="26"/>
        <v>1392887.85</v>
      </c>
      <c r="F236" s="2">
        <f t="shared" si="30"/>
        <v>111431028.28999972</v>
      </c>
      <c r="G236" s="2">
        <f t="shared" si="31"/>
        <v>99656020.139999717</v>
      </c>
      <c r="H236" s="63">
        <f t="shared" si="27"/>
        <v>1392887.8536249963</v>
      </c>
      <c r="I236" s="16">
        <f t="shared" si="28"/>
        <v>3.6249961704015732E-3</v>
      </c>
    </row>
    <row r="237" spans="1:9" x14ac:dyDescent="0.25">
      <c r="A237" s="36">
        <v>48949</v>
      </c>
      <c r="B237" s="60">
        <f t="shared" si="25"/>
        <v>30</v>
      </c>
      <c r="C237" s="4">
        <f t="shared" si="29"/>
        <v>13167896</v>
      </c>
      <c r="D237" s="2">
        <f t="shared" si="24"/>
        <v>11922195.75</v>
      </c>
      <c r="E237" s="62">
        <f t="shared" si="26"/>
        <v>1245700.25</v>
      </c>
      <c r="F237" s="2">
        <f t="shared" si="30"/>
        <v>99656020.139999717</v>
      </c>
      <c r="G237" s="2">
        <f t="shared" si="31"/>
        <v>87733824.389999717</v>
      </c>
      <c r="H237" s="63">
        <f t="shared" si="27"/>
        <v>1245700.2517499963</v>
      </c>
      <c r="I237" s="16">
        <f t="shared" si="28"/>
        <v>1.7499963287264109E-3</v>
      </c>
    </row>
    <row r="238" spans="1:9" x14ac:dyDescent="0.25">
      <c r="A238" s="36">
        <v>48980</v>
      </c>
      <c r="B238" s="60">
        <f t="shared" si="25"/>
        <v>30</v>
      </c>
      <c r="C238" s="4">
        <f t="shared" si="29"/>
        <v>13167896</v>
      </c>
      <c r="D238" s="2">
        <f t="shared" si="24"/>
        <v>12071223.199999999</v>
      </c>
      <c r="E238" s="62">
        <f t="shared" si="26"/>
        <v>1096672.8</v>
      </c>
      <c r="F238" s="2">
        <f t="shared" si="30"/>
        <v>87733824.389999717</v>
      </c>
      <c r="G238" s="2">
        <f t="shared" si="31"/>
        <v>75662601.189999714</v>
      </c>
      <c r="H238" s="63">
        <f t="shared" si="27"/>
        <v>1096672.8048749964</v>
      </c>
      <c r="I238" s="16">
        <f t="shared" si="28"/>
        <v>4.8749963752925396E-3</v>
      </c>
    </row>
    <row r="239" spans="1:9" x14ac:dyDescent="0.25">
      <c r="A239" s="36">
        <v>49008</v>
      </c>
      <c r="B239" s="60">
        <f t="shared" si="25"/>
        <v>30</v>
      </c>
      <c r="C239" s="4">
        <f t="shared" si="29"/>
        <v>13167896</v>
      </c>
      <c r="D239" s="2">
        <f t="shared" si="24"/>
        <v>12222113.49</v>
      </c>
      <c r="E239" s="62">
        <f t="shared" si="26"/>
        <v>945782.51</v>
      </c>
      <c r="F239" s="2">
        <f t="shared" si="30"/>
        <v>75662601.189999714</v>
      </c>
      <c r="G239" s="2">
        <f t="shared" si="31"/>
        <v>63440487.699999712</v>
      </c>
      <c r="H239" s="63">
        <f t="shared" si="27"/>
        <v>945782.51487499638</v>
      </c>
      <c r="I239" s="16">
        <f t="shared" si="28"/>
        <v>4.8749963752925396E-3</v>
      </c>
    </row>
    <row r="240" spans="1:9" x14ac:dyDescent="0.25">
      <c r="A240" s="36">
        <v>49039</v>
      </c>
      <c r="B240" s="60">
        <f t="shared" si="25"/>
        <v>30</v>
      </c>
      <c r="C240" s="4">
        <f t="shared" si="29"/>
        <v>13167896</v>
      </c>
      <c r="D240" s="2">
        <f t="shared" si="24"/>
        <v>12374889.9</v>
      </c>
      <c r="E240" s="62">
        <f t="shared" si="26"/>
        <v>793006.1</v>
      </c>
      <c r="F240" s="2">
        <f t="shared" si="30"/>
        <v>63440487.699999712</v>
      </c>
      <c r="G240" s="2">
        <f t="shared" si="31"/>
        <v>51065597.799999714</v>
      </c>
      <c r="H240" s="63">
        <f t="shared" si="27"/>
        <v>793006.09624999634</v>
      </c>
      <c r="I240" s="16">
        <f t="shared" si="28"/>
        <v>-3.7500036414712667E-3</v>
      </c>
    </row>
    <row r="241" spans="1:9" x14ac:dyDescent="0.25">
      <c r="A241" s="36">
        <v>49069</v>
      </c>
      <c r="B241" s="60">
        <f t="shared" si="25"/>
        <v>30</v>
      </c>
      <c r="C241" s="4">
        <f t="shared" si="29"/>
        <v>13167896</v>
      </c>
      <c r="D241" s="2">
        <f t="shared" si="24"/>
        <v>12529576.029999999</v>
      </c>
      <c r="E241" s="62">
        <f t="shared" si="26"/>
        <v>638319.97</v>
      </c>
      <c r="F241" s="2">
        <f t="shared" si="30"/>
        <v>51065597.799999714</v>
      </c>
      <c r="G241" s="2">
        <f t="shared" si="31"/>
        <v>38536021.769999713</v>
      </c>
      <c r="H241" s="63">
        <f t="shared" si="27"/>
        <v>638319.97249999642</v>
      </c>
      <c r="I241" s="16">
        <f t="shared" si="28"/>
        <v>2.4999964516609907E-3</v>
      </c>
    </row>
    <row r="242" spans="1:9" x14ac:dyDescent="0.25">
      <c r="A242" s="36">
        <v>49100</v>
      </c>
      <c r="B242" s="60">
        <f t="shared" si="25"/>
        <v>30</v>
      </c>
      <c r="C242" s="4">
        <f t="shared" si="29"/>
        <v>13167896</v>
      </c>
      <c r="D242" s="2">
        <f t="shared" si="24"/>
        <v>12686195.73</v>
      </c>
      <c r="E242" s="62">
        <f t="shared" si="26"/>
        <v>481700.27</v>
      </c>
      <c r="F242" s="2">
        <f t="shared" si="30"/>
        <v>38536021.769999713</v>
      </c>
      <c r="G242" s="2">
        <f t="shared" si="31"/>
        <v>25849826.039999712</v>
      </c>
      <c r="H242" s="14"/>
      <c r="I242" s="16"/>
    </row>
    <row r="243" spans="1:9" x14ac:dyDescent="0.25">
      <c r="A243" s="36">
        <v>49130</v>
      </c>
      <c r="B243" s="60">
        <f t="shared" si="25"/>
        <v>30</v>
      </c>
      <c r="C243" s="4">
        <f t="shared" si="29"/>
        <v>13167896</v>
      </c>
      <c r="D243" s="2">
        <f t="shared" si="24"/>
        <v>12844773.17</v>
      </c>
      <c r="E243" s="62">
        <f t="shared" si="26"/>
        <v>323122.83</v>
      </c>
      <c r="F243" s="2">
        <f t="shared" si="30"/>
        <v>25849826.039999712</v>
      </c>
      <c r="G243" s="2">
        <f t="shared" si="31"/>
        <v>13005052.869999712</v>
      </c>
      <c r="H243" s="14"/>
      <c r="I243" s="16"/>
    </row>
    <row r="244" spans="1:9" x14ac:dyDescent="0.25">
      <c r="A244" s="36">
        <v>49161</v>
      </c>
      <c r="B244" s="60">
        <f t="shared" si="25"/>
        <v>30</v>
      </c>
      <c r="C244" s="4">
        <f t="shared" si="29"/>
        <v>13167896</v>
      </c>
      <c r="D244" s="2">
        <f t="shared" si="24"/>
        <v>13005052.869999999</v>
      </c>
      <c r="E244" s="62">
        <v>162843.13</v>
      </c>
      <c r="F244" s="2">
        <f t="shared" si="30"/>
        <v>13005052.869999712</v>
      </c>
      <c r="G244" s="2">
        <f t="shared" si="31"/>
        <v>-2.8684735298156738E-7</v>
      </c>
      <c r="H244" s="14"/>
      <c r="I244" s="16"/>
    </row>
    <row r="245" spans="1:9" x14ac:dyDescent="0.25">
      <c r="A245" s="36">
        <v>42160</v>
      </c>
      <c r="B245" s="60">
        <f>DAYS360(A13,A14,TRUE)</f>
        <v>30</v>
      </c>
      <c r="C245" s="4">
        <f t="shared" si="29"/>
        <v>13167896</v>
      </c>
      <c r="D245" s="2">
        <f t="shared" si="24"/>
        <v>746902.8900000006</v>
      </c>
      <c r="E245" s="19">
        <f>ROUND(F14*$B$2*B14/360,2)</f>
        <v>12420993.109999999</v>
      </c>
      <c r="F245" s="2">
        <f>G13</f>
        <v>993679449.12</v>
      </c>
      <c r="G245" s="2">
        <f t="shared" si="31"/>
        <v>992932546.23000002</v>
      </c>
      <c r="H245" s="14"/>
      <c r="I245" s="16"/>
    </row>
    <row r="246" spans="1:9" x14ac:dyDescent="0.25">
      <c r="A246" s="36">
        <v>42190</v>
      </c>
      <c r="B246" s="60">
        <f t="shared" si="25"/>
        <v>30</v>
      </c>
      <c r="C246" s="4">
        <f>$F$1</f>
        <v>16926875.700000003</v>
      </c>
      <c r="D246" s="2">
        <f t="shared" si="24"/>
        <v>377999.93000000343</v>
      </c>
      <c r="E246" s="19">
        <f>ROUND(F246*$J$1*B246/360,2)</f>
        <v>16548875.77</v>
      </c>
      <c r="F246" s="2">
        <f t="shared" si="30"/>
        <v>992932546.23000002</v>
      </c>
      <c r="G246" s="2">
        <f t="shared" si="31"/>
        <v>992554546.30000007</v>
      </c>
      <c r="H246" s="14"/>
      <c r="I246" s="16"/>
    </row>
    <row r="247" spans="1:9" x14ac:dyDescent="0.25">
      <c r="A247" s="36">
        <v>42221</v>
      </c>
      <c r="B247" s="60">
        <f t="shared" si="25"/>
        <v>30</v>
      </c>
      <c r="C247" s="4">
        <f t="shared" ref="C247:C310" si="32">$F$1</f>
        <v>16926875.700000003</v>
      </c>
      <c r="D247" s="2">
        <f t="shared" si="24"/>
        <v>384299.93000000343</v>
      </c>
      <c r="E247" s="19">
        <f t="shared" ref="E247:E310" si="33">ROUND(F247*$J$1*B247/360,2)</f>
        <v>16542575.77</v>
      </c>
      <c r="F247" s="2">
        <f t="shared" si="30"/>
        <v>992554546.30000007</v>
      </c>
      <c r="G247" s="2">
        <f t="shared" si="31"/>
        <v>992170246.37000012</v>
      </c>
      <c r="H247" s="14"/>
      <c r="I247" s="16"/>
    </row>
    <row r="248" spans="1:9" x14ac:dyDescent="0.25">
      <c r="A248" s="36">
        <v>42252</v>
      </c>
      <c r="B248" s="60">
        <f t="shared" si="25"/>
        <v>30</v>
      </c>
      <c r="C248" s="4">
        <f t="shared" si="32"/>
        <v>16926875.700000003</v>
      </c>
      <c r="D248" s="2">
        <f t="shared" si="24"/>
        <v>390704.93000000343</v>
      </c>
      <c r="E248" s="19">
        <f t="shared" si="33"/>
        <v>16536170.77</v>
      </c>
      <c r="F248" s="2">
        <f t="shared" si="30"/>
        <v>992170246.37000012</v>
      </c>
      <c r="G248" s="2">
        <f t="shared" si="31"/>
        <v>991779541.44000018</v>
      </c>
      <c r="H248" s="14"/>
      <c r="I248" s="16"/>
    </row>
    <row r="249" spans="1:9" x14ac:dyDescent="0.25">
      <c r="A249" s="36">
        <v>42282</v>
      </c>
      <c r="B249" s="60">
        <f t="shared" si="25"/>
        <v>30</v>
      </c>
      <c r="C249" s="4">
        <f t="shared" si="32"/>
        <v>16926875.700000003</v>
      </c>
      <c r="D249" s="2">
        <f t="shared" si="24"/>
        <v>397216.68000000343</v>
      </c>
      <c r="E249" s="19">
        <f t="shared" si="33"/>
        <v>16529659.02</v>
      </c>
      <c r="F249" s="2">
        <f t="shared" si="30"/>
        <v>991779541.44000018</v>
      </c>
      <c r="G249" s="2">
        <f t="shared" si="31"/>
        <v>991382324.76000023</v>
      </c>
      <c r="H249" s="14"/>
      <c r="I249" s="16"/>
    </row>
    <row r="250" spans="1:9" x14ac:dyDescent="0.25">
      <c r="A250" s="36">
        <v>42313</v>
      </c>
      <c r="B250" s="60">
        <f t="shared" si="25"/>
        <v>30</v>
      </c>
      <c r="C250" s="4">
        <f t="shared" si="32"/>
        <v>16926875.700000003</v>
      </c>
      <c r="D250" s="2">
        <f t="shared" si="24"/>
        <v>403836.95000000298</v>
      </c>
      <c r="E250" s="19">
        <f t="shared" si="33"/>
        <v>16523038.75</v>
      </c>
      <c r="F250" s="2">
        <f t="shared" si="30"/>
        <v>991382324.76000023</v>
      </c>
      <c r="G250" s="2">
        <f t="shared" si="31"/>
        <v>990978487.81000018</v>
      </c>
      <c r="H250" s="14"/>
      <c r="I250" s="16"/>
    </row>
    <row r="251" spans="1:9" x14ac:dyDescent="0.25">
      <c r="A251" s="36">
        <v>42343</v>
      </c>
      <c r="B251" s="60">
        <f t="shared" si="25"/>
        <v>30</v>
      </c>
      <c r="C251" s="4">
        <f t="shared" si="32"/>
        <v>16926875.700000003</v>
      </c>
      <c r="D251" s="2">
        <f t="shared" si="24"/>
        <v>410567.57000000216</v>
      </c>
      <c r="E251" s="19">
        <f t="shared" si="33"/>
        <v>16516308.130000001</v>
      </c>
      <c r="F251" s="2">
        <f t="shared" si="30"/>
        <v>990978487.81000018</v>
      </c>
      <c r="G251" s="2">
        <f t="shared" si="31"/>
        <v>990567920.24000013</v>
      </c>
      <c r="H251" s="14"/>
      <c r="I251" s="16"/>
    </row>
    <row r="252" spans="1:9" x14ac:dyDescent="0.25">
      <c r="A252" s="36">
        <v>42374</v>
      </c>
      <c r="B252" s="60">
        <f t="shared" si="25"/>
        <v>30</v>
      </c>
      <c r="C252" s="4">
        <f t="shared" si="32"/>
        <v>16926875.700000003</v>
      </c>
      <c r="D252" s="2">
        <f t="shared" si="24"/>
        <v>417410.36000000313</v>
      </c>
      <c r="E252" s="19">
        <f t="shared" si="33"/>
        <v>16509465.34</v>
      </c>
      <c r="F252" s="2">
        <f t="shared" si="30"/>
        <v>990567920.24000013</v>
      </c>
      <c r="G252" s="2">
        <f t="shared" si="31"/>
        <v>990150509.88000011</v>
      </c>
      <c r="H252" s="14"/>
      <c r="I252" s="16"/>
    </row>
    <row r="253" spans="1:9" x14ac:dyDescent="0.25">
      <c r="A253" s="36">
        <v>42405</v>
      </c>
      <c r="B253" s="60">
        <f t="shared" si="25"/>
        <v>30</v>
      </c>
      <c r="C253" s="4">
        <f t="shared" si="32"/>
        <v>16926875.700000003</v>
      </c>
      <c r="D253" s="2">
        <f t="shared" si="24"/>
        <v>424367.20000000298</v>
      </c>
      <c r="E253" s="19">
        <f t="shared" si="33"/>
        <v>16502508.5</v>
      </c>
      <c r="F253" s="2">
        <f t="shared" si="30"/>
        <v>990150509.88000011</v>
      </c>
      <c r="G253" s="2">
        <f t="shared" si="31"/>
        <v>989726142.68000007</v>
      </c>
      <c r="H253" s="14"/>
      <c r="I253" s="16"/>
    </row>
    <row r="254" spans="1:9" x14ac:dyDescent="0.25">
      <c r="A254" s="36">
        <v>42434</v>
      </c>
      <c r="B254" s="60">
        <f t="shared" si="25"/>
        <v>30</v>
      </c>
      <c r="C254" s="4">
        <f t="shared" si="32"/>
        <v>16926875.700000003</v>
      </c>
      <c r="D254" s="2">
        <f t="shared" si="24"/>
        <v>431439.99000000209</v>
      </c>
      <c r="E254" s="19">
        <f t="shared" si="33"/>
        <v>16495435.710000001</v>
      </c>
      <c r="F254" s="2">
        <f t="shared" si="30"/>
        <v>989726142.68000007</v>
      </c>
      <c r="G254" s="2">
        <f t="shared" si="31"/>
        <v>989294702.69000006</v>
      </c>
      <c r="H254" s="14"/>
      <c r="I254" s="16"/>
    </row>
    <row r="255" spans="1:9" x14ac:dyDescent="0.25">
      <c r="A255" s="36">
        <v>42465</v>
      </c>
      <c r="B255" s="60">
        <f t="shared" si="25"/>
        <v>30</v>
      </c>
      <c r="C255" s="4">
        <f t="shared" si="32"/>
        <v>16926875.700000003</v>
      </c>
      <c r="D255" s="2">
        <f t="shared" si="24"/>
        <v>438630.66000000387</v>
      </c>
      <c r="E255" s="19">
        <f t="shared" si="33"/>
        <v>16488245.039999999</v>
      </c>
      <c r="F255" s="2">
        <f t="shared" si="30"/>
        <v>989294702.69000006</v>
      </c>
      <c r="G255" s="2">
        <f t="shared" si="31"/>
        <v>988856072.03000009</v>
      </c>
      <c r="H255" s="14"/>
      <c r="I255" s="16"/>
    </row>
    <row r="256" spans="1:9" x14ac:dyDescent="0.25">
      <c r="A256" s="36">
        <v>42495</v>
      </c>
      <c r="B256" s="60">
        <f t="shared" si="25"/>
        <v>30</v>
      </c>
      <c r="C256" s="4">
        <f t="shared" si="32"/>
        <v>16926875.700000003</v>
      </c>
      <c r="D256" s="2">
        <f t="shared" si="24"/>
        <v>445941.17000000365</v>
      </c>
      <c r="E256" s="19">
        <f t="shared" si="33"/>
        <v>16480934.529999999</v>
      </c>
      <c r="F256" s="2">
        <f t="shared" si="30"/>
        <v>988856072.03000009</v>
      </c>
      <c r="G256" s="2">
        <f t="shared" si="31"/>
        <v>988410130.86000013</v>
      </c>
      <c r="H256" s="14"/>
      <c r="I256" s="16"/>
    </row>
    <row r="257" spans="1:9" x14ac:dyDescent="0.25">
      <c r="A257" s="36">
        <v>42526</v>
      </c>
      <c r="B257" s="60">
        <f t="shared" si="25"/>
        <v>30</v>
      </c>
      <c r="C257" s="4">
        <f t="shared" si="32"/>
        <v>16926875.700000003</v>
      </c>
      <c r="D257" s="2">
        <f t="shared" si="24"/>
        <v>453373.52000000328</v>
      </c>
      <c r="E257" s="19">
        <f t="shared" si="33"/>
        <v>16473502.18</v>
      </c>
      <c r="F257" s="2">
        <f t="shared" si="30"/>
        <v>988410130.86000013</v>
      </c>
      <c r="G257" s="2">
        <f t="shared" si="31"/>
        <v>987956757.34000015</v>
      </c>
      <c r="H257" s="14"/>
      <c r="I257" s="16"/>
    </row>
    <row r="258" spans="1:9" x14ac:dyDescent="0.25">
      <c r="A258" s="36">
        <v>42556</v>
      </c>
      <c r="B258" s="60">
        <f t="shared" si="25"/>
        <v>30</v>
      </c>
      <c r="C258" s="4">
        <f t="shared" si="32"/>
        <v>16926875.700000003</v>
      </c>
      <c r="D258" s="2">
        <f t="shared" si="24"/>
        <v>460929.74000000209</v>
      </c>
      <c r="E258" s="19">
        <f t="shared" si="33"/>
        <v>16465945.960000001</v>
      </c>
      <c r="F258" s="2">
        <f t="shared" si="30"/>
        <v>987956757.34000015</v>
      </c>
      <c r="G258" s="2">
        <f t="shared" si="31"/>
        <v>987495827.60000014</v>
      </c>
      <c r="H258" s="14"/>
      <c r="I258" s="16"/>
    </row>
    <row r="259" spans="1:9" x14ac:dyDescent="0.25">
      <c r="A259" s="36">
        <v>42587</v>
      </c>
      <c r="B259" s="60">
        <f t="shared" si="25"/>
        <v>30</v>
      </c>
      <c r="C259" s="4">
        <f t="shared" si="32"/>
        <v>16926875.700000003</v>
      </c>
      <c r="D259" s="2">
        <f t="shared" si="24"/>
        <v>468611.91000000387</v>
      </c>
      <c r="E259" s="19">
        <f t="shared" si="33"/>
        <v>16458263.789999999</v>
      </c>
      <c r="F259" s="2">
        <f t="shared" si="30"/>
        <v>987495827.60000014</v>
      </c>
      <c r="G259" s="2">
        <f t="shared" si="31"/>
        <v>987027215.69000018</v>
      </c>
      <c r="H259" s="14"/>
      <c r="I259" s="16"/>
    </row>
    <row r="260" spans="1:9" x14ac:dyDescent="0.25">
      <c r="A260" s="36">
        <v>42618</v>
      </c>
      <c r="B260" s="60">
        <f t="shared" si="25"/>
        <v>30</v>
      </c>
      <c r="C260" s="4">
        <f t="shared" si="32"/>
        <v>16926875.700000003</v>
      </c>
      <c r="D260" s="2">
        <f t="shared" si="24"/>
        <v>476422.11000000313</v>
      </c>
      <c r="E260" s="19">
        <f t="shared" si="33"/>
        <v>16450453.59</v>
      </c>
      <c r="F260" s="2">
        <f t="shared" si="30"/>
        <v>987027215.69000018</v>
      </c>
      <c r="G260" s="2">
        <f t="shared" si="31"/>
        <v>986550793.58000016</v>
      </c>
      <c r="H260" s="14"/>
      <c r="I260" s="16"/>
    </row>
    <row r="261" spans="1:9" x14ac:dyDescent="0.25">
      <c r="A261" s="36">
        <v>42648</v>
      </c>
      <c r="B261" s="60">
        <f t="shared" si="25"/>
        <v>30</v>
      </c>
      <c r="C261" s="4">
        <f t="shared" si="32"/>
        <v>16926875.700000003</v>
      </c>
      <c r="D261" s="2">
        <f t="shared" ref="D261:D324" si="34">C261-E261</f>
        <v>484362.47000000253</v>
      </c>
      <c r="E261" s="19">
        <f t="shared" si="33"/>
        <v>16442513.23</v>
      </c>
      <c r="F261" s="2">
        <f t="shared" si="30"/>
        <v>986550793.58000016</v>
      </c>
      <c r="G261" s="2">
        <f t="shared" si="31"/>
        <v>986066431.11000013</v>
      </c>
      <c r="H261" s="14"/>
      <c r="I261" s="16"/>
    </row>
    <row r="262" spans="1:9" x14ac:dyDescent="0.25">
      <c r="A262" s="36">
        <v>42679</v>
      </c>
      <c r="B262" s="60">
        <f t="shared" ref="B262:B325" si="35">DAYS360(A261,A262,TRUE)</f>
        <v>30</v>
      </c>
      <c r="C262" s="4">
        <f t="shared" si="32"/>
        <v>16926875.700000003</v>
      </c>
      <c r="D262" s="2">
        <f t="shared" si="34"/>
        <v>492435.18000000343</v>
      </c>
      <c r="E262" s="19">
        <f t="shared" si="33"/>
        <v>16434440.52</v>
      </c>
      <c r="F262" s="2">
        <f t="shared" si="30"/>
        <v>986066431.11000013</v>
      </c>
      <c r="G262" s="2">
        <f t="shared" si="31"/>
        <v>985573995.93000019</v>
      </c>
      <c r="H262" s="14"/>
      <c r="I262" s="16"/>
    </row>
    <row r="263" spans="1:9" x14ac:dyDescent="0.25">
      <c r="A263" s="36">
        <v>42709</v>
      </c>
      <c r="B263" s="60">
        <f t="shared" si="35"/>
        <v>30</v>
      </c>
      <c r="C263" s="4">
        <f t="shared" si="32"/>
        <v>16926875.700000003</v>
      </c>
      <c r="D263" s="2">
        <f t="shared" si="34"/>
        <v>500642.43000000343</v>
      </c>
      <c r="E263" s="19">
        <f t="shared" si="33"/>
        <v>16426233.27</v>
      </c>
      <c r="F263" s="2">
        <f t="shared" ref="F263:F326" si="36">G262</f>
        <v>985573995.93000019</v>
      </c>
      <c r="G263" s="2">
        <f t="shared" ref="G263:G326" si="37">F263-D263</f>
        <v>985073353.50000024</v>
      </c>
      <c r="H263" s="14"/>
      <c r="I263" s="16"/>
    </row>
    <row r="264" spans="1:9" x14ac:dyDescent="0.25">
      <c r="A264" s="36">
        <v>42740</v>
      </c>
      <c r="B264" s="60">
        <f t="shared" si="35"/>
        <v>30</v>
      </c>
      <c r="C264" s="4">
        <f t="shared" si="32"/>
        <v>16926875.700000003</v>
      </c>
      <c r="D264" s="2">
        <f t="shared" si="34"/>
        <v>508986.47000000253</v>
      </c>
      <c r="E264" s="19">
        <f t="shared" si="33"/>
        <v>16417889.23</v>
      </c>
      <c r="F264" s="2">
        <f t="shared" si="36"/>
        <v>985073353.50000024</v>
      </c>
      <c r="G264" s="2">
        <f t="shared" si="37"/>
        <v>984564367.03000021</v>
      </c>
      <c r="H264" s="14"/>
      <c r="I264" s="16"/>
    </row>
    <row r="265" spans="1:9" x14ac:dyDescent="0.25">
      <c r="A265" s="36">
        <v>42771</v>
      </c>
      <c r="B265" s="60">
        <f t="shared" si="35"/>
        <v>30</v>
      </c>
      <c r="C265" s="4">
        <f t="shared" si="32"/>
        <v>16926875.700000003</v>
      </c>
      <c r="D265" s="2">
        <f t="shared" si="34"/>
        <v>517469.5800000038</v>
      </c>
      <c r="E265" s="19">
        <f t="shared" si="33"/>
        <v>16409406.119999999</v>
      </c>
      <c r="F265" s="2">
        <f t="shared" si="36"/>
        <v>984564367.03000021</v>
      </c>
      <c r="G265" s="2">
        <f t="shared" si="37"/>
        <v>984046897.45000017</v>
      </c>
      <c r="H265" s="14"/>
      <c r="I265" s="16"/>
    </row>
    <row r="266" spans="1:9" x14ac:dyDescent="0.25">
      <c r="A266" s="36">
        <v>42799</v>
      </c>
      <c r="B266" s="60">
        <f t="shared" si="35"/>
        <v>30</v>
      </c>
      <c r="C266" s="4">
        <f t="shared" si="32"/>
        <v>16926875.700000003</v>
      </c>
      <c r="D266" s="2">
        <f t="shared" si="34"/>
        <v>526094.0800000038</v>
      </c>
      <c r="E266" s="19">
        <f t="shared" si="33"/>
        <v>16400781.619999999</v>
      </c>
      <c r="F266" s="2">
        <f t="shared" si="36"/>
        <v>984046897.45000017</v>
      </c>
      <c r="G266" s="2">
        <f t="shared" si="37"/>
        <v>983520803.37000012</v>
      </c>
      <c r="H266" s="14"/>
      <c r="I266" s="16"/>
    </row>
    <row r="267" spans="1:9" x14ac:dyDescent="0.25">
      <c r="A267" s="36">
        <v>42830</v>
      </c>
      <c r="B267" s="60">
        <f t="shared" si="35"/>
        <v>30</v>
      </c>
      <c r="C267" s="4">
        <f t="shared" si="32"/>
        <v>16926875.700000003</v>
      </c>
      <c r="D267" s="2">
        <f t="shared" si="34"/>
        <v>534862.31000000238</v>
      </c>
      <c r="E267" s="19">
        <f t="shared" si="33"/>
        <v>16392013.390000001</v>
      </c>
      <c r="F267" s="2">
        <f t="shared" si="36"/>
        <v>983520803.37000012</v>
      </c>
      <c r="G267" s="2">
        <f t="shared" si="37"/>
        <v>982985941.06000018</v>
      </c>
      <c r="H267" s="14"/>
      <c r="I267" s="16"/>
    </row>
    <row r="268" spans="1:9" x14ac:dyDescent="0.25">
      <c r="A268" s="36">
        <v>42860</v>
      </c>
      <c r="B268" s="60">
        <f t="shared" si="35"/>
        <v>30</v>
      </c>
      <c r="C268" s="4">
        <f t="shared" si="32"/>
        <v>16926875.700000003</v>
      </c>
      <c r="D268" s="2">
        <f t="shared" si="34"/>
        <v>543776.68000000343</v>
      </c>
      <c r="E268" s="19">
        <f t="shared" si="33"/>
        <v>16383099.02</v>
      </c>
      <c r="F268" s="2">
        <f t="shared" si="36"/>
        <v>982985941.06000018</v>
      </c>
      <c r="G268" s="2">
        <f t="shared" si="37"/>
        <v>982442164.38000023</v>
      </c>
      <c r="H268" s="14"/>
      <c r="I268" s="16"/>
    </row>
    <row r="269" spans="1:9" x14ac:dyDescent="0.25">
      <c r="A269" s="36">
        <v>42891</v>
      </c>
      <c r="B269" s="60">
        <f t="shared" si="35"/>
        <v>30</v>
      </c>
      <c r="C269" s="4">
        <f t="shared" si="32"/>
        <v>16926875.700000003</v>
      </c>
      <c r="D269" s="2">
        <f t="shared" si="34"/>
        <v>552839.63000000268</v>
      </c>
      <c r="E269" s="19">
        <f t="shared" si="33"/>
        <v>16374036.07</v>
      </c>
      <c r="F269" s="2">
        <f t="shared" si="36"/>
        <v>982442164.38000023</v>
      </c>
      <c r="G269" s="2">
        <f t="shared" si="37"/>
        <v>981889324.75000024</v>
      </c>
      <c r="H269" s="14"/>
      <c r="I269" s="16"/>
    </row>
    <row r="270" spans="1:9" x14ac:dyDescent="0.25">
      <c r="A270" s="36">
        <v>42921</v>
      </c>
      <c r="B270" s="60">
        <f t="shared" si="35"/>
        <v>30</v>
      </c>
      <c r="C270" s="4">
        <f t="shared" si="32"/>
        <v>16926875.700000003</v>
      </c>
      <c r="D270" s="2">
        <f t="shared" si="34"/>
        <v>562053.62000000291</v>
      </c>
      <c r="E270" s="19">
        <f t="shared" si="33"/>
        <v>16364822.08</v>
      </c>
      <c r="F270" s="2">
        <f t="shared" si="36"/>
        <v>981889324.75000024</v>
      </c>
      <c r="G270" s="2">
        <f t="shared" si="37"/>
        <v>981327271.13000023</v>
      </c>
      <c r="H270" s="14"/>
      <c r="I270" s="16"/>
    </row>
    <row r="271" spans="1:9" x14ac:dyDescent="0.25">
      <c r="A271" s="36">
        <v>42952</v>
      </c>
      <c r="B271" s="60">
        <f t="shared" si="35"/>
        <v>30</v>
      </c>
      <c r="C271" s="4">
        <f t="shared" si="32"/>
        <v>16926875.700000003</v>
      </c>
      <c r="D271" s="2">
        <f t="shared" si="34"/>
        <v>571421.18000000343</v>
      </c>
      <c r="E271" s="19">
        <f t="shared" si="33"/>
        <v>16355454.52</v>
      </c>
      <c r="F271" s="2">
        <f t="shared" si="36"/>
        <v>981327271.13000023</v>
      </c>
      <c r="G271" s="2">
        <f t="shared" si="37"/>
        <v>980755849.95000029</v>
      </c>
      <c r="H271" s="14"/>
      <c r="I271" s="16"/>
    </row>
    <row r="272" spans="1:9" x14ac:dyDescent="0.25">
      <c r="A272" s="36">
        <v>42983</v>
      </c>
      <c r="B272" s="60">
        <f t="shared" si="35"/>
        <v>30</v>
      </c>
      <c r="C272" s="4">
        <f t="shared" si="32"/>
        <v>16926875.700000003</v>
      </c>
      <c r="D272" s="2">
        <f t="shared" si="34"/>
        <v>580944.87000000291</v>
      </c>
      <c r="E272" s="19">
        <f t="shared" si="33"/>
        <v>16345930.83</v>
      </c>
      <c r="F272" s="2">
        <f t="shared" si="36"/>
        <v>980755849.95000029</v>
      </c>
      <c r="G272" s="2">
        <f t="shared" si="37"/>
        <v>980174905.08000028</v>
      </c>
      <c r="H272" s="14"/>
      <c r="I272" s="16"/>
    </row>
    <row r="273" spans="1:9" x14ac:dyDescent="0.25">
      <c r="A273" s="36">
        <v>43013</v>
      </c>
      <c r="B273" s="60">
        <f t="shared" si="35"/>
        <v>30</v>
      </c>
      <c r="C273" s="4">
        <f t="shared" si="32"/>
        <v>16926875.700000003</v>
      </c>
      <c r="D273" s="2">
        <f t="shared" si="34"/>
        <v>590627.28000000305</v>
      </c>
      <c r="E273" s="19">
        <f t="shared" si="33"/>
        <v>16336248.42</v>
      </c>
      <c r="F273" s="2">
        <f t="shared" si="36"/>
        <v>980174905.08000028</v>
      </c>
      <c r="G273" s="2">
        <f t="shared" si="37"/>
        <v>979584277.80000031</v>
      </c>
      <c r="H273" s="14"/>
      <c r="I273" s="16"/>
    </row>
    <row r="274" spans="1:9" x14ac:dyDescent="0.25">
      <c r="A274" s="36">
        <v>43044</v>
      </c>
      <c r="B274" s="60">
        <f t="shared" si="35"/>
        <v>30</v>
      </c>
      <c r="C274" s="4">
        <f t="shared" si="32"/>
        <v>16926875.700000003</v>
      </c>
      <c r="D274" s="2">
        <f t="shared" si="34"/>
        <v>600471.07000000216</v>
      </c>
      <c r="E274" s="19">
        <f t="shared" si="33"/>
        <v>16326404.630000001</v>
      </c>
      <c r="F274" s="2">
        <f t="shared" si="36"/>
        <v>979584277.80000031</v>
      </c>
      <c r="G274" s="2">
        <f t="shared" si="37"/>
        <v>978983806.73000026</v>
      </c>
      <c r="H274" s="14"/>
      <c r="I274" s="16"/>
    </row>
    <row r="275" spans="1:9" x14ac:dyDescent="0.25">
      <c r="A275" s="36">
        <v>43074</v>
      </c>
      <c r="B275" s="60">
        <f t="shared" si="35"/>
        <v>30</v>
      </c>
      <c r="C275" s="4">
        <f t="shared" si="32"/>
        <v>16926875.700000003</v>
      </c>
      <c r="D275" s="2">
        <f t="shared" si="34"/>
        <v>610478.92000000365</v>
      </c>
      <c r="E275" s="19">
        <f t="shared" si="33"/>
        <v>16316396.779999999</v>
      </c>
      <c r="F275" s="2">
        <f t="shared" si="36"/>
        <v>978983806.73000026</v>
      </c>
      <c r="G275" s="2">
        <f t="shared" si="37"/>
        <v>978373327.8100003</v>
      </c>
      <c r="H275" s="14"/>
      <c r="I275" s="16"/>
    </row>
    <row r="276" spans="1:9" x14ac:dyDescent="0.25">
      <c r="A276" s="36">
        <v>43105</v>
      </c>
      <c r="B276" s="60">
        <f t="shared" si="35"/>
        <v>30</v>
      </c>
      <c r="C276" s="4">
        <f t="shared" si="32"/>
        <v>16926875.700000003</v>
      </c>
      <c r="D276" s="2">
        <f t="shared" si="34"/>
        <v>620653.57000000216</v>
      </c>
      <c r="E276" s="19">
        <f t="shared" si="33"/>
        <v>16306222.130000001</v>
      </c>
      <c r="F276" s="2">
        <f t="shared" si="36"/>
        <v>978373327.8100003</v>
      </c>
      <c r="G276" s="2">
        <f t="shared" si="37"/>
        <v>977752674.24000025</v>
      </c>
      <c r="H276" s="14"/>
      <c r="I276" s="16"/>
    </row>
    <row r="277" spans="1:9" x14ac:dyDescent="0.25">
      <c r="A277" s="36">
        <v>43136</v>
      </c>
      <c r="B277" s="60">
        <f t="shared" si="35"/>
        <v>30</v>
      </c>
      <c r="C277" s="4">
        <f t="shared" si="32"/>
        <v>16926875.700000003</v>
      </c>
      <c r="D277" s="2">
        <f t="shared" si="34"/>
        <v>630997.80000000261</v>
      </c>
      <c r="E277" s="19">
        <f t="shared" si="33"/>
        <v>16295877.9</v>
      </c>
      <c r="F277" s="2">
        <f t="shared" si="36"/>
        <v>977752674.24000025</v>
      </c>
      <c r="G277" s="2">
        <f t="shared" si="37"/>
        <v>977121676.4400003</v>
      </c>
      <c r="H277" s="14"/>
      <c r="I277" s="16"/>
    </row>
    <row r="278" spans="1:9" x14ac:dyDescent="0.25">
      <c r="A278" s="36">
        <v>43164</v>
      </c>
      <c r="B278" s="60">
        <f t="shared" si="35"/>
        <v>30</v>
      </c>
      <c r="C278" s="4">
        <f t="shared" si="32"/>
        <v>16926875.700000003</v>
      </c>
      <c r="D278" s="2">
        <f t="shared" si="34"/>
        <v>641514.43000000343</v>
      </c>
      <c r="E278" s="19">
        <f t="shared" si="33"/>
        <v>16285361.27</v>
      </c>
      <c r="F278" s="2">
        <f t="shared" si="36"/>
        <v>977121676.4400003</v>
      </c>
      <c r="G278" s="2">
        <f t="shared" si="37"/>
        <v>976480162.01000035</v>
      </c>
      <c r="H278" s="14"/>
      <c r="I278" s="16"/>
    </row>
    <row r="279" spans="1:9" x14ac:dyDescent="0.25">
      <c r="A279" s="36">
        <v>43195</v>
      </c>
      <c r="B279" s="60">
        <f t="shared" si="35"/>
        <v>30</v>
      </c>
      <c r="C279" s="4">
        <f t="shared" si="32"/>
        <v>16926875.700000003</v>
      </c>
      <c r="D279" s="2">
        <f t="shared" si="34"/>
        <v>652206.3300000038</v>
      </c>
      <c r="E279" s="19">
        <f t="shared" si="33"/>
        <v>16274669.369999999</v>
      </c>
      <c r="F279" s="2">
        <f t="shared" si="36"/>
        <v>976480162.01000035</v>
      </c>
      <c r="G279" s="2">
        <f t="shared" si="37"/>
        <v>975827955.68000031</v>
      </c>
      <c r="H279" s="14"/>
      <c r="I279" s="16"/>
    </row>
    <row r="280" spans="1:9" x14ac:dyDescent="0.25">
      <c r="A280" s="36">
        <v>43225</v>
      </c>
      <c r="B280" s="60">
        <f t="shared" si="35"/>
        <v>30</v>
      </c>
      <c r="C280" s="4">
        <f t="shared" si="32"/>
        <v>16926875.700000003</v>
      </c>
      <c r="D280" s="2">
        <f t="shared" si="34"/>
        <v>663076.4400000032</v>
      </c>
      <c r="E280" s="19">
        <f t="shared" si="33"/>
        <v>16263799.26</v>
      </c>
      <c r="F280" s="2">
        <f t="shared" si="36"/>
        <v>975827955.68000031</v>
      </c>
      <c r="G280" s="2">
        <f t="shared" si="37"/>
        <v>975164879.24000025</v>
      </c>
      <c r="H280" s="14"/>
      <c r="I280" s="16"/>
    </row>
    <row r="281" spans="1:9" x14ac:dyDescent="0.25">
      <c r="A281" s="36">
        <v>43256</v>
      </c>
      <c r="B281" s="60">
        <f t="shared" si="35"/>
        <v>30</v>
      </c>
      <c r="C281" s="4">
        <f t="shared" si="32"/>
        <v>16926875.700000003</v>
      </c>
      <c r="D281" s="2">
        <f t="shared" si="34"/>
        <v>674127.71000000276</v>
      </c>
      <c r="E281" s="19">
        <f t="shared" si="33"/>
        <v>16252747.99</v>
      </c>
      <c r="F281" s="2">
        <f t="shared" si="36"/>
        <v>975164879.24000025</v>
      </c>
      <c r="G281" s="2">
        <f t="shared" si="37"/>
        <v>974490751.53000021</v>
      </c>
      <c r="H281" s="14"/>
      <c r="I281" s="16"/>
    </row>
    <row r="282" spans="1:9" x14ac:dyDescent="0.25">
      <c r="A282" s="36">
        <v>43286</v>
      </c>
      <c r="B282" s="60">
        <f t="shared" si="35"/>
        <v>30</v>
      </c>
      <c r="C282" s="4">
        <f t="shared" si="32"/>
        <v>16926875.700000003</v>
      </c>
      <c r="D282" s="2">
        <f t="shared" si="34"/>
        <v>685363.17000000365</v>
      </c>
      <c r="E282" s="19">
        <f t="shared" si="33"/>
        <v>16241512.529999999</v>
      </c>
      <c r="F282" s="2">
        <f t="shared" si="36"/>
        <v>974490751.53000021</v>
      </c>
      <c r="G282" s="2">
        <f t="shared" si="37"/>
        <v>973805388.36000025</v>
      </c>
      <c r="H282" s="14"/>
      <c r="I282" s="16"/>
    </row>
    <row r="283" spans="1:9" x14ac:dyDescent="0.25">
      <c r="A283" s="36">
        <v>43317</v>
      </c>
      <c r="B283" s="60">
        <f t="shared" si="35"/>
        <v>30</v>
      </c>
      <c r="C283" s="4">
        <f t="shared" si="32"/>
        <v>16926875.700000003</v>
      </c>
      <c r="D283" s="2">
        <f t="shared" si="34"/>
        <v>696785.89000000246</v>
      </c>
      <c r="E283" s="19">
        <f t="shared" si="33"/>
        <v>16230089.810000001</v>
      </c>
      <c r="F283" s="2">
        <f t="shared" si="36"/>
        <v>973805388.36000025</v>
      </c>
      <c r="G283" s="2">
        <f t="shared" si="37"/>
        <v>973108602.47000027</v>
      </c>
      <c r="H283" s="14"/>
      <c r="I283" s="16"/>
    </row>
    <row r="284" spans="1:9" x14ac:dyDescent="0.25">
      <c r="A284" s="36">
        <v>43348</v>
      </c>
      <c r="B284" s="60">
        <f t="shared" si="35"/>
        <v>30</v>
      </c>
      <c r="C284" s="4">
        <f t="shared" si="32"/>
        <v>16926875.700000003</v>
      </c>
      <c r="D284" s="2">
        <f t="shared" si="34"/>
        <v>708398.99000000209</v>
      </c>
      <c r="E284" s="19">
        <f t="shared" si="33"/>
        <v>16218476.710000001</v>
      </c>
      <c r="F284" s="2">
        <f t="shared" si="36"/>
        <v>973108602.47000027</v>
      </c>
      <c r="G284" s="2">
        <f t="shared" si="37"/>
        <v>972400203.48000026</v>
      </c>
      <c r="H284" s="14"/>
      <c r="I284" s="16"/>
    </row>
    <row r="285" spans="1:9" x14ac:dyDescent="0.25">
      <c r="A285" s="36">
        <v>43378</v>
      </c>
      <c r="B285" s="60">
        <f t="shared" si="35"/>
        <v>30</v>
      </c>
      <c r="C285" s="4">
        <f t="shared" si="32"/>
        <v>16926875.700000003</v>
      </c>
      <c r="D285" s="2">
        <f t="shared" si="34"/>
        <v>720205.64000000246</v>
      </c>
      <c r="E285" s="19">
        <f t="shared" si="33"/>
        <v>16206670.060000001</v>
      </c>
      <c r="F285" s="2">
        <f t="shared" si="36"/>
        <v>972400203.48000026</v>
      </c>
      <c r="G285" s="2">
        <f t="shared" si="37"/>
        <v>971679997.84000027</v>
      </c>
      <c r="H285" s="14"/>
      <c r="I285" s="16"/>
    </row>
    <row r="286" spans="1:9" x14ac:dyDescent="0.25">
      <c r="A286" s="36">
        <v>43409</v>
      </c>
      <c r="B286" s="60">
        <f t="shared" si="35"/>
        <v>30</v>
      </c>
      <c r="C286" s="4">
        <f t="shared" si="32"/>
        <v>16926875.700000003</v>
      </c>
      <c r="D286" s="2">
        <f t="shared" si="34"/>
        <v>732209.07000000216</v>
      </c>
      <c r="E286" s="19">
        <f t="shared" si="33"/>
        <v>16194666.630000001</v>
      </c>
      <c r="F286" s="2">
        <f t="shared" si="36"/>
        <v>971679997.84000027</v>
      </c>
      <c r="G286" s="2">
        <f t="shared" si="37"/>
        <v>970947788.77000022</v>
      </c>
      <c r="H286" s="14"/>
      <c r="I286" s="16"/>
    </row>
    <row r="287" spans="1:9" x14ac:dyDescent="0.25">
      <c r="A287" s="36">
        <v>43439</v>
      </c>
      <c r="B287" s="60">
        <f t="shared" si="35"/>
        <v>30</v>
      </c>
      <c r="C287" s="4">
        <f t="shared" si="32"/>
        <v>16926875.700000003</v>
      </c>
      <c r="D287" s="2">
        <f t="shared" si="34"/>
        <v>744412.55000000261</v>
      </c>
      <c r="E287" s="19">
        <f t="shared" si="33"/>
        <v>16182463.15</v>
      </c>
      <c r="F287" s="2">
        <f t="shared" si="36"/>
        <v>970947788.77000022</v>
      </c>
      <c r="G287" s="2">
        <f t="shared" si="37"/>
        <v>970203376.22000027</v>
      </c>
      <c r="H287" s="14"/>
      <c r="I287" s="16"/>
    </row>
    <row r="288" spans="1:9" x14ac:dyDescent="0.25">
      <c r="A288" s="36">
        <v>43470</v>
      </c>
      <c r="B288" s="60">
        <f t="shared" si="35"/>
        <v>30</v>
      </c>
      <c r="C288" s="4">
        <f t="shared" si="32"/>
        <v>16926875.700000003</v>
      </c>
      <c r="D288" s="2">
        <f t="shared" si="34"/>
        <v>756819.43000000343</v>
      </c>
      <c r="E288" s="19">
        <f t="shared" si="33"/>
        <v>16170056.27</v>
      </c>
      <c r="F288" s="2">
        <f t="shared" si="36"/>
        <v>970203376.22000027</v>
      </c>
      <c r="G288" s="2">
        <f t="shared" si="37"/>
        <v>969446556.79000032</v>
      </c>
      <c r="H288" s="14"/>
      <c r="I288" s="16"/>
    </row>
    <row r="289" spans="1:9" x14ac:dyDescent="0.25">
      <c r="A289" s="36">
        <v>43501</v>
      </c>
      <c r="B289" s="60">
        <f t="shared" si="35"/>
        <v>30</v>
      </c>
      <c r="C289" s="4">
        <f t="shared" si="32"/>
        <v>16926875.700000003</v>
      </c>
      <c r="D289" s="2">
        <f t="shared" si="34"/>
        <v>769433.09000000358</v>
      </c>
      <c r="E289" s="19">
        <f t="shared" si="33"/>
        <v>16157442.609999999</v>
      </c>
      <c r="F289" s="2">
        <f t="shared" si="36"/>
        <v>969446556.79000032</v>
      </c>
      <c r="G289" s="2">
        <f t="shared" si="37"/>
        <v>968677123.70000029</v>
      </c>
      <c r="H289" s="14"/>
      <c r="I289" s="16"/>
    </row>
    <row r="290" spans="1:9" x14ac:dyDescent="0.25">
      <c r="A290" s="36">
        <v>43529</v>
      </c>
      <c r="B290" s="60">
        <f t="shared" si="35"/>
        <v>30</v>
      </c>
      <c r="C290" s="4">
        <f t="shared" si="32"/>
        <v>16926875.700000003</v>
      </c>
      <c r="D290" s="2">
        <f t="shared" si="34"/>
        <v>782256.97000000253</v>
      </c>
      <c r="E290" s="19">
        <f t="shared" si="33"/>
        <v>16144618.73</v>
      </c>
      <c r="F290" s="2">
        <f t="shared" si="36"/>
        <v>968677123.70000029</v>
      </c>
      <c r="G290" s="2">
        <f t="shared" si="37"/>
        <v>967894866.73000026</v>
      </c>
      <c r="H290" s="14"/>
      <c r="I290" s="16"/>
    </row>
    <row r="291" spans="1:9" x14ac:dyDescent="0.25">
      <c r="A291" s="36">
        <v>43560</v>
      </c>
      <c r="B291" s="60">
        <f t="shared" si="35"/>
        <v>30</v>
      </c>
      <c r="C291" s="4">
        <f t="shared" si="32"/>
        <v>16926875.700000003</v>
      </c>
      <c r="D291" s="2">
        <f t="shared" si="34"/>
        <v>795294.59000000358</v>
      </c>
      <c r="E291" s="19">
        <f t="shared" si="33"/>
        <v>16131581.109999999</v>
      </c>
      <c r="F291" s="2">
        <f t="shared" si="36"/>
        <v>967894866.73000026</v>
      </c>
      <c r="G291" s="2">
        <f t="shared" si="37"/>
        <v>967099572.14000022</v>
      </c>
      <c r="H291" s="14"/>
      <c r="I291" s="16"/>
    </row>
    <row r="292" spans="1:9" x14ac:dyDescent="0.25">
      <c r="A292" s="36">
        <v>43590</v>
      </c>
      <c r="B292" s="60">
        <f t="shared" si="35"/>
        <v>30</v>
      </c>
      <c r="C292" s="4">
        <f t="shared" si="32"/>
        <v>16926875.700000003</v>
      </c>
      <c r="D292" s="2">
        <f t="shared" si="34"/>
        <v>808549.50000000373</v>
      </c>
      <c r="E292" s="19">
        <f t="shared" si="33"/>
        <v>16118326.199999999</v>
      </c>
      <c r="F292" s="2">
        <f t="shared" si="36"/>
        <v>967099572.14000022</v>
      </c>
      <c r="G292" s="2">
        <f t="shared" si="37"/>
        <v>966291022.64000022</v>
      </c>
      <c r="H292" s="14"/>
      <c r="I292" s="16"/>
    </row>
    <row r="293" spans="1:9" x14ac:dyDescent="0.25">
      <c r="A293" s="36">
        <v>43621</v>
      </c>
      <c r="B293" s="60">
        <f t="shared" si="35"/>
        <v>30</v>
      </c>
      <c r="C293" s="4">
        <f t="shared" si="32"/>
        <v>16926875.700000003</v>
      </c>
      <c r="D293" s="2">
        <f t="shared" si="34"/>
        <v>822025.32000000216</v>
      </c>
      <c r="E293" s="19">
        <f t="shared" si="33"/>
        <v>16104850.380000001</v>
      </c>
      <c r="F293" s="2">
        <f t="shared" si="36"/>
        <v>966291022.64000022</v>
      </c>
      <c r="G293" s="2">
        <f t="shared" si="37"/>
        <v>965468997.32000017</v>
      </c>
      <c r="H293" s="14"/>
      <c r="I293" s="16"/>
    </row>
    <row r="294" spans="1:9" x14ac:dyDescent="0.25">
      <c r="A294" s="36">
        <v>43651</v>
      </c>
      <c r="B294" s="60">
        <f t="shared" si="35"/>
        <v>30</v>
      </c>
      <c r="C294" s="4">
        <f t="shared" si="32"/>
        <v>16926875.700000003</v>
      </c>
      <c r="D294" s="2">
        <f t="shared" si="34"/>
        <v>835725.74000000209</v>
      </c>
      <c r="E294" s="19">
        <f t="shared" si="33"/>
        <v>16091149.960000001</v>
      </c>
      <c r="F294" s="2">
        <f t="shared" si="36"/>
        <v>965468997.32000017</v>
      </c>
      <c r="G294" s="2">
        <f t="shared" si="37"/>
        <v>964633271.58000016</v>
      </c>
      <c r="H294" s="14"/>
      <c r="I294" s="16"/>
    </row>
    <row r="295" spans="1:9" x14ac:dyDescent="0.25">
      <c r="A295" s="36">
        <v>43682</v>
      </c>
      <c r="B295" s="60">
        <f t="shared" si="35"/>
        <v>30</v>
      </c>
      <c r="C295" s="4">
        <f t="shared" si="32"/>
        <v>16926875.700000003</v>
      </c>
      <c r="D295" s="2">
        <f t="shared" si="34"/>
        <v>849654.5100000035</v>
      </c>
      <c r="E295" s="19">
        <f t="shared" si="33"/>
        <v>16077221.189999999</v>
      </c>
      <c r="F295" s="2">
        <f t="shared" si="36"/>
        <v>964633271.58000016</v>
      </c>
      <c r="G295" s="2">
        <f t="shared" si="37"/>
        <v>963783617.07000017</v>
      </c>
      <c r="H295" s="14"/>
      <c r="I295" s="16"/>
    </row>
    <row r="296" spans="1:9" x14ac:dyDescent="0.25">
      <c r="A296" s="36">
        <v>43713</v>
      </c>
      <c r="B296" s="60">
        <f t="shared" si="35"/>
        <v>30</v>
      </c>
      <c r="C296" s="4">
        <f t="shared" si="32"/>
        <v>16926875.700000003</v>
      </c>
      <c r="D296" s="2">
        <f t="shared" si="34"/>
        <v>863815.42000000365</v>
      </c>
      <c r="E296" s="19">
        <f t="shared" si="33"/>
        <v>16063060.279999999</v>
      </c>
      <c r="F296" s="2">
        <f t="shared" si="36"/>
        <v>963783617.07000017</v>
      </c>
      <c r="G296" s="2">
        <f t="shared" si="37"/>
        <v>962919801.65000021</v>
      </c>
      <c r="H296" s="14"/>
      <c r="I296" s="16"/>
    </row>
    <row r="297" spans="1:9" x14ac:dyDescent="0.25">
      <c r="A297" s="36">
        <v>43743</v>
      </c>
      <c r="B297" s="60">
        <f t="shared" si="35"/>
        <v>30</v>
      </c>
      <c r="C297" s="4">
        <f t="shared" si="32"/>
        <v>16926875.700000003</v>
      </c>
      <c r="D297" s="2">
        <f t="shared" si="34"/>
        <v>878212.34000000358</v>
      </c>
      <c r="E297" s="19">
        <f t="shared" si="33"/>
        <v>16048663.359999999</v>
      </c>
      <c r="F297" s="2">
        <f t="shared" si="36"/>
        <v>962919801.65000021</v>
      </c>
      <c r="G297" s="2">
        <f t="shared" si="37"/>
        <v>962041589.31000018</v>
      </c>
      <c r="H297" s="14"/>
      <c r="I297" s="16"/>
    </row>
    <row r="298" spans="1:9" x14ac:dyDescent="0.25">
      <c r="A298" s="36">
        <v>43774</v>
      </c>
      <c r="B298" s="60">
        <f t="shared" si="35"/>
        <v>30</v>
      </c>
      <c r="C298" s="4">
        <f t="shared" si="32"/>
        <v>16926875.700000003</v>
      </c>
      <c r="D298" s="2">
        <f t="shared" si="34"/>
        <v>892849.21000000276</v>
      </c>
      <c r="E298" s="19">
        <f t="shared" si="33"/>
        <v>16034026.49</v>
      </c>
      <c r="F298" s="2">
        <f t="shared" si="36"/>
        <v>962041589.31000018</v>
      </c>
      <c r="G298" s="2">
        <f t="shared" si="37"/>
        <v>961148740.10000014</v>
      </c>
      <c r="H298" s="14"/>
      <c r="I298" s="16"/>
    </row>
    <row r="299" spans="1:9" x14ac:dyDescent="0.25">
      <c r="A299" s="36">
        <v>43804</v>
      </c>
      <c r="B299" s="60">
        <f t="shared" si="35"/>
        <v>30</v>
      </c>
      <c r="C299" s="4">
        <f t="shared" si="32"/>
        <v>16926875.700000003</v>
      </c>
      <c r="D299" s="2">
        <f t="shared" si="34"/>
        <v>907730.03000000305</v>
      </c>
      <c r="E299" s="19">
        <f t="shared" si="33"/>
        <v>16019145.67</v>
      </c>
      <c r="F299" s="2">
        <f t="shared" si="36"/>
        <v>961148740.10000014</v>
      </c>
      <c r="G299" s="2">
        <f t="shared" si="37"/>
        <v>960241010.07000017</v>
      </c>
      <c r="H299" s="14"/>
      <c r="I299" s="16"/>
    </row>
    <row r="300" spans="1:9" x14ac:dyDescent="0.25">
      <c r="A300" s="36">
        <v>43835</v>
      </c>
      <c r="B300" s="60">
        <f t="shared" si="35"/>
        <v>30</v>
      </c>
      <c r="C300" s="4">
        <f t="shared" si="32"/>
        <v>16926875.700000003</v>
      </c>
      <c r="D300" s="2">
        <f t="shared" si="34"/>
        <v>922858.87000000291</v>
      </c>
      <c r="E300" s="19">
        <f t="shared" si="33"/>
        <v>16004016.83</v>
      </c>
      <c r="F300" s="2">
        <f t="shared" si="36"/>
        <v>960241010.07000017</v>
      </c>
      <c r="G300" s="2">
        <f t="shared" si="37"/>
        <v>959318151.20000017</v>
      </c>
      <c r="H300" s="14"/>
      <c r="I300" s="16"/>
    </row>
    <row r="301" spans="1:9" x14ac:dyDescent="0.25">
      <c r="A301" s="36">
        <v>43866</v>
      </c>
      <c r="B301" s="60">
        <f t="shared" si="35"/>
        <v>30</v>
      </c>
      <c r="C301" s="4">
        <f t="shared" si="32"/>
        <v>16926875.700000003</v>
      </c>
      <c r="D301" s="2">
        <f t="shared" si="34"/>
        <v>938239.85000000335</v>
      </c>
      <c r="E301" s="19">
        <f t="shared" si="33"/>
        <v>15988635.85</v>
      </c>
      <c r="F301" s="2">
        <f t="shared" si="36"/>
        <v>959318151.20000017</v>
      </c>
      <c r="G301" s="2">
        <f t="shared" si="37"/>
        <v>958379911.35000014</v>
      </c>
      <c r="H301" s="14"/>
      <c r="I301" s="16"/>
    </row>
    <row r="302" spans="1:9" x14ac:dyDescent="0.25">
      <c r="A302" s="36">
        <v>43895</v>
      </c>
      <c r="B302" s="60">
        <f t="shared" si="35"/>
        <v>30</v>
      </c>
      <c r="C302" s="4">
        <f t="shared" si="32"/>
        <v>16926875.700000003</v>
      </c>
      <c r="D302" s="2">
        <f t="shared" si="34"/>
        <v>953877.18000000343</v>
      </c>
      <c r="E302" s="19">
        <f t="shared" si="33"/>
        <v>15972998.52</v>
      </c>
      <c r="F302" s="2">
        <f t="shared" si="36"/>
        <v>958379911.35000014</v>
      </c>
      <c r="G302" s="2">
        <f t="shared" si="37"/>
        <v>957426034.1700002</v>
      </c>
      <c r="H302" s="14"/>
      <c r="I302" s="16"/>
    </row>
    <row r="303" spans="1:9" x14ac:dyDescent="0.25">
      <c r="A303" s="36">
        <v>43926</v>
      </c>
      <c r="B303" s="60">
        <f t="shared" si="35"/>
        <v>30</v>
      </c>
      <c r="C303" s="4">
        <f t="shared" si="32"/>
        <v>16926875.700000003</v>
      </c>
      <c r="D303" s="2">
        <f t="shared" si="34"/>
        <v>969775.13000000268</v>
      </c>
      <c r="E303" s="19">
        <f t="shared" si="33"/>
        <v>15957100.57</v>
      </c>
      <c r="F303" s="2">
        <f t="shared" si="36"/>
        <v>957426034.1700002</v>
      </c>
      <c r="G303" s="2">
        <f t="shared" si="37"/>
        <v>956456259.0400002</v>
      </c>
      <c r="H303" s="14"/>
      <c r="I303" s="16"/>
    </row>
    <row r="304" spans="1:9" x14ac:dyDescent="0.25">
      <c r="A304" s="36">
        <v>43956</v>
      </c>
      <c r="B304" s="60">
        <f t="shared" si="35"/>
        <v>30</v>
      </c>
      <c r="C304" s="4">
        <f t="shared" si="32"/>
        <v>16926875.700000003</v>
      </c>
      <c r="D304" s="2">
        <f t="shared" si="34"/>
        <v>985938.05000000261</v>
      </c>
      <c r="E304" s="19">
        <f t="shared" si="33"/>
        <v>15940937.65</v>
      </c>
      <c r="F304" s="2">
        <f t="shared" si="36"/>
        <v>956456259.0400002</v>
      </c>
      <c r="G304" s="2">
        <f t="shared" si="37"/>
        <v>955470320.99000025</v>
      </c>
      <c r="H304" s="14"/>
      <c r="I304" s="16"/>
    </row>
    <row r="305" spans="1:9" x14ac:dyDescent="0.25">
      <c r="A305" s="36">
        <v>43987</v>
      </c>
      <c r="B305" s="60">
        <f t="shared" si="35"/>
        <v>30</v>
      </c>
      <c r="C305" s="4">
        <f t="shared" si="32"/>
        <v>16926875.700000003</v>
      </c>
      <c r="D305" s="2">
        <f t="shared" si="34"/>
        <v>1002370.3500000034</v>
      </c>
      <c r="E305" s="19">
        <f t="shared" si="33"/>
        <v>15924505.35</v>
      </c>
      <c r="F305" s="2">
        <f t="shared" si="36"/>
        <v>955470320.99000025</v>
      </c>
      <c r="G305" s="2">
        <f t="shared" si="37"/>
        <v>954467950.64000022</v>
      </c>
      <c r="H305" s="14"/>
      <c r="I305" s="16"/>
    </row>
    <row r="306" spans="1:9" x14ac:dyDescent="0.25">
      <c r="A306" s="36">
        <v>44017</v>
      </c>
      <c r="B306" s="60">
        <f t="shared" si="35"/>
        <v>30</v>
      </c>
      <c r="C306" s="4">
        <f t="shared" si="32"/>
        <v>16926875.700000003</v>
      </c>
      <c r="D306" s="2">
        <f t="shared" si="34"/>
        <v>1019076.5200000033</v>
      </c>
      <c r="E306" s="19">
        <f t="shared" si="33"/>
        <v>15907799.18</v>
      </c>
      <c r="F306" s="2">
        <f t="shared" si="36"/>
        <v>954467950.64000022</v>
      </c>
      <c r="G306" s="2">
        <f t="shared" si="37"/>
        <v>953448874.12000024</v>
      </c>
      <c r="H306" s="14"/>
      <c r="I306" s="16"/>
    </row>
    <row r="307" spans="1:9" x14ac:dyDescent="0.25">
      <c r="A307" s="36">
        <v>44048</v>
      </c>
      <c r="B307" s="60">
        <f t="shared" si="35"/>
        <v>30</v>
      </c>
      <c r="C307" s="4">
        <f t="shared" si="32"/>
        <v>16926875.700000003</v>
      </c>
      <c r="D307" s="2">
        <f t="shared" si="34"/>
        <v>1036061.1300000027</v>
      </c>
      <c r="E307" s="19">
        <f t="shared" si="33"/>
        <v>15890814.57</v>
      </c>
      <c r="F307" s="2">
        <f t="shared" si="36"/>
        <v>953448874.12000024</v>
      </c>
      <c r="G307" s="2">
        <f t="shared" si="37"/>
        <v>952412812.99000025</v>
      </c>
      <c r="H307" s="14"/>
      <c r="I307" s="16"/>
    </row>
    <row r="308" spans="1:9" x14ac:dyDescent="0.25">
      <c r="A308" s="36">
        <v>44079</v>
      </c>
      <c r="B308" s="60">
        <f t="shared" si="35"/>
        <v>30</v>
      </c>
      <c r="C308" s="4">
        <f t="shared" si="32"/>
        <v>16926875.700000003</v>
      </c>
      <c r="D308" s="2">
        <f t="shared" si="34"/>
        <v>1053328.8200000022</v>
      </c>
      <c r="E308" s="19">
        <f t="shared" si="33"/>
        <v>15873546.880000001</v>
      </c>
      <c r="F308" s="2">
        <f t="shared" si="36"/>
        <v>952412812.99000025</v>
      </c>
      <c r="G308" s="2">
        <f t="shared" si="37"/>
        <v>951359484.1700002</v>
      </c>
      <c r="H308" s="14"/>
      <c r="I308" s="16"/>
    </row>
    <row r="309" spans="1:9" x14ac:dyDescent="0.25">
      <c r="A309" s="36">
        <v>44109</v>
      </c>
      <c r="B309" s="60">
        <f t="shared" si="35"/>
        <v>30</v>
      </c>
      <c r="C309" s="4">
        <f t="shared" si="32"/>
        <v>16926875.700000003</v>
      </c>
      <c r="D309" s="2">
        <f t="shared" si="34"/>
        <v>1070884.3000000026</v>
      </c>
      <c r="E309" s="19">
        <f t="shared" si="33"/>
        <v>15855991.4</v>
      </c>
      <c r="F309" s="2">
        <f t="shared" si="36"/>
        <v>951359484.1700002</v>
      </c>
      <c r="G309" s="2">
        <f t="shared" si="37"/>
        <v>950288599.87000024</v>
      </c>
      <c r="H309" s="14"/>
      <c r="I309" s="16"/>
    </row>
    <row r="310" spans="1:9" x14ac:dyDescent="0.25">
      <c r="A310" s="36">
        <v>44140</v>
      </c>
      <c r="B310" s="60">
        <f t="shared" si="35"/>
        <v>30</v>
      </c>
      <c r="C310" s="4">
        <f t="shared" si="32"/>
        <v>16926875.700000003</v>
      </c>
      <c r="D310" s="2">
        <f t="shared" si="34"/>
        <v>1088732.3700000029</v>
      </c>
      <c r="E310" s="19">
        <f t="shared" si="33"/>
        <v>15838143.33</v>
      </c>
      <c r="F310" s="2">
        <f t="shared" si="36"/>
        <v>950288599.87000024</v>
      </c>
      <c r="G310" s="2">
        <f t="shared" si="37"/>
        <v>949199867.50000024</v>
      </c>
      <c r="H310" s="14"/>
      <c r="I310" s="16"/>
    </row>
    <row r="311" spans="1:9" x14ac:dyDescent="0.25">
      <c r="A311" s="36">
        <v>44170</v>
      </c>
      <c r="B311" s="60">
        <f t="shared" si="35"/>
        <v>30</v>
      </c>
      <c r="C311" s="4">
        <f t="shared" ref="C311:C374" si="38">$F$1</f>
        <v>16926875.700000003</v>
      </c>
      <c r="D311" s="2">
        <f t="shared" si="34"/>
        <v>1106877.9100000039</v>
      </c>
      <c r="E311" s="19">
        <f t="shared" ref="E311:E374" si="39">ROUND(F311*$J$1*B311/360,2)</f>
        <v>15819997.789999999</v>
      </c>
      <c r="F311" s="2">
        <f t="shared" si="36"/>
        <v>949199867.50000024</v>
      </c>
      <c r="G311" s="2">
        <f t="shared" si="37"/>
        <v>948092989.59000027</v>
      </c>
      <c r="H311" s="14"/>
      <c r="I311" s="16"/>
    </row>
    <row r="312" spans="1:9" x14ac:dyDescent="0.25">
      <c r="A312" s="36">
        <v>44201</v>
      </c>
      <c r="B312" s="60">
        <f t="shared" si="35"/>
        <v>30</v>
      </c>
      <c r="C312" s="4">
        <f t="shared" si="38"/>
        <v>16926875.700000003</v>
      </c>
      <c r="D312" s="2">
        <f t="shared" si="34"/>
        <v>1125325.8700000029</v>
      </c>
      <c r="E312" s="19">
        <f t="shared" si="39"/>
        <v>15801549.83</v>
      </c>
      <c r="F312" s="2">
        <f t="shared" si="36"/>
        <v>948092989.59000027</v>
      </c>
      <c r="G312" s="2">
        <f t="shared" si="37"/>
        <v>946967663.72000027</v>
      </c>
      <c r="H312" s="14"/>
      <c r="I312" s="16"/>
    </row>
    <row r="313" spans="1:9" x14ac:dyDescent="0.25">
      <c r="A313" s="36">
        <v>44232</v>
      </c>
      <c r="B313" s="60">
        <f t="shared" si="35"/>
        <v>30</v>
      </c>
      <c r="C313" s="4">
        <f t="shared" si="38"/>
        <v>16926875.700000003</v>
      </c>
      <c r="D313" s="2">
        <f t="shared" si="34"/>
        <v>1144081.3000000026</v>
      </c>
      <c r="E313" s="19">
        <f t="shared" si="39"/>
        <v>15782794.4</v>
      </c>
      <c r="F313" s="2">
        <f t="shared" si="36"/>
        <v>946967663.72000027</v>
      </c>
      <c r="G313" s="2">
        <f t="shared" si="37"/>
        <v>945823582.42000031</v>
      </c>
      <c r="H313" s="14"/>
      <c r="I313" s="16"/>
    </row>
    <row r="314" spans="1:9" x14ac:dyDescent="0.25">
      <c r="A314" s="36">
        <v>44260</v>
      </c>
      <c r="B314" s="60">
        <f t="shared" si="35"/>
        <v>30</v>
      </c>
      <c r="C314" s="4">
        <f t="shared" si="38"/>
        <v>16926875.700000003</v>
      </c>
      <c r="D314" s="2">
        <f t="shared" si="34"/>
        <v>1163149.3300000038</v>
      </c>
      <c r="E314" s="19">
        <f t="shared" si="39"/>
        <v>15763726.369999999</v>
      </c>
      <c r="F314" s="2">
        <f t="shared" si="36"/>
        <v>945823582.42000031</v>
      </c>
      <c r="G314" s="2">
        <f t="shared" si="37"/>
        <v>944660433.09000027</v>
      </c>
      <c r="H314" s="14"/>
      <c r="I314" s="16"/>
    </row>
    <row r="315" spans="1:9" x14ac:dyDescent="0.25">
      <c r="A315" s="36">
        <v>44291</v>
      </c>
      <c r="B315" s="60">
        <f t="shared" si="35"/>
        <v>30</v>
      </c>
      <c r="C315" s="4">
        <f t="shared" si="38"/>
        <v>16926875.700000003</v>
      </c>
      <c r="D315" s="2">
        <f t="shared" si="34"/>
        <v>1182535.1500000022</v>
      </c>
      <c r="E315" s="19">
        <f t="shared" si="39"/>
        <v>15744340.550000001</v>
      </c>
      <c r="F315" s="2">
        <f t="shared" si="36"/>
        <v>944660433.09000027</v>
      </c>
      <c r="G315" s="2">
        <f t="shared" si="37"/>
        <v>943477897.9400003</v>
      </c>
      <c r="H315" s="14"/>
      <c r="I315" s="16"/>
    </row>
    <row r="316" spans="1:9" x14ac:dyDescent="0.25">
      <c r="A316" s="36">
        <v>44321</v>
      </c>
      <c r="B316" s="60">
        <f t="shared" si="35"/>
        <v>30</v>
      </c>
      <c r="C316" s="4">
        <f t="shared" si="38"/>
        <v>16926875.700000003</v>
      </c>
      <c r="D316" s="2">
        <f t="shared" si="34"/>
        <v>1202244.0700000022</v>
      </c>
      <c r="E316" s="19">
        <f t="shared" si="39"/>
        <v>15724631.630000001</v>
      </c>
      <c r="F316" s="2">
        <f t="shared" si="36"/>
        <v>943477897.9400003</v>
      </c>
      <c r="G316" s="2">
        <f t="shared" si="37"/>
        <v>942275653.87000024</v>
      </c>
      <c r="H316" s="14"/>
      <c r="I316" s="16"/>
    </row>
    <row r="317" spans="1:9" x14ac:dyDescent="0.25">
      <c r="A317" s="36">
        <v>44352</v>
      </c>
      <c r="B317" s="60">
        <f t="shared" si="35"/>
        <v>30</v>
      </c>
      <c r="C317" s="4">
        <f t="shared" si="38"/>
        <v>16926875.700000003</v>
      </c>
      <c r="D317" s="2">
        <f t="shared" si="34"/>
        <v>1222281.4700000025</v>
      </c>
      <c r="E317" s="19">
        <f t="shared" si="39"/>
        <v>15704594.23</v>
      </c>
      <c r="F317" s="2">
        <f t="shared" si="36"/>
        <v>942275653.87000024</v>
      </c>
      <c r="G317" s="2">
        <f t="shared" si="37"/>
        <v>941053372.40000021</v>
      </c>
      <c r="H317" s="14"/>
      <c r="I317" s="16"/>
    </row>
    <row r="318" spans="1:9" x14ac:dyDescent="0.25">
      <c r="A318" s="36">
        <v>44382</v>
      </c>
      <c r="B318" s="60">
        <f t="shared" si="35"/>
        <v>30</v>
      </c>
      <c r="C318" s="4">
        <f t="shared" si="38"/>
        <v>16926875.700000003</v>
      </c>
      <c r="D318" s="2">
        <f t="shared" si="34"/>
        <v>1242652.8300000038</v>
      </c>
      <c r="E318" s="19">
        <f t="shared" si="39"/>
        <v>15684222.869999999</v>
      </c>
      <c r="F318" s="2">
        <f t="shared" si="36"/>
        <v>941053372.40000021</v>
      </c>
      <c r="G318" s="2">
        <f t="shared" si="37"/>
        <v>939810719.57000017</v>
      </c>
      <c r="H318" s="14"/>
      <c r="I318" s="16"/>
    </row>
    <row r="319" spans="1:9" x14ac:dyDescent="0.25">
      <c r="A319" s="36">
        <v>44413</v>
      </c>
      <c r="B319" s="60">
        <f t="shared" si="35"/>
        <v>30</v>
      </c>
      <c r="C319" s="4">
        <f t="shared" si="38"/>
        <v>16926875.700000003</v>
      </c>
      <c r="D319" s="2">
        <f t="shared" si="34"/>
        <v>1263363.7100000028</v>
      </c>
      <c r="E319" s="19">
        <f t="shared" si="39"/>
        <v>15663511.99</v>
      </c>
      <c r="F319" s="2">
        <f t="shared" si="36"/>
        <v>939810719.57000017</v>
      </c>
      <c r="G319" s="2">
        <f t="shared" si="37"/>
        <v>938547355.86000013</v>
      </c>
      <c r="H319" s="14"/>
      <c r="I319" s="16"/>
    </row>
    <row r="320" spans="1:9" x14ac:dyDescent="0.25">
      <c r="A320" s="36">
        <v>44444</v>
      </c>
      <c r="B320" s="60">
        <f t="shared" si="35"/>
        <v>30</v>
      </c>
      <c r="C320" s="4">
        <f t="shared" si="38"/>
        <v>16926875.700000003</v>
      </c>
      <c r="D320" s="2">
        <f t="shared" si="34"/>
        <v>1284419.7700000033</v>
      </c>
      <c r="E320" s="19">
        <f t="shared" si="39"/>
        <v>15642455.93</v>
      </c>
      <c r="F320" s="2">
        <f t="shared" si="36"/>
        <v>938547355.86000013</v>
      </c>
      <c r="G320" s="2">
        <f t="shared" si="37"/>
        <v>937262936.09000015</v>
      </c>
      <c r="H320" s="14"/>
      <c r="I320" s="16"/>
    </row>
    <row r="321" spans="1:9" x14ac:dyDescent="0.25">
      <c r="A321" s="36">
        <v>44474</v>
      </c>
      <c r="B321" s="60">
        <f t="shared" si="35"/>
        <v>30</v>
      </c>
      <c r="C321" s="4">
        <f t="shared" si="38"/>
        <v>16926875.700000003</v>
      </c>
      <c r="D321" s="2">
        <f t="shared" si="34"/>
        <v>1305826.7700000033</v>
      </c>
      <c r="E321" s="19">
        <f t="shared" si="39"/>
        <v>15621048.93</v>
      </c>
      <c r="F321" s="2">
        <f t="shared" si="36"/>
        <v>937262936.09000015</v>
      </c>
      <c r="G321" s="2">
        <f t="shared" si="37"/>
        <v>935957109.32000017</v>
      </c>
      <c r="H321" s="14"/>
      <c r="I321" s="16"/>
    </row>
    <row r="322" spans="1:9" x14ac:dyDescent="0.25">
      <c r="A322" s="36">
        <v>44505</v>
      </c>
      <c r="B322" s="60">
        <f t="shared" si="35"/>
        <v>30</v>
      </c>
      <c r="C322" s="4">
        <f t="shared" si="38"/>
        <v>16926875.700000003</v>
      </c>
      <c r="D322" s="2">
        <f t="shared" si="34"/>
        <v>1327590.5400000028</v>
      </c>
      <c r="E322" s="19">
        <f t="shared" si="39"/>
        <v>15599285.16</v>
      </c>
      <c r="F322" s="2">
        <f t="shared" si="36"/>
        <v>935957109.32000017</v>
      </c>
      <c r="G322" s="2">
        <f t="shared" si="37"/>
        <v>934629518.78000021</v>
      </c>
      <c r="H322" s="14"/>
      <c r="I322" s="16"/>
    </row>
    <row r="323" spans="1:9" x14ac:dyDescent="0.25">
      <c r="A323" s="36">
        <v>44535</v>
      </c>
      <c r="B323" s="60">
        <f t="shared" si="35"/>
        <v>30</v>
      </c>
      <c r="C323" s="4">
        <f t="shared" si="38"/>
        <v>16926875.700000003</v>
      </c>
      <c r="D323" s="2">
        <f t="shared" si="34"/>
        <v>1349717.0500000026</v>
      </c>
      <c r="E323" s="19">
        <f t="shared" si="39"/>
        <v>15577158.65</v>
      </c>
      <c r="F323" s="2">
        <f t="shared" si="36"/>
        <v>934629518.78000021</v>
      </c>
      <c r="G323" s="2">
        <f t="shared" si="37"/>
        <v>933279801.73000026</v>
      </c>
      <c r="H323" s="14"/>
      <c r="I323" s="16"/>
    </row>
    <row r="324" spans="1:9" x14ac:dyDescent="0.25">
      <c r="A324" s="36">
        <v>44566</v>
      </c>
      <c r="B324" s="60">
        <f t="shared" si="35"/>
        <v>30</v>
      </c>
      <c r="C324" s="4">
        <f t="shared" si="38"/>
        <v>16926875.700000003</v>
      </c>
      <c r="D324" s="2">
        <f t="shared" si="34"/>
        <v>1372212.3400000036</v>
      </c>
      <c r="E324" s="19">
        <f t="shared" si="39"/>
        <v>15554663.359999999</v>
      </c>
      <c r="F324" s="2">
        <f t="shared" si="36"/>
        <v>933279801.73000026</v>
      </c>
      <c r="G324" s="2">
        <f t="shared" si="37"/>
        <v>931907589.39000022</v>
      </c>
      <c r="H324" s="14"/>
      <c r="I324" s="16"/>
    </row>
    <row r="325" spans="1:9" x14ac:dyDescent="0.25">
      <c r="A325" s="36">
        <v>44597</v>
      </c>
      <c r="B325" s="60">
        <f t="shared" si="35"/>
        <v>30</v>
      </c>
      <c r="C325" s="4">
        <f t="shared" si="38"/>
        <v>16926875.700000003</v>
      </c>
      <c r="D325" s="2">
        <f t="shared" ref="D325:D388" si="40">C325-E325</f>
        <v>1395082.5400000028</v>
      </c>
      <c r="E325" s="19">
        <f t="shared" si="39"/>
        <v>15531793.16</v>
      </c>
      <c r="F325" s="2">
        <f t="shared" si="36"/>
        <v>931907589.39000022</v>
      </c>
      <c r="G325" s="2">
        <f t="shared" si="37"/>
        <v>930512506.85000026</v>
      </c>
      <c r="H325" s="14"/>
      <c r="I325" s="16"/>
    </row>
    <row r="326" spans="1:9" x14ac:dyDescent="0.25">
      <c r="A326" s="36">
        <v>44625</v>
      </c>
      <c r="B326" s="60">
        <f t="shared" ref="B326:B389" si="41">DAYS360(A325,A326,TRUE)</f>
        <v>30</v>
      </c>
      <c r="C326" s="4">
        <f t="shared" si="38"/>
        <v>16926875.700000003</v>
      </c>
      <c r="D326" s="2">
        <f t="shared" si="40"/>
        <v>1418333.9200000037</v>
      </c>
      <c r="E326" s="19">
        <f t="shared" si="39"/>
        <v>15508541.779999999</v>
      </c>
      <c r="F326" s="2">
        <f t="shared" si="36"/>
        <v>930512506.85000026</v>
      </c>
      <c r="G326" s="2">
        <f t="shared" si="37"/>
        <v>929094172.93000031</v>
      </c>
      <c r="H326" s="14"/>
      <c r="I326" s="16"/>
    </row>
    <row r="327" spans="1:9" x14ac:dyDescent="0.25">
      <c r="A327" s="36">
        <v>44656</v>
      </c>
      <c r="B327" s="60">
        <f t="shared" si="41"/>
        <v>30</v>
      </c>
      <c r="C327" s="4">
        <f t="shared" si="38"/>
        <v>16926875.700000003</v>
      </c>
      <c r="D327" s="2">
        <f t="shared" si="40"/>
        <v>1441972.8200000022</v>
      </c>
      <c r="E327" s="19">
        <f t="shared" si="39"/>
        <v>15484902.880000001</v>
      </c>
      <c r="F327" s="2">
        <f t="shared" ref="F327:F390" si="42">G326</f>
        <v>929094172.93000031</v>
      </c>
      <c r="G327" s="2">
        <f t="shared" ref="G327:G390" si="43">F327-D327</f>
        <v>927652200.11000025</v>
      </c>
      <c r="H327" s="14"/>
      <c r="I327" s="16"/>
    </row>
    <row r="328" spans="1:9" x14ac:dyDescent="0.25">
      <c r="A328" s="36">
        <v>44686</v>
      </c>
      <c r="B328" s="60">
        <f t="shared" si="41"/>
        <v>30</v>
      </c>
      <c r="C328" s="4">
        <f t="shared" si="38"/>
        <v>16926875.700000003</v>
      </c>
      <c r="D328" s="2">
        <f t="shared" si="40"/>
        <v>1466005.700000003</v>
      </c>
      <c r="E328" s="19">
        <f t="shared" si="39"/>
        <v>15460870</v>
      </c>
      <c r="F328" s="2">
        <f t="shared" si="42"/>
        <v>927652200.11000025</v>
      </c>
      <c r="G328" s="2">
        <f t="shared" si="43"/>
        <v>926186194.41000021</v>
      </c>
      <c r="H328" s="14"/>
      <c r="I328" s="16"/>
    </row>
    <row r="329" spans="1:9" x14ac:dyDescent="0.25">
      <c r="A329" s="36">
        <v>44717</v>
      </c>
      <c r="B329" s="60">
        <f t="shared" si="41"/>
        <v>30</v>
      </c>
      <c r="C329" s="4">
        <f t="shared" si="38"/>
        <v>16926875.700000003</v>
      </c>
      <c r="D329" s="2">
        <f t="shared" si="40"/>
        <v>1490439.1300000027</v>
      </c>
      <c r="E329" s="19">
        <f t="shared" si="39"/>
        <v>15436436.57</v>
      </c>
      <c r="F329" s="2">
        <f t="shared" si="42"/>
        <v>926186194.41000021</v>
      </c>
      <c r="G329" s="2">
        <f t="shared" si="43"/>
        <v>924695755.28000021</v>
      </c>
      <c r="H329" s="14"/>
      <c r="I329" s="16"/>
    </row>
    <row r="330" spans="1:9" x14ac:dyDescent="0.25">
      <c r="A330" s="36">
        <v>44747</v>
      </c>
      <c r="B330" s="60">
        <f t="shared" si="41"/>
        <v>30</v>
      </c>
      <c r="C330" s="4">
        <f t="shared" si="38"/>
        <v>16926875.700000003</v>
      </c>
      <c r="D330" s="2">
        <f t="shared" si="40"/>
        <v>1515279.7800000031</v>
      </c>
      <c r="E330" s="19">
        <f t="shared" si="39"/>
        <v>15411595.92</v>
      </c>
      <c r="F330" s="2">
        <f t="shared" si="42"/>
        <v>924695755.28000021</v>
      </c>
      <c r="G330" s="2">
        <f t="shared" si="43"/>
        <v>923180475.50000024</v>
      </c>
      <c r="H330" s="14"/>
      <c r="I330" s="16"/>
    </row>
    <row r="331" spans="1:9" x14ac:dyDescent="0.25">
      <c r="A331" s="36">
        <v>44778</v>
      </c>
      <c r="B331" s="60">
        <f t="shared" si="41"/>
        <v>30</v>
      </c>
      <c r="C331" s="4">
        <f t="shared" si="38"/>
        <v>16926875.700000003</v>
      </c>
      <c r="D331" s="2">
        <f t="shared" si="40"/>
        <v>1540534.4400000032</v>
      </c>
      <c r="E331" s="19">
        <f t="shared" si="39"/>
        <v>15386341.26</v>
      </c>
      <c r="F331" s="2">
        <f t="shared" si="42"/>
        <v>923180475.50000024</v>
      </c>
      <c r="G331" s="2">
        <f t="shared" si="43"/>
        <v>921639941.06000018</v>
      </c>
      <c r="H331" s="14"/>
      <c r="I331" s="16"/>
    </row>
    <row r="332" spans="1:9" x14ac:dyDescent="0.25">
      <c r="A332" s="36">
        <v>44809</v>
      </c>
      <c r="B332" s="60">
        <f t="shared" si="41"/>
        <v>30</v>
      </c>
      <c r="C332" s="4">
        <f t="shared" si="38"/>
        <v>16926875.700000003</v>
      </c>
      <c r="D332" s="2">
        <f t="shared" si="40"/>
        <v>1566210.0200000033</v>
      </c>
      <c r="E332" s="19">
        <f t="shared" si="39"/>
        <v>15360665.68</v>
      </c>
      <c r="F332" s="2">
        <f t="shared" si="42"/>
        <v>921639941.06000018</v>
      </c>
      <c r="G332" s="2">
        <f t="shared" si="43"/>
        <v>920073731.0400002</v>
      </c>
      <c r="H332" s="14"/>
      <c r="I332" s="16"/>
    </row>
    <row r="333" spans="1:9" x14ac:dyDescent="0.25">
      <c r="A333" s="36">
        <v>44839</v>
      </c>
      <c r="B333" s="60">
        <f t="shared" si="41"/>
        <v>30</v>
      </c>
      <c r="C333" s="4">
        <f t="shared" si="38"/>
        <v>16926875.700000003</v>
      </c>
      <c r="D333" s="2">
        <f t="shared" si="40"/>
        <v>1592313.5200000033</v>
      </c>
      <c r="E333" s="19">
        <f t="shared" si="39"/>
        <v>15334562.18</v>
      </c>
      <c r="F333" s="2">
        <f t="shared" si="42"/>
        <v>920073731.0400002</v>
      </c>
      <c r="G333" s="2">
        <f t="shared" si="43"/>
        <v>918481417.52000022</v>
      </c>
      <c r="H333" s="14"/>
      <c r="I333" s="16"/>
    </row>
    <row r="334" spans="1:9" x14ac:dyDescent="0.25">
      <c r="A334" s="36">
        <v>44870</v>
      </c>
      <c r="B334" s="60">
        <f t="shared" si="41"/>
        <v>30</v>
      </c>
      <c r="C334" s="4">
        <f t="shared" si="38"/>
        <v>16926875.700000003</v>
      </c>
      <c r="D334" s="2">
        <f t="shared" si="40"/>
        <v>1618852.0700000022</v>
      </c>
      <c r="E334" s="19">
        <f t="shared" si="39"/>
        <v>15308023.630000001</v>
      </c>
      <c r="F334" s="2">
        <f t="shared" si="42"/>
        <v>918481417.52000022</v>
      </c>
      <c r="G334" s="2">
        <f t="shared" si="43"/>
        <v>916862565.45000017</v>
      </c>
      <c r="H334" s="14"/>
      <c r="I334" s="16"/>
    </row>
    <row r="335" spans="1:9" x14ac:dyDescent="0.25">
      <c r="A335" s="36">
        <v>44900</v>
      </c>
      <c r="B335" s="60">
        <f t="shared" si="41"/>
        <v>30</v>
      </c>
      <c r="C335" s="4">
        <f t="shared" si="38"/>
        <v>16926875.700000003</v>
      </c>
      <c r="D335" s="2">
        <f t="shared" si="40"/>
        <v>1645832.9400000032</v>
      </c>
      <c r="E335" s="19">
        <f t="shared" si="39"/>
        <v>15281042.76</v>
      </c>
      <c r="F335" s="2">
        <f t="shared" si="42"/>
        <v>916862565.45000017</v>
      </c>
      <c r="G335" s="2">
        <f t="shared" si="43"/>
        <v>915216732.51000011</v>
      </c>
      <c r="H335" s="14"/>
      <c r="I335" s="16"/>
    </row>
    <row r="336" spans="1:9" x14ac:dyDescent="0.25">
      <c r="A336" s="36">
        <v>44931</v>
      </c>
      <c r="B336" s="60">
        <f t="shared" si="41"/>
        <v>30</v>
      </c>
      <c r="C336" s="4">
        <f t="shared" si="38"/>
        <v>16926875.700000003</v>
      </c>
      <c r="D336" s="2">
        <f t="shared" si="40"/>
        <v>1673263.4900000021</v>
      </c>
      <c r="E336" s="19">
        <f t="shared" si="39"/>
        <v>15253612.210000001</v>
      </c>
      <c r="F336" s="2">
        <f t="shared" si="42"/>
        <v>915216732.51000011</v>
      </c>
      <c r="G336" s="2">
        <f t="shared" si="43"/>
        <v>913543469.0200001</v>
      </c>
      <c r="H336" s="14"/>
      <c r="I336" s="16"/>
    </row>
    <row r="337" spans="1:9" x14ac:dyDescent="0.25">
      <c r="A337" s="36">
        <v>44962</v>
      </c>
      <c r="B337" s="60">
        <f t="shared" si="41"/>
        <v>30</v>
      </c>
      <c r="C337" s="4">
        <f t="shared" si="38"/>
        <v>16926875.700000003</v>
      </c>
      <c r="D337" s="2">
        <f t="shared" si="40"/>
        <v>1701151.2200000025</v>
      </c>
      <c r="E337" s="19">
        <f t="shared" si="39"/>
        <v>15225724.48</v>
      </c>
      <c r="F337" s="2">
        <f t="shared" si="42"/>
        <v>913543469.0200001</v>
      </c>
      <c r="G337" s="2">
        <f t="shared" si="43"/>
        <v>911842317.80000007</v>
      </c>
      <c r="H337" s="14"/>
      <c r="I337" s="16"/>
    </row>
    <row r="338" spans="1:9" x14ac:dyDescent="0.25">
      <c r="A338" s="36">
        <v>44990</v>
      </c>
      <c r="B338" s="60">
        <f t="shared" si="41"/>
        <v>30</v>
      </c>
      <c r="C338" s="4">
        <f t="shared" si="38"/>
        <v>16926875.700000003</v>
      </c>
      <c r="D338" s="2">
        <f t="shared" si="40"/>
        <v>1729503.7400000021</v>
      </c>
      <c r="E338" s="19">
        <f t="shared" si="39"/>
        <v>15197371.960000001</v>
      </c>
      <c r="F338" s="2">
        <f t="shared" si="42"/>
        <v>911842317.80000007</v>
      </c>
      <c r="G338" s="2">
        <f t="shared" si="43"/>
        <v>910112814.06000006</v>
      </c>
      <c r="H338" s="14"/>
      <c r="I338" s="16"/>
    </row>
    <row r="339" spans="1:9" x14ac:dyDescent="0.25">
      <c r="A339" s="36">
        <v>45021</v>
      </c>
      <c r="B339" s="60">
        <f t="shared" si="41"/>
        <v>30</v>
      </c>
      <c r="C339" s="4">
        <f t="shared" si="38"/>
        <v>16926875.700000003</v>
      </c>
      <c r="D339" s="2">
        <f t="shared" si="40"/>
        <v>1758328.8000000026</v>
      </c>
      <c r="E339" s="19">
        <f t="shared" si="39"/>
        <v>15168546.9</v>
      </c>
      <c r="F339" s="2">
        <f t="shared" si="42"/>
        <v>910112814.06000006</v>
      </c>
      <c r="G339" s="2">
        <f t="shared" si="43"/>
        <v>908354485.26000011</v>
      </c>
      <c r="H339" s="14"/>
      <c r="I339" s="16"/>
    </row>
    <row r="340" spans="1:9" x14ac:dyDescent="0.25">
      <c r="A340" s="36">
        <v>45051</v>
      </c>
      <c r="B340" s="60">
        <f t="shared" si="41"/>
        <v>30</v>
      </c>
      <c r="C340" s="4">
        <f t="shared" si="38"/>
        <v>16926875.700000003</v>
      </c>
      <c r="D340" s="2">
        <f t="shared" si="40"/>
        <v>1787634.2800000031</v>
      </c>
      <c r="E340" s="19">
        <f t="shared" si="39"/>
        <v>15139241.42</v>
      </c>
      <c r="F340" s="2">
        <f t="shared" si="42"/>
        <v>908354485.26000011</v>
      </c>
      <c r="G340" s="2">
        <f t="shared" si="43"/>
        <v>906566850.98000014</v>
      </c>
      <c r="H340" s="14"/>
      <c r="I340" s="16"/>
    </row>
    <row r="341" spans="1:9" x14ac:dyDescent="0.25">
      <c r="A341" s="36">
        <v>45082</v>
      </c>
      <c r="B341" s="60">
        <f t="shared" si="41"/>
        <v>30</v>
      </c>
      <c r="C341" s="4">
        <f t="shared" si="38"/>
        <v>16926875.700000003</v>
      </c>
      <c r="D341" s="2">
        <f t="shared" si="40"/>
        <v>1817428.1800000034</v>
      </c>
      <c r="E341" s="19">
        <f t="shared" si="39"/>
        <v>15109447.52</v>
      </c>
      <c r="F341" s="2">
        <f t="shared" si="42"/>
        <v>906566850.98000014</v>
      </c>
      <c r="G341" s="2">
        <f t="shared" si="43"/>
        <v>904749422.80000019</v>
      </c>
      <c r="H341" s="14"/>
      <c r="I341" s="16"/>
    </row>
    <row r="342" spans="1:9" x14ac:dyDescent="0.25">
      <c r="A342" s="36">
        <v>45112</v>
      </c>
      <c r="B342" s="60">
        <f t="shared" si="41"/>
        <v>30</v>
      </c>
      <c r="C342" s="4">
        <f t="shared" si="38"/>
        <v>16926875.700000003</v>
      </c>
      <c r="D342" s="2">
        <f t="shared" si="40"/>
        <v>1847718.6500000022</v>
      </c>
      <c r="E342" s="19">
        <f t="shared" si="39"/>
        <v>15079157.050000001</v>
      </c>
      <c r="F342" s="2">
        <f t="shared" si="42"/>
        <v>904749422.80000019</v>
      </c>
      <c r="G342" s="2">
        <f t="shared" si="43"/>
        <v>902901704.15000021</v>
      </c>
      <c r="H342" s="14"/>
      <c r="I342" s="16"/>
    </row>
    <row r="343" spans="1:9" x14ac:dyDescent="0.25">
      <c r="A343" s="36">
        <v>45143</v>
      </c>
      <c r="B343" s="60">
        <f t="shared" si="41"/>
        <v>30</v>
      </c>
      <c r="C343" s="4">
        <f t="shared" si="38"/>
        <v>16926875.700000003</v>
      </c>
      <c r="D343" s="2">
        <f t="shared" si="40"/>
        <v>1878513.9600000028</v>
      </c>
      <c r="E343" s="19">
        <f t="shared" si="39"/>
        <v>15048361.74</v>
      </c>
      <c r="F343" s="2">
        <f t="shared" si="42"/>
        <v>902901704.15000021</v>
      </c>
      <c r="G343" s="2">
        <f t="shared" si="43"/>
        <v>901023190.19000018</v>
      </c>
      <c r="H343" s="14"/>
      <c r="I343" s="16"/>
    </row>
    <row r="344" spans="1:9" x14ac:dyDescent="0.25">
      <c r="A344" s="36">
        <v>45174</v>
      </c>
      <c r="B344" s="60">
        <f t="shared" si="41"/>
        <v>30</v>
      </c>
      <c r="C344" s="4">
        <f t="shared" si="38"/>
        <v>16926875.700000003</v>
      </c>
      <c r="D344" s="2">
        <f t="shared" si="40"/>
        <v>1909822.5300000031</v>
      </c>
      <c r="E344" s="19">
        <f t="shared" si="39"/>
        <v>15017053.17</v>
      </c>
      <c r="F344" s="2">
        <f t="shared" si="42"/>
        <v>901023190.19000018</v>
      </c>
      <c r="G344" s="2">
        <f t="shared" si="43"/>
        <v>899113367.66000021</v>
      </c>
      <c r="H344" s="14"/>
      <c r="I344" s="16"/>
    </row>
    <row r="345" spans="1:9" x14ac:dyDescent="0.25">
      <c r="A345" s="36">
        <v>45204</v>
      </c>
      <c r="B345" s="60">
        <f t="shared" si="41"/>
        <v>30</v>
      </c>
      <c r="C345" s="4">
        <f t="shared" si="38"/>
        <v>16926875.700000003</v>
      </c>
      <c r="D345" s="2">
        <f t="shared" si="40"/>
        <v>1941652.9100000039</v>
      </c>
      <c r="E345" s="19">
        <f t="shared" si="39"/>
        <v>14985222.789999999</v>
      </c>
      <c r="F345" s="2">
        <f t="shared" si="42"/>
        <v>899113367.66000021</v>
      </c>
      <c r="G345" s="2">
        <f t="shared" si="43"/>
        <v>897171714.75000024</v>
      </c>
      <c r="H345" s="14"/>
      <c r="I345" s="16"/>
    </row>
    <row r="346" spans="1:9" x14ac:dyDescent="0.25">
      <c r="A346" s="36">
        <v>45235</v>
      </c>
      <c r="B346" s="60">
        <f t="shared" si="41"/>
        <v>30</v>
      </c>
      <c r="C346" s="4">
        <f t="shared" si="38"/>
        <v>16926875.700000003</v>
      </c>
      <c r="D346" s="2">
        <f t="shared" si="40"/>
        <v>1974013.7900000028</v>
      </c>
      <c r="E346" s="19">
        <f t="shared" si="39"/>
        <v>14952861.91</v>
      </c>
      <c r="F346" s="2">
        <f t="shared" si="42"/>
        <v>897171714.75000024</v>
      </c>
      <c r="G346" s="2">
        <f t="shared" si="43"/>
        <v>895197700.96000028</v>
      </c>
      <c r="H346" s="14"/>
      <c r="I346" s="16"/>
    </row>
    <row r="347" spans="1:9" x14ac:dyDescent="0.25">
      <c r="A347" s="36">
        <v>45265</v>
      </c>
      <c r="B347" s="60">
        <f t="shared" si="41"/>
        <v>30</v>
      </c>
      <c r="C347" s="4">
        <f t="shared" si="38"/>
        <v>16926875.700000003</v>
      </c>
      <c r="D347" s="2">
        <f t="shared" si="40"/>
        <v>2006914.0200000033</v>
      </c>
      <c r="E347" s="19">
        <f t="shared" si="39"/>
        <v>14919961.68</v>
      </c>
      <c r="F347" s="2">
        <f t="shared" si="42"/>
        <v>895197700.96000028</v>
      </c>
      <c r="G347" s="2">
        <f t="shared" si="43"/>
        <v>893190786.9400003</v>
      </c>
      <c r="H347" s="14"/>
      <c r="I347" s="16"/>
    </row>
    <row r="348" spans="1:9" x14ac:dyDescent="0.25">
      <c r="A348" s="36">
        <v>45296</v>
      </c>
      <c r="B348" s="60">
        <f t="shared" si="41"/>
        <v>30</v>
      </c>
      <c r="C348" s="4">
        <f t="shared" si="38"/>
        <v>16926875.700000003</v>
      </c>
      <c r="D348" s="2">
        <f t="shared" si="40"/>
        <v>2040362.5800000038</v>
      </c>
      <c r="E348" s="19">
        <f t="shared" si="39"/>
        <v>14886513.119999999</v>
      </c>
      <c r="F348" s="2">
        <f t="shared" si="42"/>
        <v>893190786.9400003</v>
      </c>
      <c r="G348" s="2">
        <f t="shared" si="43"/>
        <v>891150424.36000025</v>
      </c>
      <c r="H348" s="14"/>
      <c r="I348" s="16"/>
    </row>
    <row r="349" spans="1:9" x14ac:dyDescent="0.25">
      <c r="A349" s="36">
        <v>45327</v>
      </c>
      <c r="B349" s="60">
        <f t="shared" si="41"/>
        <v>30</v>
      </c>
      <c r="C349" s="4">
        <f t="shared" si="38"/>
        <v>16926875.700000003</v>
      </c>
      <c r="D349" s="2">
        <f t="shared" si="40"/>
        <v>2074368.6300000027</v>
      </c>
      <c r="E349" s="19">
        <f t="shared" si="39"/>
        <v>14852507.07</v>
      </c>
      <c r="F349" s="2">
        <f t="shared" si="42"/>
        <v>891150424.36000025</v>
      </c>
      <c r="G349" s="2">
        <f t="shared" si="43"/>
        <v>889076055.73000026</v>
      </c>
      <c r="H349" s="14"/>
      <c r="I349" s="16"/>
    </row>
    <row r="350" spans="1:9" x14ac:dyDescent="0.25">
      <c r="A350" s="36">
        <v>45356</v>
      </c>
      <c r="B350" s="60">
        <f t="shared" si="41"/>
        <v>30</v>
      </c>
      <c r="C350" s="4">
        <f t="shared" si="38"/>
        <v>16926875.700000003</v>
      </c>
      <c r="D350" s="2">
        <f t="shared" si="40"/>
        <v>2108941.4400000032</v>
      </c>
      <c r="E350" s="19">
        <f t="shared" si="39"/>
        <v>14817934.26</v>
      </c>
      <c r="F350" s="2">
        <f t="shared" si="42"/>
        <v>889076055.73000026</v>
      </c>
      <c r="G350" s="2">
        <f t="shared" si="43"/>
        <v>886967114.2900002</v>
      </c>
      <c r="H350" s="14"/>
      <c r="I350" s="16"/>
    </row>
    <row r="351" spans="1:9" x14ac:dyDescent="0.25">
      <c r="A351" s="36">
        <v>45387</v>
      </c>
      <c r="B351" s="60">
        <f t="shared" si="41"/>
        <v>30</v>
      </c>
      <c r="C351" s="4">
        <f t="shared" si="38"/>
        <v>16926875.700000003</v>
      </c>
      <c r="D351" s="2">
        <f t="shared" si="40"/>
        <v>2144090.4600000028</v>
      </c>
      <c r="E351" s="19">
        <f t="shared" si="39"/>
        <v>14782785.24</v>
      </c>
      <c r="F351" s="2">
        <f t="shared" si="42"/>
        <v>886967114.2900002</v>
      </c>
      <c r="G351" s="2">
        <f t="shared" si="43"/>
        <v>884823023.83000016</v>
      </c>
      <c r="H351" s="14"/>
      <c r="I351" s="16"/>
    </row>
    <row r="352" spans="1:9" x14ac:dyDescent="0.25">
      <c r="A352" s="36">
        <v>45417</v>
      </c>
      <c r="B352" s="60">
        <f t="shared" si="41"/>
        <v>30</v>
      </c>
      <c r="C352" s="4">
        <f t="shared" si="38"/>
        <v>16926875.700000003</v>
      </c>
      <c r="D352" s="2">
        <f t="shared" si="40"/>
        <v>2179825.3000000026</v>
      </c>
      <c r="E352" s="19">
        <f t="shared" si="39"/>
        <v>14747050.4</v>
      </c>
      <c r="F352" s="2">
        <f t="shared" si="42"/>
        <v>884823023.83000016</v>
      </c>
      <c r="G352" s="2">
        <f t="shared" si="43"/>
        <v>882643198.53000021</v>
      </c>
      <c r="H352" s="14"/>
      <c r="I352" s="16"/>
    </row>
    <row r="353" spans="1:9" x14ac:dyDescent="0.25">
      <c r="A353" s="36">
        <v>45448</v>
      </c>
      <c r="B353" s="60">
        <f t="shared" si="41"/>
        <v>30</v>
      </c>
      <c r="C353" s="4">
        <f t="shared" si="38"/>
        <v>16926875.700000003</v>
      </c>
      <c r="D353" s="2">
        <f t="shared" si="40"/>
        <v>2216155.7200000025</v>
      </c>
      <c r="E353" s="19">
        <f t="shared" si="39"/>
        <v>14710719.98</v>
      </c>
      <c r="F353" s="2">
        <f t="shared" si="42"/>
        <v>882643198.53000021</v>
      </c>
      <c r="G353" s="2">
        <f t="shared" si="43"/>
        <v>880427042.81000018</v>
      </c>
      <c r="H353" s="14"/>
      <c r="I353" s="16"/>
    </row>
    <row r="354" spans="1:9" x14ac:dyDescent="0.25">
      <c r="A354" s="36">
        <v>45478</v>
      </c>
      <c r="B354" s="60">
        <f t="shared" si="41"/>
        <v>30</v>
      </c>
      <c r="C354" s="4">
        <f t="shared" si="38"/>
        <v>16926875.700000003</v>
      </c>
      <c r="D354" s="2">
        <f t="shared" si="40"/>
        <v>2253091.6500000022</v>
      </c>
      <c r="E354" s="19">
        <f t="shared" si="39"/>
        <v>14673784.050000001</v>
      </c>
      <c r="F354" s="2">
        <f t="shared" si="42"/>
        <v>880427042.81000018</v>
      </c>
      <c r="G354" s="2">
        <f t="shared" si="43"/>
        <v>878173951.16000021</v>
      </c>
      <c r="H354" s="14"/>
      <c r="I354" s="16"/>
    </row>
    <row r="355" spans="1:9" x14ac:dyDescent="0.25">
      <c r="A355" s="36">
        <v>45509</v>
      </c>
      <c r="B355" s="60">
        <f t="shared" si="41"/>
        <v>30</v>
      </c>
      <c r="C355" s="4">
        <f t="shared" si="38"/>
        <v>16926875.700000003</v>
      </c>
      <c r="D355" s="2">
        <f t="shared" si="40"/>
        <v>2290643.1800000034</v>
      </c>
      <c r="E355" s="19">
        <f t="shared" si="39"/>
        <v>14636232.52</v>
      </c>
      <c r="F355" s="2">
        <f t="shared" si="42"/>
        <v>878173951.16000021</v>
      </c>
      <c r="G355" s="2">
        <f t="shared" si="43"/>
        <v>875883307.98000026</v>
      </c>
      <c r="H355" s="14"/>
      <c r="I355" s="16"/>
    </row>
    <row r="356" spans="1:9" x14ac:dyDescent="0.25">
      <c r="A356" s="36">
        <v>45540</v>
      </c>
      <c r="B356" s="60">
        <f t="shared" si="41"/>
        <v>30</v>
      </c>
      <c r="C356" s="4">
        <f t="shared" si="38"/>
        <v>16926875.700000003</v>
      </c>
      <c r="D356" s="2">
        <f t="shared" si="40"/>
        <v>2328820.5700000022</v>
      </c>
      <c r="E356" s="19">
        <f t="shared" si="39"/>
        <v>14598055.130000001</v>
      </c>
      <c r="F356" s="2">
        <f t="shared" si="42"/>
        <v>875883307.98000026</v>
      </c>
      <c r="G356" s="2">
        <f t="shared" si="43"/>
        <v>873554487.41000021</v>
      </c>
      <c r="H356" s="14"/>
      <c r="I356" s="16"/>
    </row>
    <row r="357" spans="1:9" x14ac:dyDescent="0.25">
      <c r="A357" s="36">
        <v>45570</v>
      </c>
      <c r="B357" s="60">
        <f t="shared" si="41"/>
        <v>30</v>
      </c>
      <c r="C357" s="4">
        <f t="shared" si="38"/>
        <v>16926875.700000003</v>
      </c>
      <c r="D357" s="2">
        <f t="shared" si="40"/>
        <v>2367634.2400000021</v>
      </c>
      <c r="E357" s="19">
        <f t="shared" si="39"/>
        <v>14559241.460000001</v>
      </c>
      <c r="F357" s="2">
        <f t="shared" si="42"/>
        <v>873554487.41000021</v>
      </c>
      <c r="G357" s="2">
        <f t="shared" si="43"/>
        <v>871186853.1700002</v>
      </c>
      <c r="H357" s="14"/>
      <c r="I357" s="16"/>
    </row>
    <row r="358" spans="1:9" x14ac:dyDescent="0.25">
      <c r="A358" s="36">
        <v>45601</v>
      </c>
      <c r="B358" s="60">
        <f t="shared" si="41"/>
        <v>30</v>
      </c>
      <c r="C358" s="4">
        <f t="shared" si="38"/>
        <v>16926875.700000003</v>
      </c>
      <c r="D358" s="2">
        <f t="shared" si="40"/>
        <v>2407094.8100000024</v>
      </c>
      <c r="E358" s="19">
        <f t="shared" si="39"/>
        <v>14519780.890000001</v>
      </c>
      <c r="F358" s="2">
        <f t="shared" si="42"/>
        <v>871186853.1700002</v>
      </c>
      <c r="G358" s="2">
        <f t="shared" si="43"/>
        <v>868779758.36000013</v>
      </c>
      <c r="H358" s="14"/>
      <c r="I358" s="16"/>
    </row>
    <row r="359" spans="1:9" x14ac:dyDescent="0.25">
      <c r="A359" s="36">
        <v>45631</v>
      </c>
      <c r="B359" s="60">
        <f t="shared" si="41"/>
        <v>30</v>
      </c>
      <c r="C359" s="4">
        <f t="shared" si="38"/>
        <v>16926875.700000003</v>
      </c>
      <c r="D359" s="2">
        <f t="shared" si="40"/>
        <v>2447213.0600000024</v>
      </c>
      <c r="E359" s="19">
        <f t="shared" si="39"/>
        <v>14479662.640000001</v>
      </c>
      <c r="F359" s="2">
        <f t="shared" si="42"/>
        <v>868779758.36000013</v>
      </c>
      <c r="G359" s="2">
        <f t="shared" si="43"/>
        <v>866332545.30000019</v>
      </c>
      <c r="H359" s="14"/>
      <c r="I359" s="16"/>
    </row>
    <row r="360" spans="1:9" x14ac:dyDescent="0.25">
      <c r="A360" s="36">
        <v>45662</v>
      </c>
      <c r="B360" s="60">
        <f t="shared" si="41"/>
        <v>30</v>
      </c>
      <c r="C360" s="4">
        <f t="shared" si="38"/>
        <v>16926875.700000003</v>
      </c>
      <c r="D360" s="2">
        <f t="shared" si="40"/>
        <v>2487999.9400000032</v>
      </c>
      <c r="E360" s="19">
        <f t="shared" si="39"/>
        <v>14438875.76</v>
      </c>
      <c r="F360" s="2">
        <f t="shared" si="42"/>
        <v>866332545.30000019</v>
      </c>
      <c r="G360" s="2">
        <f t="shared" si="43"/>
        <v>863844545.36000013</v>
      </c>
      <c r="H360" s="14"/>
      <c r="I360" s="16"/>
    </row>
    <row r="361" spans="1:9" x14ac:dyDescent="0.25">
      <c r="A361" s="36">
        <v>45693</v>
      </c>
      <c r="B361" s="60">
        <f t="shared" si="41"/>
        <v>30</v>
      </c>
      <c r="C361" s="4">
        <f t="shared" si="38"/>
        <v>16926875.700000003</v>
      </c>
      <c r="D361" s="2">
        <f t="shared" si="40"/>
        <v>2529466.6100000031</v>
      </c>
      <c r="E361" s="19">
        <f t="shared" si="39"/>
        <v>14397409.09</v>
      </c>
      <c r="F361" s="2">
        <f t="shared" si="42"/>
        <v>863844545.36000013</v>
      </c>
      <c r="G361" s="2">
        <f t="shared" si="43"/>
        <v>861315078.75000012</v>
      </c>
      <c r="H361" s="14"/>
      <c r="I361" s="16"/>
    </row>
    <row r="362" spans="1:9" x14ac:dyDescent="0.25">
      <c r="A362" s="36">
        <v>45721</v>
      </c>
      <c r="B362" s="60">
        <f t="shared" si="41"/>
        <v>30</v>
      </c>
      <c r="C362" s="4">
        <f t="shared" si="38"/>
        <v>16926875.700000003</v>
      </c>
      <c r="D362" s="2">
        <f t="shared" si="40"/>
        <v>2571624.3900000025</v>
      </c>
      <c r="E362" s="19">
        <f t="shared" si="39"/>
        <v>14355251.310000001</v>
      </c>
      <c r="F362" s="2">
        <f t="shared" si="42"/>
        <v>861315078.75000012</v>
      </c>
      <c r="G362" s="2">
        <f t="shared" si="43"/>
        <v>858743454.36000013</v>
      </c>
      <c r="H362" s="14"/>
      <c r="I362" s="16"/>
    </row>
    <row r="363" spans="1:9" x14ac:dyDescent="0.25">
      <c r="A363" s="36">
        <v>45752</v>
      </c>
      <c r="B363" s="60">
        <f t="shared" si="41"/>
        <v>30</v>
      </c>
      <c r="C363" s="4">
        <f t="shared" si="38"/>
        <v>16926875.700000003</v>
      </c>
      <c r="D363" s="2">
        <f t="shared" si="40"/>
        <v>2614484.7900000028</v>
      </c>
      <c r="E363" s="19">
        <f t="shared" si="39"/>
        <v>14312390.91</v>
      </c>
      <c r="F363" s="2">
        <f t="shared" si="42"/>
        <v>858743454.36000013</v>
      </c>
      <c r="G363" s="2">
        <f t="shared" si="43"/>
        <v>856128969.57000017</v>
      </c>
      <c r="H363" s="14"/>
      <c r="I363" s="16"/>
    </row>
    <row r="364" spans="1:9" x14ac:dyDescent="0.25">
      <c r="A364" s="36">
        <v>45782</v>
      </c>
      <c r="B364" s="60">
        <f t="shared" si="41"/>
        <v>30</v>
      </c>
      <c r="C364" s="4">
        <f t="shared" si="38"/>
        <v>16926875.700000003</v>
      </c>
      <c r="D364" s="2">
        <f t="shared" si="40"/>
        <v>2658059.5400000028</v>
      </c>
      <c r="E364" s="19">
        <f t="shared" si="39"/>
        <v>14268816.16</v>
      </c>
      <c r="F364" s="2">
        <f t="shared" si="42"/>
        <v>856128969.57000017</v>
      </c>
      <c r="G364" s="2">
        <f t="shared" si="43"/>
        <v>853470910.03000021</v>
      </c>
      <c r="H364" s="14"/>
      <c r="I364" s="16"/>
    </row>
    <row r="365" spans="1:9" x14ac:dyDescent="0.25">
      <c r="A365" s="36">
        <v>45813</v>
      </c>
      <c r="B365" s="60">
        <f t="shared" si="41"/>
        <v>30</v>
      </c>
      <c r="C365" s="4">
        <f t="shared" si="38"/>
        <v>16926875.700000003</v>
      </c>
      <c r="D365" s="2">
        <f t="shared" si="40"/>
        <v>2702360.5300000031</v>
      </c>
      <c r="E365" s="19">
        <f t="shared" si="39"/>
        <v>14224515.17</v>
      </c>
      <c r="F365" s="2">
        <f t="shared" si="42"/>
        <v>853470910.03000021</v>
      </c>
      <c r="G365" s="2">
        <f t="shared" si="43"/>
        <v>850768549.50000024</v>
      </c>
      <c r="H365" s="14"/>
      <c r="I365" s="16"/>
    </row>
    <row r="366" spans="1:9" x14ac:dyDescent="0.25">
      <c r="A366" s="36">
        <v>45843</v>
      </c>
      <c r="B366" s="60">
        <f t="shared" si="41"/>
        <v>30</v>
      </c>
      <c r="C366" s="4">
        <f t="shared" si="38"/>
        <v>16926875.700000003</v>
      </c>
      <c r="D366" s="2">
        <f t="shared" si="40"/>
        <v>2747399.8700000029</v>
      </c>
      <c r="E366" s="19">
        <f t="shared" si="39"/>
        <v>14179475.83</v>
      </c>
      <c r="F366" s="2">
        <f t="shared" si="42"/>
        <v>850768549.50000024</v>
      </c>
      <c r="G366" s="2">
        <f t="shared" si="43"/>
        <v>848021149.63000023</v>
      </c>
      <c r="H366" s="14"/>
      <c r="I366" s="16"/>
    </row>
    <row r="367" spans="1:9" x14ac:dyDescent="0.25">
      <c r="A367" s="36">
        <v>45874</v>
      </c>
      <c r="B367" s="60">
        <f t="shared" si="41"/>
        <v>30</v>
      </c>
      <c r="C367" s="4">
        <f t="shared" si="38"/>
        <v>16926875.700000003</v>
      </c>
      <c r="D367" s="2">
        <f t="shared" si="40"/>
        <v>2793189.8700000029</v>
      </c>
      <c r="E367" s="19">
        <f t="shared" si="39"/>
        <v>14133685.83</v>
      </c>
      <c r="F367" s="2">
        <f t="shared" si="42"/>
        <v>848021149.63000023</v>
      </c>
      <c r="G367" s="2">
        <f t="shared" si="43"/>
        <v>845227959.76000023</v>
      </c>
      <c r="H367" s="14"/>
      <c r="I367" s="16"/>
    </row>
    <row r="368" spans="1:9" x14ac:dyDescent="0.25">
      <c r="A368" s="36">
        <v>45905</v>
      </c>
      <c r="B368" s="60">
        <f t="shared" si="41"/>
        <v>30</v>
      </c>
      <c r="C368" s="4">
        <f t="shared" si="38"/>
        <v>16926875.700000003</v>
      </c>
      <c r="D368" s="2">
        <f t="shared" si="40"/>
        <v>2839743.0400000028</v>
      </c>
      <c r="E368" s="19">
        <f t="shared" si="39"/>
        <v>14087132.66</v>
      </c>
      <c r="F368" s="2">
        <f t="shared" si="42"/>
        <v>845227959.76000023</v>
      </c>
      <c r="G368" s="2">
        <f t="shared" si="43"/>
        <v>842388216.72000027</v>
      </c>
      <c r="H368" s="14"/>
      <c r="I368" s="16"/>
    </row>
    <row r="369" spans="1:9" x14ac:dyDescent="0.25">
      <c r="A369" s="36">
        <v>45935</v>
      </c>
      <c r="B369" s="60">
        <f t="shared" si="41"/>
        <v>30</v>
      </c>
      <c r="C369" s="4">
        <f t="shared" si="38"/>
        <v>16926875.700000003</v>
      </c>
      <c r="D369" s="2">
        <f t="shared" si="40"/>
        <v>2887072.0900000036</v>
      </c>
      <c r="E369" s="19">
        <f t="shared" si="39"/>
        <v>14039803.609999999</v>
      </c>
      <c r="F369" s="2">
        <f t="shared" si="42"/>
        <v>842388216.72000027</v>
      </c>
      <c r="G369" s="2">
        <f t="shared" si="43"/>
        <v>839501144.63000023</v>
      </c>
      <c r="H369" s="14"/>
      <c r="I369" s="16"/>
    </row>
    <row r="370" spans="1:9" x14ac:dyDescent="0.25">
      <c r="A370" s="36">
        <v>45966</v>
      </c>
      <c r="B370" s="60">
        <f t="shared" si="41"/>
        <v>30</v>
      </c>
      <c r="C370" s="4">
        <f t="shared" si="38"/>
        <v>16926875.700000003</v>
      </c>
      <c r="D370" s="2">
        <f t="shared" si="40"/>
        <v>2935189.9600000028</v>
      </c>
      <c r="E370" s="19">
        <f t="shared" si="39"/>
        <v>13991685.74</v>
      </c>
      <c r="F370" s="2">
        <f t="shared" si="42"/>
        <v>839501144.63000023</v>
      </c>
      <c r="G370" s="2">
        <f t="shared" si="43"/>
        <v>836565954.6700002</v>
      </c>
      <c r="H370" s="14"/>
      <c r="I370" s="16"/>
    </row>
    <row r="371" spans="1:9" x14ac:dyDescent="0.25">
      <c r="A371" s="36">
        <v>45996</v>
      </c>
      <c r="B371" s="60">
        <f t="shared" si="41"/>
        <v>30</v>
      </c>
      <c r="C371" s="4">
        <f t="shared" si="38"/>
        <v>16926875.700000003</v>
      </c>
      <c r="D371" s="2">
        <f t="shared" si="40"/>
        <v>2984109.7900000028</v>
      </c>
      <c r="E371" s="19">
        <f t="shared" si="39"/>
        <v>13942765.91</v>
      </c>
      <c r="F371" s="2">
        <f t="shared" si="42"/>
        <v>836565954.6700002</v>
      </c>
      <c r="G371" s="2">
        <f t="shared" si="43"/>
        <v>833581844.88000023</v>
      </c>
      <c r="H371" s="14"/>
      <c r="I371" s="16"/>
    </row>
    <row r="372" spans="1:9" x14ac:dyDescent="0.25">
      <c r="A372" s="36">
        <v>46027</v>
      </c>
      <c r="B372" s="60">
        <f t="shared" si="41"/>
        <v>30</v>
      </c>
      <c r="C372" s="4">
        <f t="shared" si="38"/>
        <v>16926875.700000003</v>
      </c>
      <c r="D372" s="2">
        <f t="shared" si="40"/>
        <v>3033844.950000003</v>
      </c>
      <c r="E372" s="19">
        <f t="shared" si="39"/>
        <v>13893030.75</v>
      </c>
      <c r="F372" s="2">
        <f t="shared" si="42"/>
        <v>833581844.88000023</v>
      </c>
      <c r="G372" s="2">
        <f t="shared" si="43"/>
        <v>830547999.93000019</v>
      </c>
      <c r="H372" s="14"/>
      <c r="I372" s="16"/>
    </row>
    <row r="373" spans="1:9" x14ac:dyDescent="0.25">
      <c r="A373" s="36">
        <v>46058</v>
      </c>
      <c r="B373" s="60">
        <f t="shared" si="41"/>
        <v>30</v>
      </c>
      <c r="C373" s="4">
        <f t="shared" si="38"/>
        <v>16926875.700000003</v>
      </c>
      <c r="D373" s="2">
        <f t="shared" si="40"/>
        <v>3084409.0300000031</v>
      </c>
      <c r="E373" s="19">
        <f t="shared" si="39"/>
        <v>13842466.67</v>
      </c>
      <c r="F373" s="2">
        <f t="shared" si="42"/>
        <v>830547999.93000019</v>
      </c>
      <c r="G373" s="2">
        <f t="shared" si="43"/>
        <v>827463590.90000021</v>
      </c>
      <c r="H373" s="14"/>
      <c r="I373" s="16"/>
    </row>
    <row r="374" spans="1:9" x14ac:dyDescent="0.25">
      <c r="A374" s="36">
        <v>46086</v>
      </c>
      <c r="B374" s="60">
        <f t="shared" si="41"/>
        <v>30</v>
      </c>
      <c r="C374" s="4">
        <f t="shared" si="38"/>
        <v>16926875.700000003</v>
      </c>
      <c r="D374" s="2">
        <f t="shared" si="40"/>
        <v>3135815.8500000034</v>
      </c>
      <c r="E374" s="19">
        <f t="shared" si="39"/>
        <v>13791059.85</v>
      </c>
      <c r="F374" s="2">
        <f t="shared" si="42"/>
        <v>827463590.90000021</v>
      </c>
      <c r="G374" s="2">
        <f t="shared" si="43"/>
        <v>824327775.05000019</v>
      </c>
      <c r="H374" s="14"/>
      <c r="I374" s="16"/>
    </row>
    <row r="375" spans="1:9" x14ac:dyDescent="0.25">
      <c r="A375" s="36">
        <v>46117</v>
      </c>
      <c r="B375" s="60">
        <f t="shared" si="41"/>
        <v>30</v>
      </c>
      <c r="C375" s="4">
        <f t="shared" ref="C375:C438" si="44">$F$1</f>
        <v>16926875.700000003</v>
      </c>
      <c r="D375" s="2">
        <f t="shared" si="40"/>
        <v>3188079.450000003</v>
      </c>
      <c r="E375" s="19">
        <f t="shared" ref="E375:E438" si="45">ROUND(F375*$J$1*B375/360,2)</f>
        <v>13738796.25</v>
      </c>
      <c r="F375" s="2">
        <f t="shared" si="42"/>
        <v>824327775.05000019</v>
      </c>
      <c r="G375" s="2">
        <f t="shared" si="43"/>
        <v>821139695.60000014</v>
      </c>
      <c r="H375" s="14"/>
      <c r="I375" s="16"/>
    </row>
    <row r="376" spans="1:9" x14ac:dyDescent="0.25">
      <c r="A376" s="36">
        <v>46147</v>
      </c>
      <c r="B376" s="60">
        <f t="shared" si="41"/>
        <v>30</v>
      </c>
      <c r="C376" s="4">
        <f t="shared" si="44"/>
        <v>16926875.700000003</v>
      </c>
      <c r="D376" s="2">
        <f t="shared" si="40"/>
        <v>3241214.1100000031</v>
      </c>
      <c r="E376" s="19">
        <f t="shared" si="45"/>
        <v>13685661.59</v>
      </c>
      <c r="F376" s="2">
        <f t="shared" si="42"/>
        <v>821139695.60000014</v>
      </c>
      <c r="G376" s="2">
        <f t="shared" si="43"/>
        <v>817898481.49000013</v>
      </c>
      <c r="H376" s="14"/>
      <c r="I376" s="16"/>
    </row>
    <row r="377" spans="1:9" x14ac:dyDescent="0.25">
      <c r="A377" s="36">
        <v>46178</v>
      </c>
      <c r="B377" s="60">
        <f t="shared" si="41"/>
        <v>30</v>
      </c>
      <c r="C377" s="4">
        <f t="shared" si="44"/>
        <v>16926875.700000003</v>
      </c>
      <c r="D377" s="2">
        <f t="shared" si="40"/>
        <v>3295234.3400000036</v>
      </c>
      <c r="E377" s="19">
        <f t="shared" si="45"/>
        <v>13631641.359999999</v>
      </c>
      <c r="F377" s="2">
        <f t="shared" si="42"/>
        <v>817898481.49000013</v>
      </c>
      <c r="G377" s="2">
        <f t="shared" si="43"/>
        <v>814603247.1500001</v>
      </c>
      <c r="H377" s="14"/>
      <c r="I377" s="16"/>
    </row>
    <row r="378" spans="1:9" x14ac:dyDescent="0.25">
      <c r="A378" s="36">
        <v>46208</v>
      </c>
      <c r="B378" s="60">
        <f t="shared" si="41"/>
        <v>30</v>
      </c>
      <c r="C378" s="4">
        <f t="shared" si="44"/>
        <v>16926875.700000003</v>
      </c>
      <c r="D378" s="2">
        <f t="shared" si="40"/>
        <v>3350154.9100000039</v>
      </c>
      <c r="E378" s="19">
        <f t="shared" si="45"/>
        <v>13576720.789999999</v>
      </c>
      <c r="F378" s="2">
        <f t="shared" si="42"/>
        <v>814603247.1500001</v>
      </c>
      <c r="G378" s="2">
        <f t="shared" si="43"/>
        <v>811253092.24000013</v>
      </c>
      <c r="H378" s="14"/>
      <c r="I378" s="16"/>
    </row>
    <row r="379" spans="1:9" x14ac:dyDescent="0.25">
      <c r="A379" s="36">
        <v>46239</v>
      </c>
      <c r="B379" s="60">
        <f t="shared" si="41"/>
        <v>30</v>
      </c>
      <c r="C379" s="4">
        <f t="shared" si="44"/>
        <v>16926875.700000003</v>
      </c>
      <c r="D379" s="2">
        <f t="shared" si="40"/>
        <v>3405990.8300000038</v>
      </c>
      <c r="E379" s="19">
        <f t="shared" si="45"/>
        <v>13520884.869999999</v>
      </c>
      <c r="F379" s="2">
        <f t="shared" si="42"/>
        <v>811253092.24000013</v>
      </c>
      <c r="G379" s="2">
        <f t="shared" si="43"/>
        <v>807847101.41000009</v>
      </c>
      <c r="H379" s="14"/>
      <c r="I379" s="16"/>
    </row>
    <row r="380" spans="1:9" x14ac:dyDescent="0.25">
      <c r="A380" s="36">
        <v>46270</v>
      </c>
      <c r="B380" s="60">
        <f t="shared" si="41"/>
        <v>30</v>
      </c>
      <c r="C380" s="4">
        <f t="shared" si="44"/>
        <v>16926875.700000003</v>
      </c>
      <c r="D380" s="2">
        <f t="shared" si="40"/>
        <v>3462757.3400000036</v>
      </c>
      <c r="E380" s="19">
        <f t="shared" si="45"/>
        <v>13464118.359999999</v>
      </c>
      <c r="F380" s="2">
        <f t="shared" si="42"/>
        <v>807847101.41000009</v>
      </c>
      <c r="G380" s="2">
        <f t="shared" si="43"/>
        <v>804384344.07000005</v>
      </c>
      <c r="H380" s="14"/>
      <c r="I380" s="16"/>
    </row>
    <row r="381" spans="1:9" x14ac:dyDescent="0.25">
      <c r="A381" s="36">
        <v>46300</v>
      </c>
      <c r="B381" s="60">
        <f t="shared" si="41"/>
        <v>30</v>
      </c>
      <c r="C381" s="4">
        <f t="shared" si="44"/>
        <v>16926875.700000003</v>
      </c>
      <c r="D381" s="2">
        <f t="shared" si="40"/>
        <v>3520469.9700000025</v>
      </c>
      <c r="E381" s="19">
        <f t="shared" si="45"/>
        <v>13406405.73</v>
      </c>
      <c r="F381" s="2">
        <f t="shared" si="42"/>
        <v>804384344.07000005</v>
      </c>
      <c r="G381" s="2">
        <f t="shared" si="43"/>
        <v>800863874.10000002</v>
      </c>
      <c r="H381" s="14"/>
      <c r="I381" s="16"/>
    </row>
    <row r="382" spans="1:9" x14ac:dyDescent="0.25">
      <c r="A382" s="36">
        <v>46331</v>
      </c>
      <c r="B382" s="60">
        <f t="shared" si="41"/>
        <v>30</v>
      </c>
      <c r="C382" s="4">
        <f t="shared" si="44"/>
        <v>16926875.700000003</v>
      </c>
      <c r="D382" s="2">
        <f t="shared" si="40"/>
        <v>3579144.4600000028</v>
      </c>
      <c r="E382" s="19">
        <f t="shared" si="45"/>
        <v>13347731.24</v>
      </c>
      <c r="F382" s="2">
        <f t="shared" si="42"/>
        <v>800863874.10000002</v>
      </c>
      <c r="G382" s="2">
        <f t="shared" si="43"/>
        <v>797284729.63999999</v>
      </c>
      <c r="H382" s="14"/>
      <c r="I382" s="16"/>
    </row>
    <row r="383" spans="1:9" x14ac:dyDescent="0.25">
      <c r="A383" s="36">
        <v>46361</v>
      </c>
      <c r="B383" s="60">
        <f t="shared" si="41"/>
        <v>30</v>
      </c>
      <c r="C383" s="4">
        <f t="shared" si="44"/>
        <v>16926875.700000003</v>
      </c>
      <c r="D383" s="2">
        <f t="shared" si="40"/>
        <v>3638796.8700000029</v>
      </c>
      <c r="E383" s="19">
        <f t="shared" si="45"/>
        <v>13288078.83</v>
      </c>
      <c r="F383" s="2">
        <f t="shared" si="42"/>
        <v>797284729.63999999</v>
      </c>
      <c r="G383" s="2">
        <f t="shared" si="43"/>
        <v>793645932.76999998</v>
      </c>
      <c r="H383" s="14"/>
      <c r="I383" s="16"/>
    </row>
    <row r="384" spans="1:9" x14ac:dyDescent="0.25">
      <c r="A384" s="36">
        <v>46392</v>
      </c>
      <c r="B384" s="60">
        <f t="shared" si="41"/>
        <v>30</v>
      </c>
      <c r="C384" s="4">
        <f t="shared" si="44"/>
        <v>16926875.700000003</v>
      </c>
      <c r="D384" s="2">
        <f t="shared" si="40"/>
        <v>3699443.4900000021</v>
      </c>
      <c r="E384" s="19">
        <f t="shared" si="45"/>
        <v>13227432.210000001</v>
      </c>
      <c r="F384" s="2">
        <f t="shared" si="42"/>
        <v>793645932.76999998</v>
      </c>
      <c r="G384" s="2">
        <f t="shared" si="43"/>
        <v>789946489.27999997</v>
      </c>
      <c r="H384" s="14"/>
      <c r="I384" s="16"/>
    </row>
    <row r="385" spans="1:9" x14ac:dyDescent="0.25">
      <c r="A385" s="36">
        <v>46423</v>
      </c>
      <c r="B385" s="60">
        <f t="shared" si="41"/>
        <v>30</v>
      </c>
      <c r="C385" s="4">
        <f t="shared" si="44"/>
        <v>16926875.700000003</v>
      </c>
      <c r="D385" s="2">
        <f t="shared" si="40"/>
        <v>3761100.8800000027</v>
      </c>
      <c r="E385" s="19">
        <f t="shared" si="45"/>
        <v>13165774.82</v>
      </c>
      <c r="F385" s="2">
        <f t="shared" si="42"/>
        <v>789946489.27999997</v>
      </c>
      <c r="G385" s="2">
        <f t="shared" si="43"/>
        <v>786185388.39999998</v>
      </c>
      <c r="H385" s="14"/>
      <c r="I385" s="16"/>
    </row>
    <row r="386" spans="1:9" x14ac:dyDescent="0.25">
      <c r="A386" s="36">
        <v>46451</v>
      </c>
      <c r="B386" s="60">
        <f t="shared" si="41"/>
        <v>30</v>
      </c>
      <c r="C386" s="4">
        <f t="shared" si="44"/>
        <v>16926875.700000003</v>
      </c>
      <c r="D386" s="2">
        <f t="shared" si="40"/>
        <v>3823785.8900000025</v>
      </c>
      <c r="E386" s="19">
        <f t="shared" si="45"/>
        <v>13103089.810000001</v>
      </c>
      <c r="F386" s="2">
        <f t="shared" si="42"/>
        <v>786185388.39999998</v>
      </c>
      <c r="G386" s="2">
        <f t="shared" si="43"/>
        <v>782361602.50999999</v>
      </c>
      <c r="H386" s="14"/>
      <c r="I386" s="16"/>
    </row>
    <row r="387" spans="1:9" x14ac:dyDescent="0.25">
      <c r="A387" s="36">
        <v>46482</v>
      </c>
      <c r="B387" s="60">
        <f t="shared" si="41"/>
        <v>30</v>
      </c>
      <c r="C387" s="4">
        <f t="shared" si="44"/>
        <v>16926875.700000003</v>
      </c>
      <c r="D387" s="2">
        <f t="shared" si="40"/>
        <v>3887515.6600000039</v>
      </c>
      <c r="E387" s="19">
        <f t="shared" si="45"/>
        <v>13039360.039999999</v>
      </c>
      <c r="F387" s="2">
        <f t="shared" si="42"/>
        <v>782361602.50999999</v>
      </c>
      <c r="G387" s="2">
        <f t="shared" si="43"/>
        <v>778474086.85000002</v>
      </c>
      <c r="H387" s="14"/>
      <c r="I387" s="16"/>
    </row>
    <row r="388" spans="1:9" x14ac:dyDescent="0.25">
      <c r="A388" s="36">
        <v>46512</v>
      </c>
      <c r="B388" s="60">
        <f t="shared" si="41"/>
        <v>30</v>
      </c>
      <c r="C388" s="4">
        <f t="shared" si="44"/>
        <v>16926875.700000003</v>
      </c>
      <c r="D388" s="2">
        <f t="shared" si="40"/>
        <v>3952307.5900000036</v>
      </c>
      <c r="E388" s="19">
        <f t="shared" si="45"/>
        <v>12974568.109999999</v>
      </c>
      <c r="F388" s="2">
        <f t="shared" si="42"/>
        <v>778474086.85000002</v>
      </c>
      <c r="G388" s="2">
        <f t="shared" si="43"/>
        <v>774521779.25999999</v>
      </c>
      <c r="H388" s="14"/>
      <c r="I388" s="16"/>
    </row>
    <row r="389" spans="1:9" x14ac:dyDescent="0.25">
      <c r="A389" s="36">
        <v>46543</v>
      </c>
      <c r="B389" s="60">
        <f t="shared" si="41"/>
        <v>30</v>
      </c>
      <c r="C389" s="4">
        <f t="shared" si="44"/>
        <v>16926875.700000003</v>
      </c>
      <c r="D389" s="2">
        <f t="shared" ref="D389:D452" si="46">C389-E389</f>
        <v>4018179.3800000027</v>
      </c>
      <c r="E389" s="19">
        <f t="shared" si="45"/>
        <v>12908696.32</v>
      </c>
      <c r="F389" s="2">
        <f t="shared" si="42"/>
        <v>774521779.25999999</v>
      </c>
      <c r="G389" s="2">
        <f t="shared" si="43"/>
        <v>770503599.88</v>
      </c>
      <c r="H389" s="14"/>
      <c r="I389" s="16"/>
    </row>
    <row r="390" spans="1:9" x14ac:dyDescent="0.25">
      <c r="A390" s="36">
        <v>46573</v>
      </c>
      <c r="B390" s="60">
        <f t="shared" ref="B390:B453" si="47">DAYS360(A389,A390,TRUE)</f>
        <v>30</v>
      </c>
      <c r="C390" s="4">
        <f t="shared" si="44"/>
        <v>16926875.700000003</v>
      </c>
      <c r="D390" s="2">
        <f t="shared" si="46"/>
        <v>4085149.0400000028</v>
      </c>
      <c r="E390" s="19">
        <f t="shared" si="45"/>
        <v>12841726.66</v>
      </c>
      <c r="F390" s="2">
        <f t="shared" si="42"/>
        <v>770503599.88</v>
      </c>
      <c r="G390" s="2">
        <f t="shared" si="43"/>
        <v>766418450.84000003</v>
      </c>
      <c r="H390" s="14"/>
      <c r="I390" s="16"/>
    </row>
    <row r="391" spans="1:9" x14ac:dyDescent="0.25">
      <c r="A391" s="36">
        <v>46604</v>
      </c>
      <c r="B391" s="60">
        <f t="shared" si="47"/>
        <v>30</v>
      </c>
      <c r="C391" s="4">
        <f t="shared" si="44"/>
        <v>16926875.700000003</v>
      </c>
      <c r="D391" s="2">
        <f t="shared" si="46"/>
        <v>4153234.8500000034</v>
      </c>
      <c r="E391" s="19">
        <f t="shared" si="45"/>
        <v>12773640.85</v>
      </c>
      <c r="F391" s="2">
        <f t="shared" ref="F391:F454" si="48">G390</f>
        <v>766418450.84000003</v>
      </c>
      <c r="G391" s="2">
        <f t="shared" ref="G391:G454" si="49">F391-D391</f>
        <v>762265215.99000001</v>
      </c>
      <c r="H391" s="14"/>
      <c r="I391" s="16"/>
    </row>
    <row r="392" spans="1:9" x14ac:dyDescent="0.25">
      <c r="A392" s="36">
        <v>46635</v>
      </c>
      <c r="B392" s="60">
        <f t="shared" si="47"/>
        <v>30</v>
      </c>
      <c r="C392" s="4">
        <f t="shared" si="44"/>
        <v>16926875.700000003</v>
      </c>
      <c r="D392" s="2">
        <f t="shared" si="46"/>
        <v>4222455.4300000034</v>
      </c>
      <c r="E392" s="19">
        <f t="shared" si="45"/>
        <v>12704420.27</v>
      </c>
      <c r="F392" s="2">
        <f t="shared" si="48"/>
        <v>762265215.99000001</v>
      </c>
      <c r="G392" s="2">
        <f t="shared" si="49"/>
        <v>758042760.56000006</v>
      </c>
      <c r="H392" s="14"/>
      <c r="I392" s="16"/>
    </row>
    <row r="393" spans="1:9" x14ac:dyDescent="0.25">
      <c r="A393" s="36">
        <v>46665</v>
      </c>
      <c r="B393" s="60">
        <f t="shared" si="47"/>
        <v>30</v>
      </c>
      <c r="C393" s="4">
        <f t="shared" si="44"/>
        <v>16926875.700000003</v>
      </c>
      <c r="D393" s="2">
        <f t="shared" si="46"/>
        <v>4292829.6900000032</v>
      </c>
      <c r="E393" s="19">
        <f t="shared" si="45"/>
        <v>12634046.01</v>
      </c>
      <c r="F393" s="2">
        <f t="shared" si="48"/>
        <v>758042760.56000006</v>
      </c>
      <c r="G393" s="2">
        <f t="shared" si="49"/>
        <v>753749930.87</v>
      </c>
      <c r="H393" s="14"/>
      <c r="I393" s="16"/>
    </row>
    <row r="394" spans="1:9" x14ac:dyDescent="0.25">
      <c r="A394" s="36">
        <v>46696</v>
      </c>
      <c r="B394" s="60">
        <f t="shared" si="47"/>
        <v>30</v>
      </c>
      <c r="C394" s="4">
        <f t="shared" si="44"/>
        <v>16926875.700000003</v>
      </c>
      <c r="D394" s="2">
        <f t="shared" si="46"/>
        <v>4364376.8500000034</v>
      </c>
      <c r="E394" s="19">
        <f t="shared" si="45"/>
        <v>12562498.85</v>
      </c>
      <c r="F394" s="2">
        <f t="shared" si="48"/>
        <v>753749930.87</v>
      </c>
      <c r="G394" s="2">
        <f t="shared" si="49"/>
        <v>749385554.01999998</v>
      </c>
      <c r="H394" s="14"/>
      <c r="I394" s="16"/>
    </row>
    <row r="395" spans="1:9" x14ac:dyDescent="0.25">
      <c r="A395" s="36">
        <v>46726</v>
      </c>
      <c r="B395" s="60">
        <f t="shared" si="47"/>
        <v>30</v>
      </c>
      <c r="C395" s="4">
        <f t="shared" si="44"/>
        <v>16926875.700000003</v>
      </c>
      <c r="D395" s="2">
        <f t="shared" si="46"/>
        <v>4437116.4700000025</v>
      </c>
      <c r="E395" s="19">
        <f t="shared" si="45"/>
        <v>12489759.23</v>
      </c>
      <c r="F395" s="2">
        <f t="shared" si="48"/>
        <v>749385554.01999998</v>
      </c>
      <c r="G395" s="2">
        <f t="shared" si="49"/>
        <v>744948437.54999995</v>
      </c>
      <c r="H395" s="14"/>
      <c r="I395" s="16"/>
    </row>
    <row r="396" spans="1:9" x14ac:dyDescent="0.25">
      <c r="A396" s="36">
        <v>46757</v>
      </c>
      <c r="B396" s="60">
        <f t="shared" si="47"/>
        <v>30</v>
      </c>
      <c r="C396" s="4">
        <f t="shared" si="44"/>
        <v>16926875.700000003</v>
      </c>
      <c r="D396" s="2">
        <f t="shared" si="46"/>
        <v>4511068.4100000039</v>
      </c>
      <c r="E396" s="19">
        <f t="shared" si="45"/>
        <v>12415807.289999999</v>
      </c>
      <c r="F396" s="2">
        <f t="shared" si="48"/>
        <v>744948437.54999995</v>
      </c>
      <c r="G396" s="2">
        <f t="shared" si="49"/>
        <v>740437369.13999999</v>
      </c>
      <c r="H396" s="14"/>
      <c r="I396" s="16"/>
    </row>
    <row r="397" spans="1:9" x14ac:dyDescent="0.25">
      <c r="A397" s="36">
        <v>46788</v>
      </c>
      <c r="B397" s="60">
        <f t="shared" si="47"/>
        <v>30</v>
      </c>
      <c r="C397" s="4">
        <f t="shared" si="44"/>
        <v>16926875.700000003</v>
      </c>
      <c r="D397" s="2">
        <f t="shared" si="46"/>
        <v>4586252.8800000027</v>
      </c>
      <c r="E397" s="19">
        <f t="shared" si="45"/>
        <v>12340622.82</v>
      </c>
      <c r="F397" s="2">
        <f t="shared" si="48"/>
        <v>740437369.13999999</v>
      </c>
      <c r="G397" s="2">
        <f t="shared" si="49"/>
        <v>735851116.25999999</v>
      </c>
      <c r="H397" s="14"/>
      <c r="I397" s="16"/>
    </row>
    <row r="398" spans="1:9" x14ac:dyDescent="0.25">
      <c r="A398" s="36">
        <v>46817</v>
      </c>
      <c r="B398" s="60">
        <f t="shared" si="47"/>
        <v>30</v>
      </c>
      <c r="C398" s="4">
        <f t="shared" si="44"/>
        <v>16926875.700000003</v>
      </c>
      <c r="D398" s="2">
        <f t="shared" si="46"/>
        <v>4662690.4300000034</v>
      </c>
      <c r="E398" s="19">
        <f t="shared" si="45"/>
        <v>12264185.27</v>
      </c>
      <c r="F398" s="2">
        <f t="shared" si="48"/>
        <v>735851116.25999999</v>
      </c>
      <c r="G398" s="2">
        <f t="shared" si="49"/>
        <v>731188425.83000004</v>
      </c>
      <c r="H398" s="14"/>
      <c r="I398" s="16"/>
    </row>
    <row r="399" spans="1:9" x14ac:dyDescent="0.25">
      <c r="A399" s="36">
        <v>46848</v>
      </c>
      <c r="B399" s="60">
        <f t="shared" si="47"/>
        <v>30</v>
      </c>
      <c r="C399" s="4">
        <f t="shared" si="44"/>
        <v>16926875.700000003</v>
      </c>
      <c r="D399" s="2">
        <f t="shared" si="46"/>
        <v>4740401.9400000032</v>
      </c>
      <c r="E399" s="19">
        <f t="shared" si="45"/>
        <v>12186473.76</v>
      </c>
      <c r="F399" s="2">
        <f t="shared" si="48"/>
        <v>731188425.83000004</v>
      </c>
      <c r="G399" s="2">
        <f t="shared" si="49"/>
        <v>726448023.88999999</v>
      </c>
      <c r="H399" s="14"/>
      <c r="I399" s="16"/>
    </row>
    <row r="400" spans="1:9" x14ac:dyDescent="0.25">
      <c r="A400" s="36">
        <v>46878</v>
      </c>
      <c r="B400" s="60">
        <f t="shared" si="47"/>
        <v>30</v>
      </c>
      <c r="C400" s="4">
        <f t="shared" si="44"/>
        <v>16926875.700000003</v>
      </c>
      <c r="D400" s="2">
        <f t="shared" si="46"/>
        <v>4819408.6400000025</v>
      </c>
      <c r="E400" s="19">
        <f t="shared" si="45"/>
        <v>12107467.060000001</v>
      </c>
      <c r="F400" s="2">
        <f t="shared" si="48"/>
        <v>726448023.88999999</v>
      </c>
      <c r="G400" s="2">
        <f t="shared" si="49"/>
        <v>721628615.25</v>
      </c>
      <c r="H400" s="14"/>
      <c r="I400" s="16"/>
    </row>
    <row r="401" spans="1:9" x14ac:dyDescent="0.25">
      <c r="A401" s="36">
        <v>46909</v>
      </c>
      <c r="B401" s="60">
        <f t="shared" si="47"/>
        <v>30</v>
      </c>
      <c r="C401" s="4">
        <f t="shared" si="44"/>
        <v>16926875.700000003</v>
      </c>
      <c r="D401" s="2">
        <f t="shared" si="46"/>
        <v>4899732.1100000031</v>
      </c>
      <c r="E401" s="19">
        <f t="shared" si="45"/>
        <v>12027143.59</v>
      </c>
      <c r="F401" s="2">
        <f t="shared" si="48"/>
        <v>721628615.25</v>
      </c>
      <c r="G401" s="2">
        <f t="shared" si="49"/>
        <v>716728883.13999999</v>
      </c>
      <c r="H401" s="14"/>
      <c r="I401" s="16"/>
    </row>
    <row r="402" spans="1:9" x14ac:dyDescent="0.25">
      <c r="A402" s="36">
        <v>46939</v>
      </c>
      <c r="B402" s="60">
        <f t="shared" si="47"/>
        <v>30</v>
      </c>
      <c r="C402" s="4">
        <f t="shared" si="44"/>
        <v>16926875.700000003</v>
      </c>
      <c r="D402" s="2">
        <f t="shared" si="46"/>
        <v>4981394.3100000024</v>
      </c>
      <c r="E402" s="19">
        <f t="shared" si="45"/>
        <v>11945481.390000001</v>
      </c>
      <c r="F402" s="2">
        <f t="shared" si="48"/>
        <v>716728883.13999999</v>
      </c>
      <c r="G402" s="2">
        <f t="shared" si="49"/>
        <v>711747488.82999992</v>
      </c>
      <c r="H402" s="14"/>
      <c r="I402" s="16"/>
    </row>
    <row r="403" spans="1:9" x14ac:dyDescent="0.25">
      <c r="A403" s="36">
        <v>46970</v>
      </c>
      <c r="B403" s="60">
        <f t="shared" si="47"/>
        <v>30</v>
      </c>
      <c r="C403" s="4">
        <f t="shared" si="44"/>
        <v>16926875.700000003</v>
      </c>
      <c r="D403" s="2">
        <f t="shared" si="46"/>
        <v>5064417.5500000026</v>
      </c>
      <c r="E403" s="19">
        <f t="shared" si="45"/>
        <v>11862458.15</v>
      </c>
      <c r="F403" s="2">
        <f t="shared" si="48"/>
        <v>711747488.82999992</v>
      </c>
      <c r="G403" s="2">
        <f t="shared" si="49"/>
        <v>706683071.27999997</v>
      </c>
      <c r="H403" s="14"/>
      <c r="I403" s="16"/>
    </row>
    <row r="404" spans="1:9" x14ac:dyDescent="0.25">
      <c r="A404" s="36">
        <v>47001</v>
      </c>
      <c r="B404" s="60">
        <f t="shared" si="47"/>
        <v>30</v>
      </c>
      <c r="C404" s="4">
        <f t="shared" si="44"/>
        <v>16926875.700000003</v>
      </c>
      <c r="D404" s="2">
        <f t="shared" si="46"/>
        <v>5148824.5100000035</v>
      </c>
      <c r="E404" s="19">
        <f t="shared" si="45"/>
        <v>11778051.189999999</v>
      </c>
      <c r="F404" s="2">
        <f t="shared" si="48"/>
        <v>706683071.27999997</v>
      </c>
      <c r="G404" s="2">
        <f t="shared" si="49"/>
        <v>701534246.76999998</v>
      </c>
      <c r="H404" s="14"/>
      <c r="I404" s="16"/>
    </row>
    <row r="405" spans="1:9" x14ac:dyDescent="0.25">
      <c r="A405" s="36">
        <v>47031</v>
      </c>
      <c r="B405" s="60">
        <f t="shared" si="47"/>
        <v>30</v>
      </c>
      <c r="C405" s="4">
        <f t="shared" si="44"/>
        <v>16926875.700000003</v>
      </c>
      <c r="D405" s="2">
        <f t="shared" si="46"/>
        <v>5234638.2500000037</v>
      </c>
      <c r="E405" s="19">
        <f t="shared" si="45"/>
        <v>11692237.449999999</v>
      </c>
      <c r="F405" s="2">
        <f t="shared" si="48"/>
        <v>701534246.76999998</v>
      </c>
      <c r="G405" s="2">
        <f t="shared" si="49"/>
        <v>696299608.51999998</v>
      </c>
      <c r="H405" s="14"/>
      <c r="I405" s="16"/>
    </row>
    <row r="406" spans="1:9" x14ac:dyDescent="0.25">
      <c r="A406" s="36">
        <v>47062</v>
      </c>
      <c r="B406" s="60">
        <f t="shared" si="47"/>
        <v>30</v>
      </c>
      <c r="C406" s="4">
        <f t="shared" si="44"/>
        <v>16926875.700000003</v>
      </c>
      <c r="D406" s="2">
        <f t="shared" si="46"/>
        <v>5321882.2200000025</v>
      </c>
      <c r="E406" s="19">
        <f t="shared" si="45"/>
        <v>11604993.48</v>
      </c>
      <c r="F406" s="2">
        <f t="shared" si="48"/>
        <v>696299608.51999998</v>
      </c>
      <c r="G406" s="2">
        <f t="shared" si="49"/>
        <v>690977726.29999995</v>
      </c>
      <c r="H406" s="14"/>
      <c r="I406" s="16"/>
    </row>
    <row r="407" spans="1:9" x14ac:dyDescent="0.25">
      <c r="A407" s="36">
        <v>47092</v>
      </c>
      <c r="B407" s="60">
        <f t="shared" si="47"/>
        <v>30</v>
      </c>
      <c r="C407" s="4">
        <f t="shared" si="44"/>
        <v>16926875.700000003</v>
      </c>
      <c r="D407" s="2">
        <f t="shared" si="46"/>
        <v>5410580.2600000035</v>
      </c>
      <c r="E407" s="19">
        <f t="shared" si="45"/>
        <v>11516295.439999999</v>
      </c>
      <c r="F407" s="2">
        <f t="shared" si="48"/>
        <v>690977726.29999995</v>
      </c>
      <c r="G407" s="2">
        <f t="shared" si="49"/>
        <v>685567146.03999996</v>
      </c>
      <c r="H407" s="14"/>
      <c r="I407" s="16"/>
    </row>
    <row r="408" spans="1:9" x14ac:dyDescent="0.25">
      <c r="A408" s="36">
        <v>47123</v>
      </c>
      <c r="B408" s="60">
        <f t="shared" si="47"/>
        <v>30</v>
      </c>
      <c r="C408" s="4">
        <f t="shared" si="44"/>
        <v>16926875.700000003</v>
      </c>
      <c r="D408" s="2">
        <f t="shared" si="46"/>
        <v>5500756.6000000034</v>
      </c>
      <c r="E408" s="19">
        <f t="shared" si="45"/>
        <v>11426119.1</v>
      </c>
      <c r="F408" s="2">
        <f t="shared" si="48"/>
        <v>685567146.03999996</v>
      </c>
      <c r="G408" s="2">
        <f t="shared" si="49"/>
        <v>680066389.43999994</v>
      </c>
      <c r="H408" s="14"/>
      <c r="I408" s="16"/>
    </row>
    <row r="409" spans="1:9" x14ac:dyDescent="0.25">
      <c r="A409" s="36">
        <v>47154</v>
      </c>
      <c r="B409" s="60">
        <f t="shared" si="47"/>
        <v>30</v>
      </c>
      <c r="C409" s="4">
        <f t="shared" si="44"/>
        <v>16926875.700000003</v>
      </c>
      <c r="D409" s="2">
        <f t="shared" si="46"/>
        <v>5592435.8800000027</v>
      </c>
      <c r="E409" s="19">
        <f t="shared" si="45"/>
        <v>11334439.82</v>
      </c>
      <c r="F409" s="2">
        <f t="shared" si="48"/>
        <v>680066389.43999994</v>
      </c>
      <c r="G409" s="2">
        <f t="shared" si="49"/>
        <v>674473953.55999994</v>
      </c>
      <c r="H409" s="14"/>
      <c r="I409" s="16"/>
    </row>
    <row r="410" spans="1:9" x14ac:dyDescent="0.25">
      <c r="A410" s="36">
        <v>47182</v>
      </c>
      <c r="B410" s="60">
        <f t="shared" si="47"/>
        <v>30</v>
      </c>
      <c r="C410" s="4">
        <f t="shared" si="44"/>
        <v>16926875.700000003</v>
      </c>
      <c r="D410" s="2">
        <f t="shared" si="46"/>
        <v>5685643.1400000025</v>
      </c>
      <c r="E410" s="19">
        <f t="shared" si="45"/>
        <v>11241232.560000001</v>
      </c>
      <c r="F410" s="2">
        <f t="shared" si="48"/>
        <v>674473953.55999994</v>
      </c>
      <c r="G410" s="2">
        <f t="shared" si="49"/>
        <v>668788310.41999996</v>
      </c>
      <c r="H410" s="14"/>
      <c r="I410" s="16"/>
    </row>
    <row r="411" spans="1:9" x14ac:dyDescent="0.25">
      <c r="A411" s="36">
        <v>47213</v>
      </c>
      <c r="B411" s="60">
        <f t="shared" si="47"/>
        <v>30</v>
      </c>
      <c r="C411" s="4">
        <f t="shared" si="44"/>
        <v>16926875.700000003</v>
      </c>
      <c r="D411" s="2">
        <f t="shared" si="46"/>
        <v>5780403.8600000031</v>
      </c>
      <c r="E411" s="19">
        <f t="shared" si="45"/>
        <v>11146471.84</v>
      </c>
      <c r="F411" s="2">
        <f t="shared" si="48"/>
        <v>668788310.41999996</v>
      </c>
      <c r="G411" s="2">
        <f t="shared" si="49"/>
        <v>663007906.55999994</v>
      </c>
      <c r="H411" s="14"/>
      <c r="I411" s="16"/>
    </row>
    <row r="412" spans="1:9" x14ac:dyDescent="0.25">
      <c r="A412" s="36">
        <v>47243</v>
      </c>
      <c r="B412" s="60">
        <f t="shared" si="47"/>
        <v>30</v>
      </c>
      <c r="C412" s="4">
        <f t="shared" si="44"/>
        <v>16926875.700000003</v>
      </c>
      <c r="D412" s="2">
        <f t="shared" si="46"/>
        <v>5876743.9200000037</v>
      </c>
      <c r="E412" s="19">
        <f t="shared" si="45"/>
        <v>11050131.779999999</v>
      </c>
      <c r="F412" s="2">
        <f t="shared" si="48"/>
        <v>663007906.55999994</v>
      </c>
      <c r="G412" s="2">
        <f t="shared" si="49"/>
        <v>657131162.63999999</v>
      </c>
      <c r="H412" s="14"/>
      <c r="I412" s="16"/>
    </row>
    <row r="413" spans="1:9" x14ac:dyDescent="0.25">
      <c r="A413" s="36">
        <v>47274</v>
      </c>
      <c r="B413" s="60">
        <f t="shared" si="47"/>
        <v>30</v>
      </c>
      <c r="C413" s="4">
        <f t="shared" si="44"/>
        <v>16926875.700000003</v>
      </c>
      <c r="D413" s="2">
        <f t="shared" si="46"/>
        <v>5974689.6600000039</v>
      </c>
      <c r="E413" s="19">
        <f t="shared" si="45"/>
        <v>10952186.039999999</v>
      </c>
      <c r="F413" s="2">
        <f t="shared" si="48"/>
        <v>657131162.63999999</v>
      </c>
      <c r="G413" s="2">
        <f t="shared" si="49"/>
        <v>651156472.98000002</v>
      </c>
      <c r="H413" s="14"/>
      <c r="I413" s="16"/>
    </row>
    <row r="414" spans="1:9" x14ac:dyDescent="0.25">
      <c r="A414" s="36">
        <v>47304</v>
      </c>
      <c r="B414" s="60">
        <f t="shared" si="47"/>
        <v>30</v>
      </c>
      <c r="C414" s="4">
        <f t="shared" si="44"/>
        <v>16926875.700000003</v>
      </c>
      <c r="D414" s="2">
        <f t="shared" si="46"/>
        <v>6074267.8200000022</v>
      </c>
      <c r="E414" s="19">
        <f t="shared" si="45"/>
        <v>10852607.880000001</v>
      </c>
      <c r="F414" s="2">
        <f t="shared" si="48"/>
        <v>651156472.98000002</v>
      </c>
      <c r="G414" s="2">
        <f t="shared" si="49"/>
        <v>645082205.15999997</v>
      </c>
      <c r="H414" s="14"/>
      <c r="I414" s="16"/>
    </row>
    <row r="415" spans="1:9" x14ac:dyDescent="0.25">
      <c r="A415" s="36">
        <v>47335</v>
      </c>
      <c r="B415" s="60">
        <f t="shared" si="47"/>
        <v>30</v>
      </c>
      <c r="C415" s="4">
        <f t="shared" si="44"/>
        <v>16926875.700000003</v>
      </c>
      <c r="D415" s="2">
        <f t="shared" si="46"/>
        <v>6175505.6100000031</v>
      </c>
      <c r="E415" s="19">
        <f t="shared" si="45"/>
        <v>10751370.09</v>
      </c>
      <c r="F415" s="2">
        <f t="shared" si="48"/>
        <v>645082205.15999997</v>
      </c>
      <c r="G415" s="2">
        <f t="shared" si="49"/>
        <v>638906699.54999995</v>
      </c>
      <c r="H415" s="14"/>
      <c r="I415" s="16"/>
    </row>
    <row r="416" spans="1:9" x14ac:dyDescent="0.25">
      <c r="A416" s="36">
        <v>47366</v>
      </c>
      <c r="B416" s="60">
        <f t="shared" si="47"/>
        <v>30</v>
      </c>
      <c r="C416" s="4">
        <f t="shared" si="44"/>
        <v>16926875.700000003</v>
      </c>
      <c r="D416" s="2">
        <f t="shared" si="46"/>
        <v>6278430.7100000028</v>
      </c>
      <c r="E416" s="19">
        <f t="shared" si="45"/>
        <v>10648444.99</v>
      </c>
      <c r="F416" s="2">
        <f t="shared" si="48"/>
        <v>638906699.54999995</v>
      </c>
      <c r="G416" s="2">
        <f t="shared" si="49"/>
        <v>632628268.83999991</v>
      </c>
      <c r="H416" s="14"/>
      <c r="I416" s="16"/>
    </row>
    <row r="417" spans="1:9" x14ac:dyDescent="0.25">
      <c r="A417" s="36">
        <v>47396</v>
      </c>
      <c r="B417" s="60">
        <f t="shared" si="47"/>
        <v>30</v>
      </c>
      <c r="C417" s="4">
        <f t="shared" si="44"/>
        <v>16926875.700000003</v>
      </c>
      <c r="D417" s="2">
        <f t="shared" si="46"/>
        <v>6383071.2200000025</v>
      </c>
      <c r="E417" s="19">
        <f t="shared" si="45"/>
        <v>10543804.48</v>
      </c>
      <c r="F417" s="2">
        <f t="shared" si="48"/>
        <v>632628268.83999991</v>
      </c>
      <c r="G417" s="2">
        <f t="shared" si="49"/>
        <v>626245197.61999989</v>
      </c>
      <c r="H417" s="14"/>
      <c r="I417" s="16"/>
    </row>
    <row r="418" spans="1:9" x14ac:dyDescent="0.25">
      <c r="A418" s="36">
        <v>47427</v>
      </c>
      <c r="B418" s="60">
        <f t="shared" si="47"/>
        <v>30</v>
      </c>
      <c r="C418" s="4">
        <f t="shared" si="44"/>
        <v>16926875.700000003</v>
      </c>
      <c r="D418" s="2">
        <f t="shared" si="46"/>
        <v>6489455.7400000021</v>
      </c>
      <c r="E418" s="19">
        <f t="shared" si="45"/>
        <v>10437419.960000001</v>
      </c>
      <c r="F418" s="2">
        <f t="shared" si="48"/>
        <v>626245197.61999989</v>
      </c>
      <c r="G418" s="2">
        <f t="shared" si="49"/>
        <v>619755741.87999988</v>
      </c>
      <c r="H418" s="14"/>
      <c r="I418" s="16"/>
    </row>
    <row r="419" spans="1:9" x14ac:dyDescent="0.25">
      <c r="A419" s="36">
        <v>47457</v>
      </c>
      <c r="B419" s="60">
        <f t="shared" si="47"/>
        <v>30</v>
      </c>
      <c r="C419" s="4">
        <f t="shared" si="44"/>
        <v>16926875.700000003</v>
      </c>
      <c r="D419" s="2">
        <f t="shared" si="46"/>
        <v>6597613.3400000036</v>
      </c>
      <c r="E419" s="19">
        <f t="shared" si="45"/>
        <v>10329262.359999999</v>
      </c>
      <c r="F419" s="2">
        <f t="shared" si="48"/>
        <v>619755741.87999988</v>
      </c>
      <c r="G419" s="2">
        <f t="shared" si="49"/>
        <v>613158128.53999984</v>
      </c>
      <c r="H419" s="14"/>
      <c r="I419" s="16"/>
    </row>
    <row r="420" spans="1:9" x14ac:dyDescent="0.25">
      <c r="A420" s="36">
        <v>47488</v>
      </c>
      <c r="B420" s="60">
        <f t="shared" si="47"/>
        <v>30</v>
      </c>
      <c r="C420" s="4">
        <f t="shared" si="44"/>
        <v>16926875.700000003</v>
      </c>
      <c r="D420" s="2">
        <f t="shared" si="46"/>
        <v>6707573.5600000024</v>
      </c>
      <c r="E420" s="19">
        <f t="shared" si="45"/>
        <v>10219302.140000001</v>
      </c>
      <c r="F420" s="2">
        <f t="shared" si="48"/>
        <v>613158128.53999984</v>
      </c>
      <c r="G420" s="2">
        <f t="shared" si="49"/>
        <v>606450554.97999978</v>
      </c>
      <c r="H420" s="14"/>
      <c r="I420" s="16"/>
    </row>
    <row r="421" spans="1:9" x14ac:dyDescent="0.25">
      <c r="A421" s="36">
        <v>47519</v>
      </c>
      <c r="B421" s="60">
        <f t="shared" si="47"/>
        <v>30</v>
      </c>
      <c r="C421" s="4">
        <f t="shared" si="44"/>
        <v>16926875.700000003</v>
      </c>
      <c r="D421" s="2">
        <f t="shared" si="46"/>
        <v>6819366.450000003</v>
      </c>
      <c r="E421" s="19">
        <f t="shared" si="45"/>
        <v>10107509.25</v>
      </c>
      <c r="F421" s="2">
        <f t="shared" si="48"/>
        <v>606450554.97999978</v>
      </c>
      <c r="G421" s="2">
        <f t="shared" si="49"/>
        <v>599631188.52999973</v>
      </c>
      <c r="H421" s="14"/>
      <c r="I421" s="16"/>
    </row>
    <row r="422" spans="1:9" x14ac:dyDescent="0.25">
      <c r="A422" s="36">
        <v>47547</v>
      </c>
      <c r="B422" s="60">
        <f t="shared" si="47"/>
        <v>30</v>
      </c>
      <c r="C422" s="4">
        <f t="shared" si="44"/>
        <v>16926875.700000003</v>
      </c>
      <c r="D422" s="2">
        <f t="shared" si="46"/>
        <v>6933022.5600000024</v>
      </c>
      <c r="E422" s="19">
        <f t="shared" si="45"/>
        <v>9993853.1400000006</v>
      </c>
      <c r="F422" s="2">
        <f t="shared" si="48"/>
        <v>599631188.52999973</v>
      </c>
      <c r="G422" s="2">
        <f t="shared" si="49"/>
        <v>592698165.96999979</v>
      </c>
      <c r="H422" s="14"/>
      <c r="I422" s="16"/>
    </row>
    <row r="423" spans="1:9" x14ac:dyDescent="0.25">
      <c r="A423" s="36">
        <v>47578</v>
      </c>
      <c r="B423" s="60">
        <f t="shared" si="47"/>
        <v>30</v>
      </c>
      <c r="C423" s="4">
        <f t="shared" si="44"/>
        <v>16926875.700000003</v>
      </c>
      <c r="D423" s="2">
        <f t="shared" si="46"/>
        <v>7048572.9300000034</v>
      </c>
      <c r="E423" s="19">
        <f t="shared" si="45"/>
        <v>9878302.7699999996</v>
      </c>
      <c r="F423" s="2">
        <f t="shared" si="48"/>
        <v>592698165.96999979</v>
      </c>
      <c r="G423" s="2">
        <f t="shared" si="49"/>
        <v>585649593.03999984</v>
      </c>
      <c r="H423" s="14"/>
      <c r="I423" s="16"/>
    </row>
    <row r="424" spans="1:9" x14ac:dyDescent="0.25">
      <c r="A424" s="36">
        <v>47608</v>
      </c>
      <c r="B424" s="60">
        <f t="shared" si="47"/>
        <v>30</v>
      </c>
      <c r="C424" s="4">
        <f t="shared" si="44"/>
        <v>16926875.700000003</v>
      </c>
      <c r="D424" s="2">
        <f t="shared" si="46"/>
        <v>7166049.1500000022</v>
      </c>
      <c r="E424" s="19">
        <f t="shared" si="45"/>
        <v>9760826.5500000007</v>
      </c>
      <c r="F424" s="2">
        <f t="shared" si="48"/>
        <v>585649593.03999984</v>
      </c>
      <c r="G424" s="2">
        <f t="shared" si="49"/>
        <v>578483543.88999987</v>
      </c>
      <c r="H424" s="14"/>
      <c r="I424" s="16"/>
    </row>
    <row r="425" spans="1:9" x14ac:dyDescent="0.25">
      <c r="A425" s="36">
        <v>47639</v>
      </c>
      <c r="B425" s="60">
        <f t="shared" si="47"/>
        <v>30</v>
      </c>
      <c r="C425" s="4">
        <f t="shared" si="44"/>
        <v>16926875.700000003</v>
      </c>
      <c r="D425" s="2">
        <f t="shared" si="46"/>
        <v>7285483.3000000026</v>
      </c>
      <c r="E425" s="19">
        <f t="shared" si="45"/>
        <v>9641392.4000000004</v>
      </c>
      <c r="F425" s="2">
        <f t="shared" si="48"/>
        <v>578483543.88999987</v>
      </c>
      <c r="G425" s="2">
        <f t="shared" si="49"/>
        <v>571198060.58999991</v>
      </c>
      <c r="H425" s="14"/>
      <c r="I425" s="16"/>
    </row>
    <row r="426" spans="1:9" x14ac:dyDescent="0.25">
      <c r="A426" s="36">
        <v>47669</v>
      </c>
      <c r="B426" s="60">
        <f t="shared" si="47"/>
        <v>30</v>
      </c>
      <c r="C426" s="4">
        <f t="shared" si="44"/>
        <v>16926875.700000003</v>
      </c>
      <c r="D426" s="2">
        <f t="shared" si="46"/>
        <v>7406908.0200000033</v>
      </c>
      <c r="E426" s="19">
        <f t="shared" si="45"/>
        <v>9519967.6799999997</v>
      </c>
      <c r="F426" s="2">
        <f t="shared" si="48"/>
        <v>571198060.58999991</v>
      </c>
      <c r="G426" s="2">
        <f t="shared" si="49"/>
        <v>563791152.56999993</v>
      </c>
      <c r="H426" s="14"/>
      <c r="I426" s="16"/>
    </row>
    <row r="427" spans="1:9" x14ac:dyDescent="0.25">
      <c r="A427" s="36">
        <v>47700</v>
      </c>
      <c r="B427" s="60">
        <f t="shared" si="47"/>
        <v>30</v>
      </c>
      <c r="C427" s="4">
        <f t="shared" si="44"/>
        <v>16926875.700000003</v>
      </c>
      <c r="D427" s="2">
        <f t="shared" si="46"/>
        <v>7530356.4900000021</v>
      </c>
      <c r="E427" s="19">
        <f t="shared" si="45"/>
        <v>9396519.2100000009</v>
      </c>
      <c r="F427" s="2">
        <f t="shared" si="48"/>
        <v>563791152.56999993</v>
      </c>
      <c r="G427" s="2">
        <f t="shared" si="49"/>
        <v>556260796.07999992</v>
      </c>
      <c r="H427" s="14"/>
      <c r="I427" s="16"/>
    </row>
    <row r="428" spans="1:9" x14ac:dyDescent="0.25">
      <c r="A428" s="36">
        <v>47731</v>
      </c>
      <c r="B428" s="60">
        <f t="shared" si="47"/>
        <v>30</v>
      </c>
      <c r="C428" s="4">
        <f t="shared" si="44"/>
        <v>16926875.700000003</v>
      </c>
      <c r="D428" s="2">
        <f t="shared" si="46"/>
        <v>7655862.4300000034</v>
      </c>
      <c r="E428" s="19">
        <f t="shared" si="45"/>
        <v>9271013.2699999996</v>
      </c>
      <c r="F428" s="2">
        <f t="shared" si="48"/>
        <v>556260796.07999992</v>
      </c>
      <c r="G428" s="2">
        <f t="shared" si="49"/>
        <v>548604933.64999998</v>
      </c>
      <c r="H428" s="14"/>
      <c r="I428" s="16"/>
    </row>
    <row r="429" spans="1:9" x14ac:dyDescent="0.25">
      <c r="A429" s="36">
        <v>47761</v>
      </c>
      <c r="B429" s="60">
        <f t="shared" si="47"/>
        <v>30</v>
      </c>
      <c r="C429" s="4">
        <f t="shared" si="44"/>
        <v>16926875.700000003</v>
      </c>
      <c r="D429" s="2">
        <f t="shared" si="46"/>
        <v>7783460.1400000025</v>
      </c>
      <c r="E429" s="19">
        <f t="shared" si="45"/>
        <v>9143415.5600000005</v>
      </c>
      <c r="F429" s="2">
        <f t="shared" si="48"/>
        <v>548604933.64999998</v>
      </c>
      <c r="G429" s="2">
        <f t="shared" si="49"/>
        <v>540821473.50999999</v>
      </c>
      <c r="H429" s="14"/>
      <c r="I429" s="16"/>
    </row>
    <row r="430" spans="1:9" x14ac:dyDescent="0.25">
      <c r="A430" s="36">
        <v>47792</v>
      </c>
      <c r="B430" s="60">
        <f t="shared" si="47"/>
        <v>30</v>
      </c>
      <c r="C430" s="4">
        <f t="shared" si="44"/>
        <v>16926875.700000003</v>
      </c>
      <c r="D430" s="2">
        <f t="shared" si="46"/>
        <v>7913184.4700000025</v>
      </c>
      <c r="E430" s="19">
        <f t="shared" si="45"/>
        <v>9013691.2300000004</v>
      </c>
      <c r="F430" s="2">
        <f t="shared" si="48"/>
        <v>540821473.50999999</v>
      </c>
      <c r="G430" s="2">
        <f t="shared" si="49"/>
        <v>532908289.03999996</v>
      </c>
      <c r="H430" s="14"/>
      <c r="I430" s="16"/>
    </row>
    <row r="431" spans="1:9" x14ac:dyDescent="0.25">
      <c r="A431" s="36">
        <v>47822</v>
      </c>
      <c r="B431" s="60">
        <f t="shared" si="47"/>
        <v>30</v>
      </c>
      <c r="C431" s="4">
        <f t="shared" si="44"/>
        <v>16926875.700000003</v>
      </c>
      <c r="D431" s="2">
        <f t="shared" si="46"/>
        <v>8045070.8800000027</v>
      </c>
      <c r="E431" s="19">
        <f t="shared" si="45"/>
        <v>8881804.8200000003</v>
      </c>
      <c r="F431" s="2">
        <f t="shared" si="48"/>
        <v>532908289.03999996</v>
      </c>
      <c r="G431" s="2">
        <f t="shared" si="49"/>
        <v>524863218.15999997</v>
      </c>
      <c r="H431" s="14"/>
      <c r="I431" s="16"/>
    </row>
    <row r="432" spans="1:9" x14ac:dyDescent="0.25">
      <c r="A432" s="36">
        <v>47853</v>
      </c>
      <c r="B432" s="60">
        <f t="shared" si="47"/>
        <v>30</v>
      </c>
      <c r="C432" s="4">
        <f t="shared" si="44"/>
        <v>16926875.700000003</v>
      </c>
      <c r="D432" s="2">
        <f t="shared" si="46"/>
        <v>8179155.4000000022</v>
      </c>
      <c r="E432" s="19">
        <f t="shared" si="45"/>
        <v>8747720.3000000007</v>
      </c>
      <c r="F432" s="2">
        <f t="shared" si="48"/>
        <v>524863218.15999997</v>
      </c>
      <c r="G432" s="2">
        <f t="shared" si="49"/>
        <v>516684062.75999999</v>
      </c>
      <c r="H432" s="14"/>
      <c r="I432" s="16"/>
    </row>
    <row r="433" spans="1:9" x14ac:dyDescent="0.25">
      <c r="A433" s="36">
        <v>47884</v>
      </c>
      <c r="B433" s="60">
        <f t="shared" si="47"/>
        <v>30</v>
      </c>
      <c r="C433" s="4">
        <f t="shared" si="44"/>
        <v>16926875.700000003</v>
      </c>
      <c r="D433" s="2">
        <f t="shared" si="46"/>
        <v>8315474.6500000022</v>
      </c>
      <c r="E433" s="19">
        <f t="shared" si="45"/>
        <v>8611401.0500000007</v>
      </c>
      <c r="F433" s="2">
        <f t="shared" si="48"/>
        <v>516684062.75999999</v>
      </c>
      <c r="G433" s="2">
        <f t="shared" si="49"/>
        <v>508368588.11000001</v>
      </c>
      <c r="H433" s="14"/>
      <c r="I433" s="16"/>
    </row>
    <row r="434" spans="1:9" x14ac:dyDescent="0.25">
      <c r="A434" s="36">
        <v>47912</v>
      </c>
      <c r="B434" s="60">
        <f t="shared" si="47"/>
        <v>30</v>
      </c>
      <c r="C434" s="4">
        <f t="shared" si="44"/>
        <v>16926875.700000003</v>
      </c>
      <c r="D434" s="2">
        <f t="shared" si="46"/>
        <v>8454065.9000000022</v>
      </c>
      <c r="E434" s="19">
        <f t="shared" si="45"/>
        <v>8472809.8000000007</v>
      </c>
      <c r="F434" s="2">
        <f t="shared" si="48"/>
        <v>508368588.11000001</v>
      </c>
      <c r="G434" s="2">
        <f t="shared" si="49"/>
        <v>499914522.21000004</v>
      </c>
      <c r="H434" s="14"/>
      <c r="I434" s="16"/>
    </row>
    <row r="435" spans="1:9" x14ac:dyDescent="0.25">
      <c r="A435" s="36">
        <v>47943</v>
      </c>
      <c r="B435" s="60">
        <f t="shared" si="47"/>
        <v>30</v>
      </c>
      <c r="C435" s="4">
        <f t="shared" si="44"/>
        <v>16926875.700000003</v>
      </c>
      <c r="D435" s="2">
        <f t="shared" si="46"/>
        <v>8594967.0000000037</v>
      </c>
      <c r="E435" s="19">
        <f t="shared" si="45"/>
        <v>8331908.7000000002</v>
      </c>
      <c r="F435" s="2">
        <f t="shared" si="48"/>
        <v>499914522.21000004</v>
      </c>
      <c r="G435" s="2">
        <f t="shared" si="49"/>
        <v>491319555.21000004</v>
      </c>
      <c r="H435" s="14"/>
      <c r="I435" s="16"/>
    </row>
    <row r="436" spans="1:9" x14ac:dyDescent="0.25">
      <c r="A436" s="36">
        <v>47973</v>
      </c>
      <c r="B436" s="60">
        <f t="shared" si="47"/>
        <v>30</v>
      </c>
      <c r="C436" s="4">
        <f t="shared" si="44"/>
        <v>16926875.700000003</v>
      </c>
      <c r="D436" s="2">
        <f t="shared" si="46"/>
        <v>8738216.450000003</v>
      </c>
      <c r="E436" s="19">
        <f t="shared" si="45"/>
        <v>8188659.25</v>
      </c>
      <c r="F436" s="2">
        <f t="shared" si="48"/>
        <v>491319555.21000004</v>
      </c>
      <c r="G436" s="2">
        <f t="shared" si="49"/>
        <v>482581338.76000005</v>
      </c>
      <c r="H436" s="14"/>
      <c r="I436" s="16"/>
    </row>
    <row r="437" spans="1:9" x14ac:dyDescent="0.25">
      <c r="A437" s="36">
        <v>48004</v>
      </c>
      <c r="B437" s="60">
        <f t="shared" si="47"/>
        <v>30</v>
      </c>
      <c r="C437" s="4">
        <f t="shared" si="44"/>
        <v>16926875.700000003</v>
      </c>
      <c r="D437" s="2">
        <f t="shared" si="46"/>
        <v>8883853.3900000043</v>
      </c>
      <c r="E437" s="19">
        <f t="shared" si="45"/>
        <v>8043022.3099999996</v>
      </c>
      <c r="F437" s="2">
        <f t="shared" si="48"/>
        <v>482581338.76000005</v>
      </c>
      <c r="G437" s="2">
        <f t="shared" si="49"/>
        <v>473697485.37000006</v>
      </c>
      <c r="H437" s="14"/>
      <c r="I437" s="16"/>
    </row>
    <row r="438" spans="1:9" x14ac:dyDescent="0.25">
      <c r="A438" s="36">
        <v>48034</v>
      </c>
      <c r="B438" s="60">
        <f t="shared" si="47"/>
        <v>30</v>
      </c>
      <c r="C438" s="4">
        <f t="shared" si="44"/>
        <v>16926875.700000003</v>
      </c>
      <c r="D438" s="2">
        <f t="shared" si="46"/>
        <v>9031917.6100000031</v>
      </c>
      <c r="E438" s="19">
        <f t="shared" si="45"/>
        <v>7894958.0899999999</v>
      </c>
      <c r="F438" s="2">
        <f t="shared" si="48"/>
        <v>473697485.37000006</v>
      </c>
      <c r="G438" s="2">
        <f t="shared" si="49"/>
        <v>464665567.76000005</v>
      </c>
      <c r="H438" s="14"/>
      <c r="I438" s="16"/>
    </row>
    <row r="439" spans="1:9" x14ac:dyDescent="0.25">
      <c r="A439" s="36">
        <v>48065</v>
      </c>
      <c r="B439" s="60">
        <f t="shared" si="47"/>
        <v>30</v>
      </c>
      <c r="C439" s="4">
        <f t="shared" ref="C439:C475" si="50">$F$1</f>
        <v>16926875.700000003</v>
      </c>
      <c r="D439" s="2">
        <f t="shared" si="46"/>
        <v>9182449.570000004</v>
      </c>
      <c r="E439" s="19">
        <f t="shared" ref="E439:E474" si="51">ROUND(F439*$J$1*B439/360,2)</f>
        <v>7744426.1299999999</v>
      </c>
      <c r="F439" s="2">
        <f t="shared" si="48"/>
        <v>464665567.76000005</v>
      </c>
      <c r="G439" s="2">
        <f t="shared" si="49"/>
        <v>455483118.19000006</v>
      </c>
      <c r="H439" s="14"/>
      <c r="I439" s="16"/>
    </row>
    <row r="440" spans="1:9" x14ac:dyDescent="0.25">
      <c r="A440" s="36">
        <v>48096</v>
      </c>
      <c r="B440" s="60">
        <f t="shared" si="47"/>
        <v>30</v>
      </c>
      <c r="C440" s="4">
        <f t="shared" si="50"/>
        <v>16926875.700000003</v>
      </c>
      <c r="D440" s="2">
        <f t="shared" si="46"/>
        <v>9335490.4000000022</v>
      </c>
      <c r="E440" s="19">
        <f t="shared" si="51"/>
        <v>7591385.2999999998</v>
      </c>
      <c r="F440" s="2">
        <f t="shared" si="48"/>
        <v>455483118.19000006</v>
      </c>
      <c r="G440" s="2">
        <f t="shared" si="49"/>
        <v>446147627.79000008</v>
      </c>
      <c r="H440" s="14"/>
      <c r="I440" s="16"/>
    </row>
    <row r="441" spans="1:9" x14ac:dyDescent="0.25">
      <c r="A441" s="36">
        <v>48126</v>
      </c>
      <c r="B441" s="60">
        <f t="shared" si="47"/>
        <v>30</v>
      </c>
      <c r="C441" s="4">
        <f t="shared" si="50"/>
        <v>16926875.700000003</v>
      </c>
      <c r="D441" s="2">
        <f t="shared" si="46"/>
        <v>9491081.9000000022</v>
      </c>
      <c r="E441" s="19">
        <f t="shared" si="51"/>
        <v>7435793.7999999998</v>
      </c>
      <c r="F441" s="2">
        <f t="shared" si="48"/>
        <v>446147627.79000008</v>
      </c>
      <c r="G441" s="2">
        <f t="shared" si="49"/>
        <v>436656545.8900001</v>
      </c>
      <c r="H441" s="14"/>
      <c r="I441" s="16"/>
    </row>
    <row r="442" spans="1:9" x14ac:dyDescent="0.25">
      <c r="A442" s="36">
        <v>48157</v>
      </c>
      <c r="B442" s="60">
        <f t="shared" si="47"/>
        <v>30</v>
      </c>
      <c r="C442" s="4">
        <f t="shared" si="50"/>
        <v>16926875.700000003</v>
      </c>
      <c r="D442" s="2">
        <f t="shared" si="46"/>
        <v>9649266.6000000034</v>
      </c>
      <c r="E442" s="19">
        <f t="shared" si="51"/>
        <v>7277609.0999999996</v>
      </c>
      <c r="F442" s="2">
        <f t="shared" si="48"/>
        <v>436656545.8900001</v>
      </c>
      <c r="G442" s="2">
        <f t="shared" si="49"/>
        <v>427007279.29000008</v>
      </c>
      <c r="H442" s="14"/>
      <c r="I442" s="16"/>
    </row>
    <row r="443" spans="1:9" x14ac:dyDescent="0.25">
      <c r="A443" s="36">
        <v>48187</v>
      </c>
      <c r="B443" s="60">
        <f t="shared" si="47"/>
        <v>30</v>
      </c>
      <c r="C443" s="4">
        <f t="shared" si="50"/>
        <v>16926875.700000003</v>
      </c>
      <c r="D443" s="2">
        <f t="shared" si="46"/>
        <v>9810087.7100000028</v>
      </c>
      <c r="E443" s="19">
        <f t="shared" si="51"/>
        <v>7116787.9900000002</v>
      </c>
      <c r="F443" s="2">
        <f t="shared" si="48"/>
        <v>427007279.29000008</v>
      </c>
      <c r="G443" s="2">
        <f t="shared" si="49"/>
        <v>417197191.5800001</v>
      </c>
      <c r="H443" s="14"/>
      <c r="I443" s="16"/>
    </row>
    <row r="444" spans="1:9" x14ac:dyDescent="0.25">
      <c r="A444" s="36">
        <v>48218</v>
      </c>
      <c r="B444" s="60">
        <f t="shared" si="47"/>
        <v>30</v>
      </c>
      <c r="C444" s="4">
        <f t="shared" si="50"/>
        <v>16926875.700000003</v>
      </c>
      <c r="D444" s="2">
        <f t="shared" si="46"/>
        <v>9973589.1700000018</v>
      </c>
      <c r="E444" s="19">
        <f t="shared" si="51"/>
        <v>6953286.5300000003</v>
      </c>
      <c r="F444" s="2">
        <f t="shared" si="48"/>
        <v>417197191.5800001</v>
      </c>
      <c r="G444" s="2">
        <f t="shared" si="49"/>
        <v>407223602.41000009</v>
      </c>
      <c r="H444" s="14"/>
      <c r="I444" s="16"/>
    </row>
    <row r="445" spans="1:9" x14ac:dyDescent="0.25">
      <c r="A445" s="36">
        <v>48249</v>
      </c>
      <c r="B445" s="60">
        <f t="shared" si="47"/>
        <v>30</v>
      </c>
      <c r="C445" s="4">
        <f t="shared" si="50"/>
        <v>16926875.700000003</v>
      </c>
      <c r="D445" s="2">
        <f t="shared" si="46"/>
        <v>10139815.660000004</v>
      </c>
      <c r="E445" s="19">
        <f t="shared" si="51"/>
        <v>6787060.04</v>
      </c>
      <c r="F445" s="2">
        <f t="shared" si="48"/>
        <v>407223602.41000009</v>
      </c>
      <c r="G445" s="2">
        <f t="shared" si="49"/>
        <v>397083786.75000006</v>
      </c>
      <c r="H445" s="14"/>
      <c r="I445" s="16"/>
    </row>
    <row r="446" spans="1:9" x14ac:dyDescent="0.25">
      <c r="A446" s="36">
        <v>48278</v>
      </c>
      <c r="B446" s="60">
        <f t="shared" si="47"/>
        <v>30</v>
      </c>
      <c r="C446" s="4">
        <f t="shared" si="50"/>
        <v>16926875.700000003</v>
      </c>
      <c r="D446" s="2">
        <f t="shared" si="46"/>
        <v>10308812.590000004</v>
      </c>
      <c r="E446" s="19">
        <f t="shared" si="51"/>
        <v>6618063.1100000003</v>
      </c>
      <c r="F446" s="2">
        <f t="shared" si="48"/>
        <v>397083786.75000006</v>
      </c>
      <c r="G446" s="2">
        <f t="shared" si="49"/>
        <v>386774974.16000009</v>
      </c>
      <c r="H446" s="14"/>
      <c r="I446" s="16"/>
    </row>
    <row r="447" spans="1:9" x14ac:dyDescent="0.25">
      <c r="A447" s="36">
        <v>48309</v>
      </c>
      <c r="B447" s="60">
        <f t="shared" si="47"/>
        <v>30</v>
      </c>
      <c r="C447" s="4">
        <f t="shared" si="50"/>
        <v>16926875.700000003</v>
      </c>
      <c r="D447" s="2">
        <f t="shared" si="46"/>
        <v>10480626.130000003</v>
      </c>
      <c r="E447" s="19">
        <f t="shared" si="51"/>
        <v>6446249.5700000003</v>
      </c>
      <c r="F447" s="2">
        <f t="shared" si="48"/>
        <v>386774974.16000009</v>
      </c>
      <c r="G447" s="2">
        <f t="shared" si="49"/>
        <v>376294348.03000009</v>
      </c>
      <c r="H447" s="14"/>
      <c r="I447" s="16"/>
    </row>
    <row r="448" spans="1:9" x14ac:dyDescent="0.25">
      <c r="A448" s="36">
        <v>48339</v>
      </c>
      <c r="B448" s="60">
        <f t="shared" si="47"/>
        <v>30</v>
      </c>
      <c r="C448" s="4">
        <f t="shared" si="50"/>
        <v>16926875.700000003</v>
      </c>
      <c r="D448" s="2">
        <f t="shared" si="46"/>
        <v>10655303.230000004</v>
      </c>
      <c r="E448" s="19">
        <f t="shared" si="51"/>
        <v>6271572.4699999997</v>
      </c>
      <c r="F448" s="2">
        <f t="shared" si="48"/>
        <v>376294348.03000009</v>
      </c>
      <c r="G448" s="2">
        <f t="shared" si="49"/>
        <v>365639044.80000007</v>
      </c>
      <c r="H448" s="14"/>
      <c r="I448" s="16"/>
    </row>
    <row r="449" spans="1:9" x14ac:dyDescent="0.25">
      <c r="A449" s="36">
        <v>48370</v>
      </c>
      <c r="B449" s="60">
        <f t="shared" si="47"/>
        <v>30</v>
      </c>
      <c r="C449" s="4">
        <f t="shared" si="50"/>
        <v>16926875.700000003</v>
      </c>
      <c r="D449" s="2">
        <f t="shared" si="46"/>
        <v>10832891.620000003</v>
      </c>
      <c r="E449" s="19">
        <f t="shared" si="51"/>
        <v>6093984.0800000001</v>
      </c>
      <c r="F449" s="2">
        <f t="shared" si="48"/>
        <v>365639044.80000007</v>
      </c>
      <c r="G449" s="2">
        <f t="shared" si="49"/>
        <v>354806153.18000007</v>
      </c>
      <c r="H449" s="14"/>
      <c r="I449" s="16"/>
    </row>
    <row r="450" spans="1:9" x14ac:dyDescent="0.25">
      <c r="A450" s="36">
        <v>48400</v>
      </c>
      <c r="B450" s="60">
        <f t="shared" si="47"/>
        <v>30</v>
      </c>
      <c r="C450" s="4">
        <f t="shared" si="50"/>
        <v>16926875.700000003</v>
      </c>
      <c r="D450" s="2">
        <f t="shared" si="46"/>
        <v>11013439.810000002</v>
      </c>
      <c r="E450" s="19">
        <f t="shared" si="51"/>
        <v>5913435.8899999997</v>
      </c>
      <c r="F450" s="2">
        <f t="shared" si="48"/>
        <v>354806153.18000007</v>
      </c>
      <c r="G450" s="2">
        <f t="shared" si="49"/>
        <v>343792713.37000006</v>
      </c>
      <c r="H450" s="14"/>
      <c r="I450" s="16"/>
    </row>
    <row r="451" spans="1:9" x14ac:dyDescent="0.25">
      <c r="A451" s="36">
        <v>48431</v>
      </c>
      <c r="B451" s="60">
        <f t="shared" si="47"/>
        <v>30</v>
      </c>
      <c r="C451" s="4">
        <f t="shared" si="50"/>
        <v>16926875.700000003</v>
      </c>
      <c r="D451" s="2">
        <f t="shared" si="46"/>
        <v>11196997.140000004</v>
      </c>
      <c r="E451" s="19">
        <f t="shared" si="51"/>
        <v>5729878.5599999996</v>
      </c>
      <c r="F451" s="2">
        <f t="shared" si="48"/>
        <v>343792713.37000006</v>
      </c>
      <c r="G451" s="2">
        <f t="shared" si="49"/>
        <v>332595716.23000008</v>
      </c>
      <c r="H451" s="14"/>
      <c r="I451" s="16"/>
    </row>
    <row r="452" spans="1:9" x14ac:dyDescent="0.25">
      <c r="A452" s="36">
        <v>48462</v>
      </c>
      <c r="B452" s="60">
        <f t="shared" si="47"/>
        <v>30</v>
      </c>
      <c r="C452" s="4">
        <f t="shared" si="50"/>
        <v>16926875.700000003</v>
      </c>
      <c r="D452" s="2">
        <f t="shared" si="46"/>
        <v>11383613.760000002</v>
      </c>
      <c r="E452" s="19">
        <f t="shared" si="51"/>
        <v>5543261.9400000004</v>
      </c>
      <c r="F452" s="2">
        <f t="shared" si="48"/>
        <v>332595716.23000008</v>
      </c>
      <c r="G452" s="2">
        <f t="shared" si="49"/>
        <v>321212102.47000009</v>
      </c>
      <c r="H452" s="14"/>
      <c r="I452" s="16"/>
    </row>
    <row r="453" spans="1:9" x14ac:dyDescent="0.25">
      <c r="A453" s="36">
        <v>48492</v>
      </c>
      <c r="B453" s="60">
        <f t="shared" si="47"/>
        <v>30</v>
      </c>
      <c r="C453" s="4">
        <f t="shared" si="50"/>
        <v>16926875.700000003</v>
      </c>
      <c r="D453" s="2">
        <f t="shared" ref="D453:D475" si="52">C453-E453</f>
        <v>11573340.660000004</v>
      </c>
      <c r="E453" s="19">
        <f t="shared" si="51"/>
        <v>5353535.04</v>
      </c>
      <c r="F453" s="2">
        <f t="shared" si="48"/>
        <v>321212102.47000009</v>
      </c>
      <c r="G453" s="2">
        <f t="shared" si="49"/>
        <v>309638761.81000006</v>
      </c>
      <c r="H453" s="14"/>
      <c r="I453" s="16"/>
    </row>
    <row r="454" spans="1:9" x14ac:dyDescent="0.25">
      <c r="A454" s="36">
        <v>48523</v>
      </c>
      <c r="B454" s="60">
        <f t="shared" ref="B454:B475" si="53">DAYS360(A453,A454,TRUE)</f>
        <v>30</v>
      </c>
      <c r="C454" s="4">
        <f t="shared" si="50"/>
        <v>16926875.700000003</v>
      </c>
      <c r="D454" s="2">
        <f t="shared" si="52"/>
        <v>11766229.670000002</v>
      </c>
      <c r="E454" s="19">
        <f t="shared" si="51"/>
        <v>5160646.03</v>
      </c>
      <c r="F454" s="2">
        <f t="shared" si="48"/>
        <v>309638761.81000006</v>
      </c>
      <c r="G454" s="2">
        <f t="shared" si="49"/>
        <v>297872532.14000005</v>
      </c>
      <c r="H454" s="14"/>
      <c r="I454" s="16"/>
    </row>
    <row r="455" spans="1:9" x14ac:dyDescent="0.25">
      <c r="A455" s="36">
        <v>48553</v>
      </c>
      <c r="B455" s="60">
        <f t="shared" si="53"/>
        <v>30</v>
      </c>
      <c r="C455" s="4">
        <f t="shared" si="50"/>
        <v>16926875.700000003</v>
      </c>
      <c r="D455" s="2">
        <f t="shared" si="52"/>
        <v>11962333.500000004</v>
      </c>
      <c r="E455" s="19">
        <f t="shared" si="51"/>
        <v>4964542.2</v>
      </c>
      <c r="F455" s="2">
        <f t="shared" ref="F455:F475" si="54">G454</f>
        <v>297872532.14000005</v>
      </c>
      <c r="G455" s="2">
        <f t="shared" ref="G455:G475" si="55">F455-D455</f>
        <v>285910198.64000005</v>
      </c>
      <c r="H455" s="14"/>
      <c r="I455" s="16"/>
    </row>
    <row r="456" spans="1:9" x14ac:dyDescent="0.25">
      <c r="A456" s="36">
        <v>48584</v>
      </c>
      <c r="B456" s="60">
        <f t="shared" si="53"/>
        <v>30</v>
      </c>
      <c r="C456" s="4">
        <f t="shared" si="50"/>
        <v>16926875.700000003</v>
      </c>
      <c r="D456" s="2">
        <f t="shared" si="52"/>
        <v>12161705.720000003</v>
      </c>
      <c r="E456" s="19">
        <f t="shared" si="51"/>
        <v>4765169.9800000004</v>
      </c>
      <c r="F456" s="2">
        <f t="shared" si="54"/>
        <v>285910198.64000005</v>
      </c>
      <c r="G456" s="2">
        <f t="shared" si="55"/>
        <v>273748492.92000002</v>
      </c>
      <c r="H456" s="14"/>
      <c r="I456" s="16"/>
    </row>
    <row r="457" spans="1:9" x14ac:dyDescent="0.25">
      <c r="A457" s="36">
        <v>48615</v>
      </c>
      <c r="B457" s="60">
        <f t="shared" si="53"/>
        <v>30</v>
      </c>
      <c r="C457" s="4">
        <f t="shared" si="50"/>
        <v>16926875.700000003</v>
      </c>
      <c r="D457" s="2">
        <f t="shared" si="52"/>
        <v>12364400.820000004</v>
      </c>
      <c r="E457" s="19">
        <f t="shared" si="51"/>
        <v>4562474.88</v>
      </c>
      <c r="F457" s="2">
        <f t="shared" si="54"/>
        <v>273748492.92000002</v>
      </c>
      <c r="G457" s="2">
        <f t="shared" si="55"/>
        <v>261384092.10000002</v>
      </c>
      <c r="H457" s="14"/>
      <c r="I457" s="16"/>
    </row>
    <row r="458" spans="1:9" x14ac:dyDescent="0.25">
      <c r="A458" s="36">
        <v>48643</v>
      </c>
      <c r="B458" s="60">
        <f t="shared" si="53"/>
        <v>30</v>
      </c>
      <c r="C458" s="4">
        <f t="shared" si="50"/>
        <v>16926875.700000003</v>
      </c>
      <c r="D458" s="2">
        <f t="shared" si="52"/>
        <v>12570474.160000004</v>
      </c>
      <c r="E458" s="19">
        <f t="shared" si="51"/>
        <v>4356401.54</v>
      </c>
      <c r="F458" s="2">
        <f t="shared" si="54"/>
        <v>261384092.10000002</v>
      </c>
      <c r="G458" s="2">
        <f t="shared" si="55"/>
        <v>248813617.94000003</v>
      </c>
      <c r="H458" s="14"/>
      <c r="I458" s="16"/>
    </row>
    <row r="459" spans="1:9" x14ac:dyDescent="0.25">
      <c r="A459" s="36">
        <v>48674</v>
      </c>
      <c r="B459" s="60">
        <f t="shared" si="53"/>
        <v>30</v>
      </c>
      <c r="C459" s="4">
        <f t="shared" si="50"/>
        <v>16926875.700000003</v>
      </c>
      <c r="D459" s="2">
        <f t="shared" si="52"/>
        <v>12779982.070000004</v>
      </c>
      <c r="E459" s="19">
        <f t="shared" si="51"/>
        <v>4146893.63</v>
      </c>
      <c r="F459" s="2">
        <f t="shared" si="54"/>
        <v>248813617.94000003</v>
      </c>
      <c r="G459" s="2">
        <f t="shared" si="55"/>
        <v>236033635.87000003</v>
      </c>
      <c r="H459" s="14"/>
      <c r="I459" s="16"/>
    </row>
    <row r="460" spans="1:9" x14ac:dyDescent="0.25">
      <c r="A460" s="36">
        <v>48704</v>
      </c>
      <c r="B460" s="60">
        <f t="shared" si="53"/>
        <v>30</v>
      </c>
      <c r="C460" s="4">
        <f t="shared" si="50"/>
        <v>16926875.700000003</v>
      </c>
      <c r="D460" s="2">
        <f t="shared" si="52"/>
        <v>12992981.770000003</v>
      </c>
      <c r="E460" s="19">
        <f t="shared" si="51"/>
        <v>3933893.93</v>
      </c>
      <c r="F460" s="2">
        <f t="shared" si="54"/>
        <v>236033635.87000003</v>
      </c>
      <c r="G460" s="2">
        <f t="shared" si="55"/>
        <v>223040654.10000002</v>
      </c>
      <c r="H460" s="14"/>
      <c r="I460" s="16"/>
    </row>
    <row r="461" spans="1:9" x14ac:dyDescent="0.25">
      <c r="A461" s="36">
        <v>48735</v>
      </c>
      <c r="B461" s="60">
        <f t="shared" si="53"/>
        <v>30</v>
      </c>
      <c r="C461" s="4">
        <f t="shared" si="50"/>
        <v>16926875.700000003</v>
      </c>
      <c r="D461" s="2">
        <f t="shared" si="52"/>
        <v>13209531.460000003</v>
      </c>
      <c r="E461" s="19">
        <f t="shared" si="51"/>
        <v>3717344.24</v>
      </c>
      <c r="F461" s="2">
        <f t="shared" si="54"/>
        <v>223040654.10000002</v>
      </c>
      <c r="G461" s="2">
        <f t="shared" si="55"/>
        <v>209831122.64000002</v>
      </c>
      <c r="H461" s="14"/>
      <c r="I461" s="16"/>
    </row>
    <row r="462" spans="1:9" x14ac:dyDescent="0.25">
      <c r="A462" s="36">
        <v>48765</v>
      </c>
      <c r="B462" s="60">
        <f t="shared" si="53"/>
        <v>30</v>
      </c>
      <c r="C462" s="4">
        <f t="shared" si="50"/>
        <v>16926875.700000003</v>
      </c>
      <c r="D462" s="2">
        <f t="shared" si="52"/>
        <v>13429690.320000004</v>
      </c>
      <c r="E462" s="19">
        <f t="shared" si="51"/>
        <v>3497185.38</v>
      </c>
      <c r="F462" s="2">
        <f t="shared" si="54"/>
        <v>209831122.64000002</v>
      </c>
      <c r="G462" s="2">
        <f t="shared" si="55"/>
        <v>196401432.32000002</v>
      </c>
      <c r="H462" s="14"/>
      <c r="I462" s="16"/>
    </row>
    <row r="463" spans="1:9" x14ac:dyDescent="0.25">
      <c r="A463" s="36">
        <v>48796</v>
      </c>
      <c r="B463" s="60">
        <f t="shared" si="53"/>
        <v>30</v>
      </c>
      <c r="C463" s="4">
        <f t="shared" si="50"/>
        <v>16926875.700000003</v>
      </c>
      <c r="D463" s="2">
        <f t="shared" si="52"/>
        <v>13653518.490000002</v>
      </c>
      <c r="E463" s="19">
        <f t="shared" si="51"/>
        <v>3273357.21</v>
      </c>
      <c r="F463" s="2">
        <f t="shared" si="54"/>
        <v>196401432.32000002</v>
      </c>
      <c r="G463" s="2">
        <f t="shared" si="55"/>
        <v>182747913.83000001</v>
      </c>
      <c r="H463" s="14"/>
      <c r="I463" s="16"/>
    </row>
    <row r="464" spans="1:9" x14ac:dyDescent="0.25">
      <c r="A464" s="36">
        <v>48827</v>
      </c>
      <c r="B464" s="60">
        <f t="shared" si="53"/>
        <v>30</v>
      </c>
      <c r="C464" s="4">
        <f t="shared" si="50"/>
        <v>16926875.700000003</v>
      </c>
      <c r="D464" s="2">
        <f t="shared" si="52"/>
        <v>13881077.140000002</v>
      </c>
      <c r="E464" s="19">
        <f t="shared" si="51"/>
        <v>3045798.56</v>
      </c>
      <c r="F464" s="2">
        <f t="shared" si="54"/>
        <v>182747913.83000001</v>
      </c>
      <c r="G464" s="2">
        <f t="shared" si="55"/>
        <v>168866836.69</v>
      </c>
      <c r="H464" s="14"/>
      <c r="I464" s="16"/>
    </row>
    <row r="465" spans="1:9" x14ac:dyDescent="0.25">
      <c r="A465" s="36">
        <v>48857</v>
      </c>
      <c r="B465" s="60">
        <f t="shared" si="53"/>
        <v>30</v>
      </c>
      <c r="C465" s="4">
        <f t="shared" si="50"/>
        <v>16926875.700000003</v>
      </c>
      <c r="D465" s="2">
        <f t="shared" si="52"/>
        <v>14112428.420000004</v>
      </c>
      <c r="E465" s="19">
        <f t="shared" si="51"/>
        <v>2814447.28</v>
      </c>
      <c r="F465" s="2">
        <f t="shared" si="54"/>
        <v>168866836.69</v>
      </c>
      <c r="G465" s="2">
        <f t="shared" si="55"/>
        <v>154754408.26999998</v>
      </c>
      <c r="H465" s="14"/>
      <c r="I465" s="16"/>
    </row>
    <row r="466" spans="1:9" x14ac:dyDescent="0.25">
      <c r="A466" s="36">
        <v>48888</v>
      </c>
      <c r="B466" s="60">
        <f t="shared" si="53"/>
        <v>30</v>
      </c>
      <c r="C466" s="4">
        <f t="shared" si="50"/>
        <v>16926875.700000003</v>
      </c>
      <c r="D466" s="2">
        <f t="shared" si="52"/>
        <v>14347635.560000002</v>
      </c>
      <c r="E466" s="19">
        <f t="shared" si="51"/>
        <v>2579240.14</v>
      </c>
      <c r="F466" s="2">
        <f t="shared" si="54"/>
        <v>154754408.26999998</v>
      </c>
      <c r="G466" s="2">
        <f t="shared" si="55"/>
        <v>140406772.70999998</v>
      </c>
      <c r="H466" s="14"/>
      <c r="I466" s="16"/>
    </row>
    <row r="467" spans="1:9" x14ac:dyDescent="0.25">
      <c r="A467" s="36">
        <v>48918</v>
      </c>
      <c r="B467" s="60">
        <f t="shared" si="53"/>
        <v>30</v>
      </c>
      <c r="C467" s="4">
        <f t="shared" si="50"/>
        <v>16926875.700000003</v>
      </c>
      <c r="D467" s="2">
        <f t="shared" si="52"/>
        <v>14586762.820000004</v>
      </c>
      <c r="E467" s="19">
        <f t="shared" si="51"/>
        <v>2340112.88</v>
      </c>
      <c r="F467" s="2">
        <f t="shared" si="54"/>
        <v>140406772.70999998</v>
      </c>
      <c r="G467" s="2">
        <f t="shared" si="55"/>
        <v>125820009.88999997</v>
      </c>
      <c r="H467" s="14"/>
      <c r="I467" s="16"/>
    </row>
    <row r="468" spans="1:9" x14ac:dyDescent="0.25">
      <c r="A468" s="36">
        <v>48949</v>
      </c>
      <c r="B468" s="60">
        <f t="shared" si="53"/>
        <v>30</v>
      </c>
      <c r="C468" s="4">
        <f t="shared" si="50"/>
        <v>16926875.700000003</v>
      </c>
      <c r="D468" s="2">
        <f t="shared" si="52"/>
        <v>14829875.540000003</v>
      </c>
      <c r="E468" s="19">
        <f t="shared" si="51"/>
        <v>2097000.16</v>
      </c>
      <c r="F468" s="2">
        <f t="shared" si="54"/>
        <v>125820009.88999997</v>
      </c>
      <c r="G468" s="2">
        <f t="shared" si="55"/>
        <v>110990134.34999996</v>
      </c>
      <c r="H468" s="14"/>
      <c r="I468" s="16"/>
    </row>
    <row r="469" spans="1:9" x14ac:dyDescent="0.25">
      <c r="A469" s="36">
        <v>48980</v>
      </c>
      <c r="B469" s="60">
        <f t="shared" si="53"/>
        <v>30</v>
      </c>
      <c r="C469" s="4">
        <f t="shared" si="50"/>
        <v>16926875.700000003</v>
      </c>
      <c r="D469" s="2">
        <f t="shared" si="52"/>
        <v>15077040.130000003</v>
      </c>
      <c r="E469" s="19">
        <f t="shared" si="51"/>
        <v>1849835.57</v>
      </c>
      <c r="F469" s="2">
        <f t="shared" si="54"/>
        <v>110990134.34999996</v>
      </c>
      <c r="G469" s="2">
        <f t="shared" si="55"/>
        <v>95913094.219999969</v>
      </c>
      <c r="H469" s="14"/>
      <c r="I469" s="16"/>
    </row>
    <row r="470" spans="1:9" x14ac:dyDescent="0.25">
      <c r="A470" s="36">
        <v>49008</v>
      </c>
      <c r="B470" s="60">
        <f t="shared" si="53"/>
        <v>30</v>
      </c>
      <c r="C470" s="4">
        <f t="shared" si="50"/>
        <v>16926875.700000003</v>
      </c>
      <c r="D470" s="2">
        <f t="shared" si="52"/>
        <v>15328324.130000003</v>
      </c>
      <c r="E470" s="19">
        <f t="shared" si="51"/>
        <v>1598551.57</v>
      </c>
      <c r="F470" s="2">
        <f t="shared" si="54"/>
        <v>95913094.219999969</v>
      </c>
      <c r="G470" s="2">
        <f t="shared" si="55"/>
        <v>80584770.089999974</v>
      </c>
      <c r="H470" s="14"/>
      <c r="I470" s="16"/>
    </row>
    <row r="471" spans="1:9" x14ac:dyDescent="0.25">
      <c r="A471" s="36">
        <v>49039</v>
      </c>
      <c r="B471" s="60">
        <f t="shared" si="53"/>
        <v>30</v>
      </c>
      <c r="C471" s="4">
        <f t="shared" si="50"/>
        <v>16926875.700000003</v>
      </c>
      <c r="D471" s="2">
        <f t="shared" si="52"/>
        <v>15583796.200000003</v>
      </c>
      <c r="E471" s="19">
        <f t="shared" si="51"/>
        <v>1343079.5</v>
      </c>
      <c r="F471" s="2">
        <f t="shared" si="54"/>
        <v>80584770.089999974</v>
      </c>
      <c r="G471" s="2">
        <f t="shared" si="55"/>
        <v>65000973.889999971</v>
      </c>
      <c r="H471" s="14"/>
      <c r="I471" s="16"/>
    </row>
    <row r="472" spans="1:9" x14ac:dyDescent="0.25">
      <c r="A472" s="36">
        <v>49069</v>
      </c>
      <c r="B472" s="60">
        <f t="shared" si="53"/>
        <v>30</v>
      </c>
      <c r="C472" s="4">
        <f t="shared" si="50"/>
        <v>16926875.700000003</v>
      </c>
      <c r="D472" s="2">
        <f t="shared" si="52"/>
        <v>15843526.140000002</v>
      </c>
      <c r="E472" s="19">
        <f t="shared" si="51"/>
        <v>1083349.56</v>
      </c>
      <c r="F472" s="2">
        <f t="shared" si="54"/>
        <v>65000973.889999971</v>
      </c>
      <c r="G472" s="2">
        <f t="shared" si="55"/>
        <v>49157447.74999997</v>
      </c>
      <c r="H472" s="14"/>
      <c r="I472" s="16"/>
    </row>
    <row r="473" spans="1:9" x14ac:dyDescent="0.25">
      <c r="A473" s="36">
        <v>49100</v>
      </c>
      <c r="B473" s="60">
        <f t="shared" si="53"/>
        <v>30</v>
      </c>
      <c r="C473" s="4">
        <f t="shared" si="50"/>
        <v>16926875.700000003</v>
      </c>
      <c r="D473" s="2">
        <f t="shared" si="52"/>
        <v>16107584.900000002</v>
      </c>
      <c r="E473" s="19">
        <f t="shared" si="51"/>
        <v>819290.8</v>
      </c>
      <c r="F473" s="2">
        <f t="shared" si="54"/>
        <v>49157447.74999997</v>
      </c>
      <c r="G473" s="2">
        <f t="shared" si="55"/>
        <v>33049862.849999968</v>
      </c>
      <c r="H473" s="14"/>
      <c r="I473" s="16"/>
    </row>
    <row r="474" spans="1:9" x14ac:dyDescent="0.25">
      <c r="A474" s="36">
        <v>49130</v>
      </c>
      <c r="B474" s="60">
        <f t="shared" si="53"/>
        <v>30</v>
      </c>
      <c r="C474" s="4">
        <f t="shared" si="50"/>
        <v>16926875.700000003</v>
      </c>
      <c r="D474" s="2">
        <f t="shared" si="52"/>
        <v>16376044.650000002</v>
      </c>
      <c r="E474" s="19">
        <f t="shared" si="51"/>
        <v>550831.05000000005</v>
      </c>
      <c r="F474" s="2">
        <f t="shared" si="54"/>
        <v>33049862.849999968</v>
      </c>
      <c r="G474" s="2">
        <f t="shared" si="55"/>
        <v>16673818.199999966</v>
      </c>
      <c r="H474" s="14"/>
      <c r="I474" s="16"/>
    </row>
    <row r="475" spans="1:9" x14ac:dyDescent="0.25">
      <c r="A475" s="36">
        <v>49161</v>
      </c>
      <c r="B475" s="60">
        <f t="shared" si="53"/>
        <v>30</v>
      </c>
      <c r="C475" s="4">
        <f t="shared" si="50"/>
        <v>16926875.700000003</v>
      </c>
      <c r="D475" s="2">
        <f t="shared" si="52"/>
        <v>16674982.629999034</v>
      </c>
      <c r="E475" s="19">
        <v>251893.07000096806</v>
      </c>
      <c r="F475" s="2">
        <f t="shared" si="54"/>
        <v>16673818.199999966</v>
      </c>
      <c r="G475" s="2">
        <f t="shared" si="55"/>
        <v>-1164.4299990683794</v>
      </c>
      <c r="H475" s="14"/>
      <c r="I475" s="16"/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319395-8D57-406A-BE0F-C28A1ECF6708}">
  <dimension ref="A1:J9"/>
  <sheetViews>
    <sheetView zoomScale="85" zoomScaleNormal="90" workbookViewId="0">
      <pane ySplit="3" topLeftCell="A4" activePane="bottomLeft" state="frozen"/>
      <selection activeCell="R3" sqref="R3"/>
      <selection pane="bottomLeft" activeCell="H26" sqref="H26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4.71093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ROUNDUP(3417.704133627,0)</f>
        <v>3418</v>
      </c>
      <c r="E1" s="25" t="s">
        <v>51</v>
      </c>
      <c r="F1" s="24">
        <v>3432</v>
      </c>
      <c r="G1" s="28" t="s">
        <v>52</v>
      </c>
      <c r="H1" s="26">
        <v>41917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41856</v>
      </c>
      <c r="B4" s="46">
        <f>A4-B1</f>
        <v>3</v>
      </c>
      <c r="C4" s="47"/>
      <c r="D4" s="48">
        <v>0</v>
      </c>
      <c r="E4" s="68">
        <f>ROUNDUP(F4*$B$2*B4/365,0)</f>
        <v>13</v>
      </c>
      <c r="F4" s="47">
        <v>10000</v>
      </c>
      <c r="G4" s="47">
        <f t="shared" ref="G4" si="0">F4-D4</f>
        <v>10000</v>
      </c>
    </row>
    <row r="5" spans="1:10" x14ac:dyDescent="0.25">
      <c r="A5" s="36">
        <v>41887</v>
      </c>
      <c r="B5" s="46">
        <f>A5-A4</f>
        <v>31</v>
      </c>
      <c r="C5" s="47">
        <f>$D$1</f>
        <v>3418</v>
      </c>
      <c r="D5" s="48">
        <f t="shared" ref="D5" si="1">C5-E5</f>
        <v>3290.6</v>
      </c>
      <c r="E5" s="68">
        <f>ROUND(F5*$B$2*B5/365,2)</f>
        <v>127.4</v>
      </c>
      <c r="F5" s="47">
        <f>G4</f>
        <v>10000</v>
      </c>
      <c r="G5" s="47">
        <f>F5-D5</f>
        <v>6709.4</v>
      </c>
    </row>
    <row r="6" spans="1:10" x14ac:dyDescent="0.25">
      <c r="A6" s="36">
        <v>41917</v>
      </c>
      <c r="B6" s="46">
        <f t="shared" ref="B6:B7" si="2">A6-A5</f>
        <v>30</v>
      </c>
      <c r="C6" s="47">
        <f t="shared" ref="C6:C8" si="3">$D$1</f>
        <v>3418</v>
      </c>
      <c r="D6" s="48">
        <f t="shared" ref="D6:D7" si="4">C6-E6</f>
        <v>3335.28</v>
      </c>
      <c r="E6" s="68">
        <f t="shared" ref="E6" si="5">ROUND(F6*$B$2*B6/365,2)</f>
        <v>82.72</v>
      </c>
      <c r="F6" s="47">
        <f t="shared" ref="F6:F9" si="6">G5</f>
        <v>6709.4</v>
      </c>
      <c r="G6" s="47">
        <f t="shared" ref="G6:G7" si="7">F6-D6</f>
        <v>3374.1199999999994</v>
      </c>
    </row>
    <row r="7" spans="1:10" x14ac:dyDescent="0.25">
      <c r="A7" s="36">
        <v>41948</v>
      </c>
      <c r="B7" s="46">
        <f t="shared" si="2"/>
        <v>31</v>
      </c>
      <c r="C7" s="47">
        <f t="shared" si="3"/>
        <v>3418</v>
      </c>
      <c r="D7" s="48">
        <f t="shared" si="4"/>
        <v>3374.1199999999994</v>
      </c>
      <c r="E7" s="68">
        <v>43.880000000000784</v>
      </c>
      <c r="F7" s="47">
        <f t="shared" si="6"/>
        <v>3374.1199999999994</v>
      </c>
      <c r="G7" s="47">
        <f t="shared" si="7"/>
        <v>0</v>
      </c>
    </row>
    <row r="8" spans="1:10" x14ac:dyDescent="0.25">
      <c r="A8" s="36">
        <v>41917</v>
      </c>
      <c r="B8" s="46">
        <f>A8-A5</f>
        <v>30</v>
      </c>
      <c r="C8" s="47">
        <f t="shared" si="3"/>
        <v>3418</v>
      </c>
      <c r="D8" s="48">
        <f t="shared" ref="D8:D9" si="8">C8-E8</f>
        <v>3335.28</v>
      </c>
      <c r="E8" s="68">
        <f>ROUND(F8*$B$2*B8/365,2)</f>
        <v>82.72</v>
      </c>
      <c r="F8" s="47">
        <f>G5</f>
        <v>6709.4</v>
      </c>
      <c r="G8" s="47">
        <f t="shared" ref="G8:G9" si="9">F8-D8</f>
        <v>3374.1199999999994</v>
      </c>
    </row>
    <row r="9" spans="1:10" x14ac:dyDescent="0.25">
      <c r="A9" s="36">
        <v>41948</v>
      </c>
      <c r="B9" s="46">
        <f t="shared" ref="B9" si="10">A9-A8</f>
        <v>31</v>
      </c>
      <c r="C9" s="47">
        <f t="shared" ref="C9" si="11">$F$1</f>
        <v>3432</v>
      </c>
      <c r="D9" s="48">
        <f t="shared" si="8"/>
        <v>3374.1199999999994</v>
      </c>
      <c r="E9" s="68">
        <v>57.880000000000649</v>
      </c>
      <c r="F9" s="47">
        <f t="shared" si="6"/>
        <v>3374.1199999999994</v>
      </c>
      <c r="G9" s="47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83E99E-B23A-4FBA-AC89-387C7941A502}">
  <dimension ref="A1:J9"/>
  <sheetViews>
    <sheetView zoomScale="85" zoomScaleNormal="90" workbookViewId="0">
      <pane ySplit="3" topLeftCell="A4" activePane="bottomLeft" state="frozen"/>
      <selection activeCell="R3" sqref="R3"/>
      <selection pane="bottomLeft" activeCell="F9" sqref="F9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4.71093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ROUNDUP(3417.88331166212,0)</f>
        <v>3418</v>
      </c>
      <c r="E1" s="25" t="s">
        <v>51</v>
      </c>
      <c r="F1" s="24">
        <f>ROUNDUP(3429.18,0)</f>
        <v>3430</v>
      </c>
      <c r="G1" s="28" t="s">
        <v>52</v>
      </c>
      <c r="H1" s="26">
        <v>41917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41856</v>
      </c>
      <c r="B4" s="46">
        <f>A4-B1</f>
        <v>3</v>
      </c>
      <c r="C4" s="47"/>
      <c r="D4" s="48">
        <v>0</v>
      </c>
      <c r="E4" s="68">
        <f>ROUNDUP(F4*$B$2*B4/360,0)</f>
        <v>13</v>
      </c>
      <c r="F4" s="47">
        <v>10000</v>
      </c>
      <c r="G4" s="47">
        <f t="shared" ref="G4" si="0">F4-D4</f>
        <v>10000</v>
      </c>
    </row>
    <row r="5" spans="1:10" x14ac:dyDescent="0.25">
      <c r="A5" s="36">
        <v>41887</v>
      </c>
      <c r="B5" s="46">
        <f>DAYS360(A4,A5,TRUE)</f>
        <v>30</v>
      </c>
      <c r="C5" s="47">
        <f>$D$1</f>
        <v>3418</v>
      </c>
      <c r="D5" s="48">
        <f t="shared" ref="D5:D9" si="1">C5-E5</f>
        <v>3293</v>
      </c>
      <c r="E5" s="68">
        <f>ROUND(F5*$B$2*B5/360,2)</f>
        <v>125</v>
      </c>
      <c r="F5" s="47">
        <f>G4</f>
        <v>10000</v>
      </c>
      <c r="G5" s="47">
        <f>F5-D5</f>
        <v>6707</v>
      </c>
    </row>
    <row r="6" spans="1:10" x14ac:dyDescent="0.25">
      <c r="A6" s="36">
        <v>41917</v>
      </c>
      <c r="B6" s="46">
        <f t="shared" ref="B6:B9" si="2">DAYS360(A5,A6,TRUE)</f>
        <v>30</v>
      </c>
      <c r="C6" s="47">
        <f t="shared" ref="C6:C8" si="3">$D$1</f>
        <v>3418</v>
      </c>
      <c r="D6" s="48">
        <f t="shared" si="1"/>
        <v>3334.16</v>
      </c>
      <c r="E6" s="68">
        <f>ROUND(F6*$B$2*B6/360,2)</f>
        <v>83.84</v>
      </c>
      <c r="F6" s="47">
        <f t="shared" ref="F6:F9" si="4">G5</f>
        <v>6707</v>
      </c>
      <c r="G6" s="47">
        <f t="shared" ref="G6:G9" si="5">F6-D6</f>
        <v>3372.84</v>
      </c>
    </row>
    <row r="7" spans="1:10" x14ac:dyDescent="0.25">
      <c r="A7" s="36">
        <v>41948</v>
      </c>
      <c r="B7" s="46">
        <f t="shared" si="2"/>
        <v>30</v>
      </c>
      <c r="C7" s="47">
        <f t="shared" si="3"/>
        <v>3418</v>
      </c>
      <c r="D7" s="48">
        <f t="shared" si="1"/>
        <v>3372.84</v>
      </c>
      <c r="E7" s="68">
        <v>45.16</v>
      </c>
      <c r="F7" s="47">
        <f t="shared" si="4"/>
        <v>3372.84</v>
      </c>
      <c r="G7" s="47">
        <f t="shared" si="5"/>
        <v>0</v>
      </c>
    </row>
    <row r="8" spans="1:10" x14ac:dyDescent="0.25">
      <c r="A8" s="36">
        <v>41917</v>
      </c>
      <c r="B8" s="46">
        <f>DAYS360(A5,A6,TRUE)</f>
        <v>30</v>
      </c>
      <c r="C8" s="47">
        <f t="shared" si="3"/>
        <v>3418</v>
      </c>
      <c r="D8" s="48">
        <f t="shared" si="1"/>
        <v>3334.16</v>
      </c>
      <c r="E8" s="68">
        <f>ROUND(F8*$B$2*B8/360,2)</f>
        <v>83.84</v>
      </c>
      <c r="F8" s="47">
        <f>G5</f>
        <v>6707</v>
      </c>
      <c r="G8" s="47">
        <f t="shared" si="5"/>
        <v>3372.84</v>
      </c>
    </row>
    <row r="9" spans="1:10" x14ac:dyDescent="0.25">
      <c r="A9" s="36">
        <v>41948</v>
      </c>
      <c r="B9" s="46">
        <f t="shared" si="2"/>
        <v>30</v>
      </c>
      <c r="C9" s="47">
        <f t="shared" ref="C9" si="6">$F$1</f>
        <v>3430</v>
      </c>
      <c r="D9" s="48">
        <f t="shared" si="1"/>
        <v>3372.84</v>
      </c>
      <c r="E9" s="68">
        <v>57.16</v>
      </c>
      <c r="F9" s="47">
        <f t="shared" si="4"/>
        <v>3372.84</v>
      </c>
      <c r="G9" s="47">
        <f t="shared" si="5"/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6B0DF-68E5-4D1F-92F1-042D91EAC098}">
  <dimension ref="A1:R5"/>
  <sheetViews>
    <sheetView topLeftCell="C1"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61.71093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78</v>
      </c>
      <c r="P2" s="20" t="s">
        <v>21</v>
      </c>
      <c r="Q2" s="20" t="s">
        <v>89</v>
      </c>
      <c r="R2" s="50" t="s">
        <v>91</v>
      </c>
    </row>
    <row r="3" spans="1:18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78</v>
      </c>
      <c r="P3" s="20" t="s">
        <v>21</v>
      </c>
      <c r="Q3" s="20" t="s">
        <v>89</v>
      </c>
      <c r="R3" s="50" t="s">
        <v>92</v>
      </c>
    </row>
    <row r="4" spans="1:18" x14ac:dyDescent="0.25">
      <c r="A4" s="12" t="s">
        <v>0</v>
      </c>
      <c r="B4" s="7" t="s">
        <v>9</v>
      </c>
      <c r="C4" s="7" t="s">
        <v>76</v>
      </c>
      <c r="D4" s="8" t="s">
        <v>77</v>
      </c>
      <c r="E4" s="8" t="s">
        <v>23</v>
      </c>
      <c r="F4" s="8" t="s">
        <v>41</v>
      </c>
      <c r="G4" s="9" t="s">
        <v>24</v>
      </c>
      <c r="H4" s="9" t="s">
        <v>13</v>
      </c>
      <c r="I4" s="9" t="s">
        <v>29</v>
      </c>
      <c r="J4" s="9" t="s">
        <v>42</v>
      </c>
      <c r="K4" s="9" t="s">
        <v>25</v>
      </c>
      <c r="L4" s="9" t="s">
        <v>26</v>
      </c>
      <c r="M4" s="9" t="s">
        <v>27</v>
      </c>
      <c r="N4" s="20" t="s">
        <v>29</v>
      </c>
      <c r="O4" s="20" t="s">
        <v>78</v>
      </c>
      <c r="P4" s="20" t="s">
        <v>21</v>
      </c>
      <c r="Q4" s="20" t="s">
        <v>90</v>
      </c>
      <c r="R4" s="50" t="s">
        <v>93</v>
      </c>
    </row>
    <row r="5" spans="1:18" x14ac:dyDescent="0.25">
      <c r="A5" s="12" t="s">
        <v>0</v>
      </c>
      <c r="B5" s="7" t="s">
        <v>9</v>
      </c>
      <c r="C5" s="7" t="s">
        <v>76</v>
      </c>
      <c r="D5" s="8" t="s">
        <v>77</v>
      </c>
      <c r="E5" s="8" t="s">
        <v>23</v>
      </c>
      <c r="F5" s="8" t="s">
        <v>41</v>
      </c>
      <c r="G5" s="9" t="s">
        <v>24</v>
      </c>
      <c r="H5" s="9" t="s">
        <v>13</v>
      </c>
      <c r="I5" s="9" t="s">
        <v>29</v>
      </c>
      <c r="J5" s="9" t="s">
        <v>42</v>
      </c>
      <c r="K5" s="9" t="s">
        <v>31</v>
      </c>
      <c r="L5" s="9" t="s">
        <v>26</v>
      </c>
      <c r="M5" s="9" t="s">
        <v>27</v>
      </c>
      <c r="N5" s="20" t="s">
        <v>29</v>
      </c>
      <c r="O5" s="20" t="s">
        <v>78</v>
      </c>
      <c r="P5" s="20" t="s">
        <v>21</v>
      </c>
      <c r="Q5" s="20" t="s">
        <v>90</v>
      </c>
      <c r="R5" s="50" t="s">
        <v>94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1A4603-C604-41DB-9AD6-5362435943A0}">
  <dimension ref="A1:J59"/>
  <sheetViews>
    <sheetView zoomScale="85" zoomScaleNormal="90" workbookViewId="0">
      <pane ySplit="3" topLeftCell="A4" activePane="bottomLeft" state="frozen"/>
      <selection activeCell="R2" sqref="R2:R5"/>
      <selection pane="bottomLeft" activeCell="R2" sqref="R2:R5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37">
        <f>ROUNDUP(62188.5778592923,0)</f>
        <v>62189</v>
      </c>
      <c r="G1" s="28" t="s">
        <v>52</v>
      </c>
      <c r="H1" s="26">
        <v>41917</v>
      </c>
      <c r="I1" s="28" t="s">
        <v>53</v>
      </c>
      <c r="J1" s="52">
        <v>1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ref="D5:D39" si="2">C5-E5</f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59" si="3">A6-A5</f>
        <v>31</v>
      </c>
      <c r="C6" s="47">
        <f t="shared" ref="C6:C40" si="4">$D$1</f>
        <v>34674</v>
      </c>
      <c r="D6" s="48">
        <f t="shared" si="2"/>
        <v>22501.83</v>
      </c>
      <c r="E6" s="68">
        <f t="shared" ref="E6:E38" si="5">ROUND(F6*$B$2*B6/365,2)</f>
        <v>12172.17</v>
      </c>
      <c r="F6" s="47">
        <f t="shared" ref="F6:F59" si="6">G5</f>
        <v>955450.07</v>
      </c>
      <c r="G6" s="47">
        <f t="shared" ref="G6:G9" si="7">F6-D6</f>
        <v>932948.24</v>
      </c>
    </row>
    <row r="7" spans="1:10" x14ac:dyDescent="0.25">
      <c r="A7" s="36">
        <v>41978</v>
      </c>
      <c r="B7" s="46">
        <f t="shared" si="3"/>
        <v>30</v>
      </c>
      <c r="C7" s="47">
        <f t="shared" si="4"/>
        <v>34674</v>
      </c>
      <c r="D7" s="48">
        <f t="shared" si="2"/>
        <v>23171.9</v>
      </c>
      <c r="E7" s="68">
        <f t="shared" si="5"/>
        <v>11502.1</v>
      </c>
      <c r="F7" s="47">
        <f t="shared" si="6"/>
        <v>932948.24</v>
      </c>
      <c r="G7" s="47">
        <f t="shared" si="7"/>
        <v>909776.34</v>
      </c>
    </row>
    <row r="8" spans="1:10" x14ac:dyDescent="0.25">
      <c r="A8" s="36">
        <v>42009</v>
      </c>
      <c r="B8" s="46">
        <f t="shared" si="3"/>
        <v>31</v>
      </c>
      <c r="C8" s="47">
        <f t="shared" si="4"/>
        <v>34674</v>
      </c>
      <c r="D8" s="48">
        <f t="shared" si="2"/>
        <v>23083.7</v>
      </c>
      <c r="E8" s="68">
        <f t="shared" si="5"/>
        <v>11590.3</v>
      </c>
      <c r="F8" s="47">
        <f t="shared" si="6"/>
        <v>909776.34</v>
      </c>
      <c r="G8" s="47">
        <f t="shared" si="7"/>
        <v>886692.64</v>
      </c>
    </row>
    <row r="9" spans="1:10" x14ac:dyDescent="0.25">
      <c r="A9" s="36">
        <v>42040</v>
      </c>
      <c r="B9" s="46">
        <f t="shared" si="3"/>
        <v>31</v>
      </c>
      <c r="C9" s="47">
        <f t="shared" si="4"/>
        <v>34674</v>
      </c>
      <c r="D9" s="48">
        <f t="shared" si="2"/>
        <v>23377.78</v>
      </c>
      <c r="E9" s="68">
        <f t="shared" si="5"/>
        <v>11296.22</v>
      </c>
      <c r="F9" s="47">
        <f t="shared" si="6"/>
        <v>886692.64</v>
      </c>
      <c r="G9" s="47">
        <f t="shared" si="7"/>
        <v>863314.86</v>
      </c>
    </row>
    <row r="10" spans="1:10" x14ac:dyDescent="0.25">
      <c r="A10" s="36">
        <v>42068</v>
      </c>
      <c r="B10" s="46">
        <f t="shared" si="3"/>
        <v>28</v>
      </c>
      <c r="C10" s="47">
        <f t="shared" si="4"/>
        <v>34674</v>
      </c>
      <c r="D10" s="48">
        <f t="shared" si="2"/>
        <v>24739.97</v>
      </c>
      <c r="E10" s="68">
        <f t="shared" si="5"/>
        <v>9934.0300000000007</v>
      </c>
      <c r="F10" s="47">
        <f t="shared" si="6"/>
        <v>863314.86</v>
      </c>
      <c r="G10" s="47">
        <f t="shared" ref="G10:G39" si="8">F10-D10</f>
        <v>838574.89</v>
      </c>
    </row>
    <row r="11" spans="1:10" x14ac:dyDescent="0.25">
      <c r="A11" s="36">
        <v>42099</v>
      </c>
      <c r="B11" s="46">
        <f t="shared" si="3"/>
        <v>31</v>
      </c>
      <c r="C11" s="47">
        <f t="shared" si="4"/>
        <v>34674</v>
      </c>
      <c r="D11" s="48">
        <f t="shared" si="2"/>
        <v>23990.79</v>
      </c>
      <c r="E11" s="68">
        <f t="shared" si="5"/>
        <v>10683.21</v>
      </c>
      <c r="F11" s="47">
        <f t="shared" si="6"/>
        <v>838574.89</v>
      </c>
      <c r="G11" s="47">
        <f t="shared" si="8"/>
        <v>814584.1</v>
      </c>
    </row>
    <row r="12" spans="1:10" x14ac:dyDescent="0.25">
      <c r="A12" s="36">
        <v>42129</v>
      </c>
      <c r="B12" s="46">
        <f t="shared" si="3"/>
        <v>30</v>
      </c>
      <c r="C12" s="47">
        <f t="shared" si="4"/>
        <v>34674</v>
      </c>
      <c r="D12" s="48">
        <f t="shared" si="2"/>
        <v>24631.18</v>
      </c>
      <c r="E12" s="68">
        <f t="shared" si="5"/>
        <v>10042.82</v>
      </c>
      <c r="F12" s="47">
        <f t="shared" si="6"/>
        <v>814584.1</v>
      </c>
      <c r="G12" s="47">
        <f t="shared" si="8"/>
        <v>789952.91999999993</v>
      </c>
    </row>
    <row r="13" spans="1:10" x14ac:dyDescent="0.25">
      <c r="A13" s="36">
        <v>42160</v>
      </c>
      <c r="B13" s="46">
        <f t="shared" si="3"/>
        <v>31</v>
      </c>
      <c r="C13" s="47">
        <f t="shared" si="4"/>
        <v>34674</v>
      </c>
      <c r="D13" s="48">
        <f t="shared" si="2"/>
        <v>24610.22</v>
      </c>
      <c r="E13" s="68">
        <f t="shared" si="5"/>
        <v>10063.780000000001</v>
      </c>
      <c r="F13" s="47">
        <f t="shared" si="6"/>
        <v>789952.91999999993</v>
      </c>
      <c r="G13" s="47">
        <f t="shared" si="8"/>
        <v>765342.7</v>
      </c>
    </row>
    <row r="14" spans="1:10" x14ac:dyDescent="0.25">
      <c r="A14" s="36">
        <v>42190</v>
      </c>
      <c r="B14" s="46">
        <f t="shared" si="3"/>
        <v>30</v>
      </c>
      <c r="C14" s="47">
        <f t="shared" si="4"/>
        <v>34674</v>
      </c>
      <c r="D14" s="48">
        <f t="shared" si="2"/>
        <v>25238.27</v>
      </c>
      <c r="E14" s="68">
        <f t="shared" si="5"/>
        <v>9435.73</v>
      </c>
      <c r="F14" s="47">
        <f t="shared" si="6"/>
        <v>765342.7</v>
      </c>
      <c r="G14" s="47">
        <f t="shared" si="8"/>
        <v>740104.42999999993</v>
      </c>
    </row>
    <row r="15" spans="1:10" x14ac:dyDescent="0.25">
      <c r="A15" s="36">
        <v>42221</v>
      </c>
      <c r="B15" s="46">
        <f t="shared" si="3"/>
        <v>31</v>
      </c>
      <c r="C15" s="47">
        <f t="shared" si="4"/>
        <v>34674</v>
      </c>
      <c r="D15" s="48">
        <f t="shared" si="2"/>
        <v>25245.27</v>
      </c>
      <c r="E15" s="68">
        <f t="shared" si="5"/>
        <v>9428.73</v>
      </c>
      <c r="F15" s="47">
        <f t="shared" si="6"/>
        <v>740104.42999999993</v>
      </c>
      <c r="G15" s="47">
        <f t="shared" si="8"/>
        <v>714859.15999999992</v>
      </c>
    </row>
    <row r="16" spans="1:10" x14ac:dyDescent="0.25">
      <c r="A16" s="36">
        <v>42252</v>
      </c>
      <c r="B16" s="46">
        <f t="shared" si="3"/>
        <v>31</v>
      </c>
      <c r="C16" s="47">
        <f t="shared" si="4"/>
        <v>34674</v>
      </c>
      <c r="D16" s="48">
        <f t="shared" si="2"/>
        <v>25566.89</v>
      </c>
      <c r="E16" s="68">
        <f t="shared" si="5"/>
        <v>9107.11</v>
      </c>
      <c r="F16" s="47">
        <f t="shared" si="6"/>
        <v>714859.15999999992</v>
      </c>
      <c r="G16" s="47">
        <f t="shared" si="8"/>
        <v>689292.2699999999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34674</v>
      </c>
      <c r="D17" s="48">
        <f t="shared" si="2"/>
        <v>26175.879999999997</v>
      </c>
      <c r="E17" s="68">
        <f t="shared" si="5"/>
        <v>8498.1200000000008</v>
      </c>
      <c r="F17" s="47">
        <f t="shared" si="6"/>
        <v>689292.2699999999</v>
      </c>
      <c r="G17" s="47">
        <f t="shared" si="8"/>
        <v>663116.3899999999</v>
      </c>
    </row>
    <row r="18" spans="1:7" x14ac:dyDescent="0.25">
      <c r="A18" s="36">
        <v>42313</v>
      </c>
      <c r="B18" s="46">
        <f t="shared" si="3"/>
        <v>31</v>
      </c>
      <c r="C18" s="47">
        <f t="shared" si="4"/>
        <v>34674</v>
      </c>
      <c r="D18" s="48">
        <f t="shared" si="2"/>
        <v>26226.080000000002</v>
      </c>
      <c r="E18" s="68">
        <f t="shared" si="5"/>
        <v>8447.92</v>
      </c>
      <c r="F18" s="47">
        <f t="shared" si="6"/>
        <v>663116.3899999999</v>
      </c>
      <c r="G18" s="47">
        <f t="shared" si="8"/>
        <v>636890.30999999994</v>
      </c>
    </row>
    <row r="19" spans="1:7" x14ac:dyDescent="0.25">
      <c r="A19" s="54">
        <v>42343</v>
      </c>
      <c r="B19" s="46">
        <f t="shared" si="3"/>
        <v>30</v>
      </c>
      <c r="C19" s="47">
        <f t="shared" si="4"/>
        <v>34674</v>
      </c>
      <c r="D19" s="48">
        <f t="shared" si="2"/>
        <v>26821.93</v>
      </c>
      <c r="E19" s="68">
        <f t="shared" si="5"/>
        <v>7852.07</v>
      </c>
      <c r="F19" s="47">
        <f t="shared" si="6"/>
        <v>636890.30999999994</v>
      </c>
      <c r="G19" s="47">
        <f t="shared" si="8"/>
        <v>610068.37999999989</v>
      </c>
    </row>
    <row r="20" spans="1:7" x14ac:dyDescent="0.25">
      <c r="A20" s="54">
        <v>42374</v>
      </c>
      <c r="B20" s="46">
        <f t="shared" si="3"/>
        <v>31</v>
      </c>
      <c r="C20" s="47">
        <f t="shared" si="4"/>
        <v>34674</v>
      </c>
      <c r="D20" s="48">
        <f t="shared" si="2"/>
        <v>26901.9</v>
      </c>
      <c r="E20" s="68">
        <f t="shared" si="5"/>
        <v>7772.1</v>
      </c>
      <c r="F20" s="47">
        <f t="shared" si="6"/>
        <v>610068.37999999989</v>
      </c>
      <c r="G20" s="47">
        <f t="shared" si="8"/>
        <v>583166.47999999986</v>
      </c>
    </row>
    <row r="21" spans="1:7" x14ac:dyDescent="0.25">
      <c r="A21" s="54">
        <v>42405</v>
      </c>
      <c r="B21" s="46">
        <f t="shared" si="3"/>
        <v>31</v>
      </c>
      <c r="C21" s="47">
        <f t="shared" si="4"/>
        <v>34674</v>
      </c>
      <c r="D21" s="48">
        <f t="shared" si="2"/>
        <v>27244.62</v>
      </c>
      <c r="E21" s="68">
        <f t="shared" si="5"/>
        <v>7429.38</v>
      </c>
      <c r="F21" s="47">
        <f t="shared" si="6"/>
        <v>583166.47999999986</v>
      </c>
      <c r="G21" s="47">
        <f t="shared" si="8"/>
        <v>555921.85999999987</v>
      </c>
    </row>
    <row r="22" spans="1:7" x14ac:dyDescent="0.25">
      <c r="A22" s="54">
        <v>42434</v>
      </c>
      <c r="B22" s="46">
        <f t="shared" si="3"/>
        <v>29</v>
      </c>
      <c r="C22" s="47">
        <f t="shared" si="4"/>
        <v>34674</v>
      </c>
      <c r="D22" s="48">
        <f t="shared" si="2"/>
        <v>28048.63</v>
      </c>
      <c r="E22" s="68">
        <f t="shared" si="5"/>
        <v>6625.37</v>
      </c>
      <c r="F22" s="47">
        <f t="shared" si="6"/>
        <v>555921.85999999987</v>
      </c>
      <c r="G22" s="47">
        <f t="shared" si="8"/>
        <v>527873.22999999986</v>
      </c>
    </row>
    <row r="23" spans="1:7" x14ac:dyDescent="0.25">
      <c r="A23" s="54">
        <v>42465</v>
      </c>
      <c r="B23" s="46">
        <f t="shared" si="3"/>
        <v>31</v>
      </c>
      <c r="C23" s="47">
        <f t="shared" si="4"/>
        <v>34674</v>
      </c>
      <c r="D23" s="48">
        <f t="shared" si="2"/>
        <v>27949.040000000001</v>
      </c>
      <c r="E23" s="68">
        <f t="shared" si="5"/>
        <v>6724.96</v>
      </c>
      <c r="F23" s="47">
        <f t="shared" si="6"/>
        <v>527873.22999999986</v>
      </c>
      <c r="G23" s="47">
        <f t="shared" si="8"/>
        <v>499924.18999999989</v>
      </c>
    </row>
    <row r="24" spans="1:7" x14ac:dyDescent="0.25">
      <c r="A24" s="54">
        <v>42495</v>
      </c>
      <c r="B24" s="46">
        <f t="shared" si="3"/>
        <v>30</v>
      </c>
      <c r="C24" s="47">
        <f t="shared" si="4"/>
        <v>34674</v>
      </c>
      <c r="D24" s="48">
        <f t="shared" si="2"/>
        <v>28510.55</v>
      </c>
      <c r="E24" s="68">
        <f t="shared" si="5"/>
        <v>6163.45</v>
      </c>
      <c r="F24" s="47">
        <f t="shared" si="6"/>
        <v>499924.18999999989</v>
      </c>
      <c r="G24" s="47">
        <f t="shared" si="8"/>
        <v>471413.6399999999</v>
      </c>
    </row>
    <row r="25" spans="1:7" x14ac:dyDescent="0.25">
      <c r="A25" s="54">
        <v>42526</v>
      </c>
      <c r="B25" s="46">
        <f t="shared" si="3"/>
        <v>31</v>
      </c>
      <c r="C25" s="47">
        <f t="shared" si="4"/>
        <v>34674</v>
      </c>
      <c r="D25" s="48">
        <f t="shared" si="2"/>
        <v>28668.32</v>
      </c>
      <c r="E25" s="68">
        <f t="shared" si="5"/>
        <v>6005.68</v>
      </c>
      <c r="F25" s="47">
        <f t="shared" si="6"/>
        <v>471413.6399999999</v>
      </c>
      <c r="G25" s="47">
        <f t="shared" si="8"/>
        <v>442745.31999999989</v>
      </c>
    </row>
    <row r="26" spans="1:7" x14ac:dyDescent="0.25">
      <c r="A26" s="54">
        <v>42556</v>
      </c>
      <c r="B26" s="46">
        <f t="shared" si="3"/>
        <v>30</v>
      </c>
      <c r="C26" s="47">
        <f t="shared" si="4"/>
        <v>34674</v>
      </c>
      <c r="D26" s="48">
        <f t="shared" si="2"/>
        <v>29215.5</v>
      </c>
      <c r="E26" s="68">
        <f t="shared" si="5"/>
        <v>5458.5</v>
      </c>
      <c r="F26" s="47">
        <f t="shared" si="6"/>
        <v>442745.31999999989</v>
      </c>
      <c r="G26" s="47">
        <f t="shared" si="8"/>
        <v>413529.81999999989</v>
      </c>
    </row>
    <row r="27" spans="1:7" x14ac:dyDescent="0.25">
      <c r="A27" s="54">
        <v>42587</v>
      </c>
      <c r="B27" s="46">
        <f t="shared" si="3"/>
        <v>31</v>
      </c>
      <c r="C27" s="47">
        <f t="shared" si="4"/>
        <v>34674</v>
      </c>
      <c r="D27" s="48">
        <f t="shared" si="2"/>
        <v>29405.739999999998</v>
      </c>
      <c r="E27" s="68">
        <f t="shared" si="5"/>
        <v>5268.26</v>
      </c>
      <c r="F27" s="47">
        <f t="shared" si="6"/>
        <v>413529.81999999989</v>
      </c>
      <c r="G27" s="47">
        <f t="shared" si="8"/>
        <v>384124.0799999999</v>
      </c>
    </row>
    <row r="28" spans="1:7" x14ac:dyDescent="0.25">
      <c r="A28" s="54">
        <v>42618</v>
      </c>
      <c r="B28" s="46">
        <f t="shared" si="3"/>
        <v>31</v>
      </c>
      <c r="C28" s="47">
        <f t="shared" si="4"/>
        <v>34674</v>
      </c>
      <c r="D28" s="48">
        <f t="shared" si="2"/>
        <v>29780.36</v>
      </c>
      <c r="E28" s="68">
        <f t="shared" si="5"/>
        <v>4893.6400000000003</v>
      </c>
      <c r="F28" s="47">
        <f t="shared" si="6"/>
        <v>384124.0799999999</v>
      </c>
      <c r="G28" s="47">
        <f t="shared" si="8"/>
        <v>354343.71999999991</v>
      </c>
    </row>
    <row r="29" spans="1:7" x14ac:dyDescent="0.25">
      <c r="A29" s="54">
        <v>42648</v>
      </c>
      <c r="B29" s="46">
        <f t="shared" si="3"/>
        <v>30</v>
      </c>
      <c r="C29" s="47">
        <f t="shared" si="4"/>
        <v>34674</v>
      </c>
      <c r="D29" s="48">
        <f t="shared" si="2"/>
        <v>30305.38</v>
      </c>
      <c r="E29" s="68">
        <f t="shared" si="5"/>
        <v>4368.62</v>
      </c>
      <c r="F29" s="47">
        <f t="shared" si="6"/>
        <v>354343.71999999991</v>
      </c>
      <c r="G29" s="47">
        <f t="shared" si="8"/>
        <v>324038.33999999991</v>
      </c>
    </row>
    <row r="30" spans="1:7" x14ac:dyDescent="0.25">
      <c r="A30" s="54">
        <v>42679</v>
      </c>
      <c r="B30" s="46">
        <f t="shared" si="3"/>
        <v>31</v>
      </c>
      <c r="C30" s="47">
        <f t="shared" si="4"/>
        <v>34674</v>
      </c>
      <c r="D30" s="48">
        <f t="shared" si="2"/>
        <v>30545.84</v>
      </c>
      <c r="E30" s="68">
        <f t="shared" si="5"/>
        <v>4128.16</v>
      </c>
      <c r="F30" s="47">
        <f t="shared" si="6"/>
        <v>324038.33999999991</v>
      </c>
      <c r="G30" s="47">
        <f t="shared" si="8"/>
        <v>293492.49999999988</v>
      </c>
    </row>
    <row r="31" spans="1:7" x14ac:dyDescent="0.25">
      <c r="A31" s="54">
        <v>42709</v>
      </c>
      <c r="B31" s="46">
        <f t="shared" si="3"/>
        <v>30</v>
      </c>
      <c r="C31" s="47">
        <f t="shared" si="4"/>
        <v>34674</v>
      </c>
      <c r="D31" s="48">
        <f t="shared" si="2"/>
        <v>31055.599999999999</v>
      </c>
      <c r="E31" s="68">
        <f t="shared" si="5"/>
        <v>3618.4</v>
      </c>
      <c r="F31" s="47">
        <f t="shared" si="6"/>
        <v>293492.49999999988</v>
      </c>
      <c r="G31" s="47">
        <f t="shared" si="8"/>
        <v>262436.89999999991</v>
      </c>
    </row>
    <row r="32" spans="1:7" x14ac:dyDescent="0.25">
      <c r="A32" s="54">
        <v>42740</v>
      </c>
      <c r="B32" s="46">
        <f t="shared" si="3"/>
        <v>31</v>
      </c>
      <c r="C32" s="47">
        <f t="shared" si="4"/>
        <v>34674</v>
      </c>
      <c r="D32" s="48">
        <f t="shared" si="2"/>
        <v>31330.63</v>
      </c>
      <c r="E32" s="68">
        <f t="shared" si="5"/>
        <v>3343.37</v>
      </c>
      <c r="F32" s="47">
        <f t="shared" si="6"/>
        <v>262436.89999999991</v>
      </c>
      <c r="G32" s="47">
        <f t="shared" si="8"/>
        <v>231106.2699999999</v>
      </c>
    </row>
    <row r="33" spans="1:7" x14ac:dyDescent="0.25">
      <c r="A33" s="54">
        <v>42771</v>
      </c>
      <c r="B33" s="46">
        <f t="shared" si="3"/>
        <v>31</v>
      </c>
      <c r="C33" s="47">
        <f t="shared" si="4"/>
        <v>34674</v>
      </c>
      <c r="D33" s="48">
        <f t="shared" si="2"/>
        <v>31729.77</v>
      </c>
      <c r="E33" s="68">
        <f t="shared" si="5"/>
        <v>2944.23</v>
      </c>
      <c r="F33" s="47">
        <f t="shared" si="6"/>
        <v>231106.2699999999</v>
      </c>
      <c r="G33" s="47">
        <f t="shared" si="8"/>
        <v>199376.49999999991</v>
      </c>
    </row>
    <row r="34" spans="1:7" x14ac:dyDescent="0.25">
      <c r="A34" s="54">
        <v>42799</v>
      </c>
      <c r="B34" s="46">
        <f t="shared" si="3"/>
        <v>28</v>
      </c>
      <c r="C34" s="47">
        <f t="shared" si="4"/>
        <v>34674</v>
      </c>
      <c r="D34" s="48">
        <f t="shared" si="2"/>
        <v>32379.8</v>
      </c>
      <c r="E34" s="68">
        <f t="shared" si="5"/>
        <v>2294.1999999999998</v>
      </c>
      <c r="F34" s="47">
        <f t="shared" si="6"/>
        <v>199376.49999999991</v>
      </c>
      <c r="G34" s="47">
        <f t="shared" si="8"/>
        <v>166996.69999999992</v>
      </c>
    </row>
    <row r="35" spans="1:7" x14ac:dyDescent="0.25">
      <c r="A35" s="54">
        <v>42830</v>
      </c>
      <c r="B35" s="46">
        <f t="shared" si="3"/>
        <v>31</v>
      </c>
      <c r="C35" s="47">
        <f t="shared" si="4"/>
        <v>34674</v>
      </c>
      <c r="D35" s="48">
        <f t="shared" si="2"/>
        <v>32546.510000000002</v>
      </c>
      <c r="E35" s="68">
        <f t="shared" si="5"/>
        <v>2127.4899999999998</v>
      </c>
      <c r="F35" s="47">
        <f t="shared" si="6"/>
        <v>166996.69999999992</v>
      </c>
      <c r="G35" s="47">
        <f t="shared" si="8"/>
        <v>134450.18999999992</v>
      </c>
    </row>
    <row r="36" spans="1:7" x14ac:dyDescent="0.25">
      <c r="A36" s="54">
        <v>42860</v>
      </c>
      <c r="B36" s="46">
        <f t="shared" si="3"/>
        <v>30</v>
      </c>
      <c r="C36" s="47">
        <f t="shared" si="4"/>
        <v>34674</v>
      </c>
      <c r="D36" s="48">
        <f t="shared" si="2"/>
        <v>33016.39</v>
      </c>
      <c r="E36" s="68">
        <f t="shared" si="5"/>
        <v>1657.61</v>
      </c>
      <c r="F36" s="47">
        <f t="shared" si="6"/>
        <v>134450.18999999992</v>
      </c>
      <c r="G36" s="47">
        <f t="shared" si="8"/>
        <v>101433.79999999992</v>
      </c>
    </row>
    <row r="37" spans="1:7" x14ac:dyDescent="0.25">
      <c r="A37" s="54">
        <v>42891</v>
      </c>
      <c r="B37" s="46">
        <f t="shared" si="3"/>
        <v>31</v>
      </c>
      <c r="C37" s="47">
        <f t="shared" si="4"/>
        <v>34674</v>
      </c>
      <c r="D37" s="48">
        <f t="shared" si="2"/>
        <v>33381.760000000002</v>
      </c>
      <c r="E37" s="68">
        <f t="shared" si="5"/>
        <v>1292.24</v>
      </c>
      <c r="F37" s="47">
        <f t="shared" si="6"/>
        <v>101433.79999999992</v>
      </c>
      <c r="G37" s="47">
        <f t="shared" si="8"/>
        <v>68052.039999999921</v>
      </c>
    </row>
    <row r="38" spans="1:7" x14ac:dyDescent="0.25">
      <c r="A38" s="54">
        <v>42921</v>
      </c>
      <c r="B38" s="46">
        <f t="shared" si="3"/>
        <v>30</v>
      </c>
      <c r="C38" s="47">
        <f t="shared" si="4"/>
        <v>34674</v>
      </c>
      <c r="D38" s="48">
        <f t="shared" si="2"/>
        <v>33835</v>
      </c>
      <c r="E38" s="68">
        <f t="shared" si="5"/>
        <v>839</v>
      </c>
      <c r="F38" s="47">
        <f t="shared" si="6"/>
        <v>68052.039999999921</v>
      </c>
      <c r="G38" s="47">
        <f t="shared" si="8"/>
        <v>34217.039999999921</v>
      </c>
    </row>
    <row r="39" spans="1:7" x14ac:dyDescent="0.25">
      <c r="A39" s="54">
        <v>42952</v>
      </c>
      <c r="B39" s="46">
        <f t="shared" si="3"/>
        <v>31</v>
      </c>
      <c r="C39" s="47">
        <f t="shared" si="4"/>
        <v>34674</v>
      </c>
      <c r="D39" s="48">
        <f t="shared" si="2"/>
        <v>34217.039999999921</v>
      </c>
      <c r="E39" s="68">
        <v>456.96000000008092</v>
      </c>
      <c r="F39" s="47">
        <f t="shared" si="6"/>
        <v>34217.039999999921</v>
      </c>
      <c r="G39" s="47">
        <f t="shared" si="8"/>
        <v>0</v>
      </c>
    </row>
    <row r="40" spans="1:7" x14ac:dyDescent="0.25">
      <c r="A40" s="54">
        <v>42374</v>
      </c>
      <c r="B40" s="46">
        <f>A20-A19</f>
        <v>31</v>
      </c>
      <c r="C40" s="47">
        <f t="shared" si="4"/>
        <v>34674</v>
      </c>
      <c r="D40" s="48">
        <f>C40-E40</f>
        <v>26901.9</v>
      </c>
      <c r="E40" s="68">
        <f>ROUND(F20*$B$2*B20/365,2)</f>
        <v>7772.1</v>
      </c>
      <c r="F40" s="47">
        <f>G19</f>
        <v>610068.37999999989</v>
      </c>
      <c r="G40" s="47">
        <f t="shared" ref="G40:G59" si="9">F40-D40</f>
        <v>583166.47999999986</v>
      </c>
    </row>
    <row r="41" spans="1:7" x14ac:dyDescent="0.25">
      <c r="A41" s="54">
        <v>42405</v>
      </c>
      <c r="B41" s="46">
        <f t="shared" si="3"/>
        <v>31</v>
      </c>
      <c r="C41" s="47">
        <f>$F$1</f>
        <v>62189</v>
      </c>
      <c r="D41" s="48">
        <f t="shared" ref="D41:D59" si="10">C41-E41</f>
        <v>12659.79</v>
      </c>
      <c r="E41" s="68">
        <f>ROUND(F41*$J$1*B41/365,2)</f>
        <v>49529.21</v>
      </c>
      <c r="F41" s="47">
        <f t="shared" si="6"/>
        <v>583166.47999999986</v>
      </c>
      <c r="G41" s="47">
        <f t="shared" si="9"/>
        <v>570506.68999999983</v>
      </c>
    </row>
    <row r="42" spans="1:7" x14ac:dyDescent="0.25">
      <c r="A42" s="54">
        <v>42434</v>
      </c>
      <c r="B42" s="46">
        <f t="shared" si="3"/>
        <v>29</v>
      </c>
      <c r="C42" s="47">
        <f t="shared" ref="C42:C59" si="11">$F$1</f>
        <v>62189</v>
      </c>
      <c r="D42" s="48">
        <f t="shared" si="10"/>
        <v>16861.07</v>
      </c>
      <c r="E42" s="68">
        <f t="shared" ref="E42:E58" si="12">ROUND(F42*$J$1*B42/365,2)</f>
        <v>45327.93</v>
      </c>
      <c r="F42" s="47">
        <f t="shared" si="6"/>
        <v>570506.68999999983</v>
      </c>
      <c r="G42" s="47">
        <f t="shared" si="9"/>
        <v>553645.61999999988</v>
      </c>
    </row>
    <row r="43" spans="1:7" x14ac:dyDescent="0.25">
      <c r="A43" s="54">
        <v>42465</v>
      </c>
      <c r="B43" s="46">
        <f t="shared" si="3"/>
        <v>31</v>
      </c>
      <c r="C43" s="47">
        <f t="shared" si="11"/>
        <v>62189</v>
      </c>
      <c r="D43" s="48">
        <f t="shared" si="10"/>
        <v>15167.04</v>
      </c>
      <c r="E43" s="68">
        <f t="shared" si="12"/>
        <v>47021.96</v>
      </c>
      <c r="F43" s="47">
        <f t="shared" si="6"/>
        <v>553645.61999999988</v>
      </c>
      <c r="G43" s="47">
        <f t="shared" si="9"/>
        <v>538478.57999999984</v>
      </c>
    </row>
    <row r="44" spans="1:7" x14ac:dyDescent="0.25">
      <c r="A44" s="54">
        <v>42495</v>
      </c>
      <c r="B44" s="46">
        <f t="shared" si="3"/>
        <v>30</v>
      </c>
      <c r="C44" s="47">
        <f t="shared" si="11"/>
        <v>62189</v>
      </c>
      <c r="D44" s="48">
        <f t="shared" si="10"/>
        <v>17930.489999999998</v>
      </c>
      <c r="E44" s="68">
        <f t="shared" si="12"/>
        <v>44258.51</v>
      </c>
      <c r="F44" s="47">
        <f t="shared" si="6"/>
        <v>538478.57999999984</v>
      </c>
      <c r="G44" s="47">
        <f t="shared" si="9"/>
        <v>520548.08999999985</v>
      </c>
    </row>
    <row r="45" spans="1:7" x14ac:dyDescent="0.25">
      <c r="A45" s="54">
        <v>42526</v>
      </c>
      <c r="B45" s="46">
        <f t="shared" si="3"/>
        <v>31</v>
      </c>
      <c r="C45" s="47">
        <f t="shared" si="11"/>
        <v>62189</v>
      </c>
      <c r="D45" s="48">
        <f t="shared" si="10"/>
        <v>17978.07</v>
      </c>
      <c r="E45" s="68">
        <f t="shared" si="12"/>
        <v>44210.93</v>
      </c>
      <c r="F45" s="47">
        <f t="shared" si="6"/>
        <v>520548.08999999985</v>
      </c>
      <c r="G45" s="47">
        <f t="shared" si="9"/>
        <v>502570.01999999984</v>
      </c>
    </row>
    <row r="46" spans="1:7" x14ac:dyDescent="0.25">
      <c r="A46" s="54">
        <v>42556</v>
      </c>
      <c r="B46" s="46">
        <f t="shared" si="3"/>
        <v>30</v>
      </c>
      <c r="C46" s="47">
        <f t="shared" si="11"/>
        <v>62189</v>
      </c>
      <c r="D46" s="48">
        <f t="shared" si="10"/>
        <v>20881.879999999997</v>
      </c>
      <c r="E46" s="68">
        <f t="shared" si="12"/>
        <v>41307.120000000003</v>
      </c>
      <c r="F46" s="47">
        <f t="shared" si="6"/>
        <v>502570.01999999984</v>
      </c>
      <c r="G46" s="47">
        <f t="shared" si="9"/>
        <v>481688.13999999984</v>
      </c>
    </row>
    <row r="47" spans="1:7" x14ac:dyDescent="0.25">
      <c r="A47" s="54">
        <v>42587</v>
      </c>
      <c r="B47" s="46">
        <f t="shared" si="3"/>
        <v>31</v>
      </c>
      <c r="C47" s="47">
        <f t="shared" si="11"/>
        <v>62189</v>
      </c>
      <c r="D47" s="48">
        <f t="shared" si="10"/>
        <v>21278.5</v>
      </c>
      <c r="E47" s="68">
        <f t="shared" si="12"/>
        <v>40910.5</v>
      </c>
      <c r="F47" s="47">
        <f t="shared" si="6"/>
        <v>481688.13999999984</v>
      </c>
      <c r="G47" s="47">
        <f t="shared" si="9"/>
        <v>460409.63999999984</v>
      </c>
    </row>
    <row r="48" spans="1:7" x14ac:dyDescent="0.25">
      <c r="A48" s="54">
        <v>42618</v>
      </c>
      <c r="B48" s="46">
        <f t="shared" si="3"/>
        <v>31</v>
      </c>
      <c r="C48" s="47">
        <f t="shared" si="11"/>
        <v>62189</v>
      </c>
      <c r="D48" s="48">
        <f t="shared" si="10"/>
        <v>23085.72</v>
      </c>
      <c r="E48" s="68">
        <f t="shared" si="12"/>
        <v>39103.279999999999</v>
      </c>
      <c r="F48" s="47">
        <f t="shared" si="6"/>
        <v>460409.63999999984</v>
      </c>
      <c r="G48" s="47">
        <f t="shared" si="9"/>
        <v>437323.91999999981</v>
      </c>
    </row>
    <row r="49" spans="1:7" x14ac:dyDescent="0.25">
      <c r="A49" s="54">
        <v>42648</v>
      </c>
      <c r="B49" s="46">
        <f t="shared" si="3"/>
        <v>30</v>
      </c>
      <c r="C49" s="47">
        <f t="shared" si="11"/>
        <v>62189</v>
      </c>
      <c r="D49" s="48">
        <f t="shared" si="10"/>
        <v>26244.57</v>
      </c>
      <c r="E49" s="68">
        <f t="shared" si="12"/>
        <v>35944.43</v>
      </c>
      <c r="F49" s="47">
        <f t="shared" si="6"/>
        <v>437323.91999999981</v>
      </c>
      <c r="G49" s="47">
        <f t="shared" si="9"/>
        <v>411079.3499999998</v>
      </c>
    </row>
    <row r="50" spans="1:7" x14ac:dyDescent="0.25">
      <c r="A50" s="54">
        <v>42679</v>
      </c>
      <c r="B50" s="46">
        <f t="shared" si="3"/>
        <v>31</v>
      </c>
      <c r="C50" s="47">
        <f t="shared" si="11"/>
        <v>62189</v>
      </c>
      <c r="D50" s="48">
        <f t="shared" si="10"/>
        <v>27275.410000000003</v>
      </c>
      <c r="E50" s="68">
        <f t="shared" si="12"/>
        <v>34913.589999999997</v>
      </c>
      <c r="F50" s="47">
        <f t="shared" si="6"/>
        <v>411079.3499999998</v>
      </c>
      <c r="G50" s="47">
        <f t="shared" si="9"/>
        <v>383803.93999999983</v>
      </c>
    </row>
    <row r="51" spans="1:7" x14ac:dyDescent="0.25">
      <c r="A51" s="54">
        <v>42709</v>
      </c>
      <c r="B51" s="46">
        <f t="shared" si="3"/>
        <v>30</v>
      </c>
      <c r="C51" s="47">
        <f t="shared" si="11"/>
        <v>62189</v>
      </c>
      <c r="D51" s="48">
        <f t="shared" si="10"/>
        <v>30643.47</v>
      </c>
      <c r="E51" s="68">
        <f t="shared" si="12"/>
        <v>31545.53</v>
      </c>
      <c r="F51" s="47">
        <f t="shared" si="6"/>
        <v>383803.93999999983</v>
      </c>
      <c r="G51" s="47">
        <f t="shared" si="9"/>
        <v>353160.46999999986</v>
      </c>
    </row>
    <row r="52" spans="1:7" x14ac:dyDescent="0.25">
      <c r="A52" s="54">
        <v>42740</v>
      </c>
      <c r="B52" s="46">
        <f t="shared" si="3"/>
        <v>31</v>
      </c>
      <c r="C52" s="47">
        <f t="shared" si="11"/>
        <v>62189</v>
      </c>
      <c r="D52" s="48">
        <f t="shared" si="10"/>
        <v>32194.55</v>
      </c>
      <c r="E52" s="68">
        <f t="shared" si="12"/>
        <v>29994.45</v>
      </c>
      <c r="F52" s="47">
        <f t="shared" si="6"/>
        <v>353160.46999999986</v>
      </c>
      <c r="G52" s="47">
        <f t="shared" si="9"/>
        <v>320965.91999999987</v>
      </c>
    </row>
    <row r="53" spans="1:7" x14ac:dyDescent="0.25">
      <c r="A53" s="54">
        <v>42771</v>
      </c>
      <c r="B53" s="46">
        <f t="shared" si="3"/>
        <v>31</v>
      </c>
      <c r="C53" s="47">
        <f t="shared" si="11"/>
        <v>62189</v>
      </c>
      <c r="D53" s="48">
        <f t="shared" si="10"/>
        <v>34928.880000000005</v>
      </c>
      <c r="E53" s="68">
        <f t="shared" si="12"/>
        <v>27260.12</v>
      </c>
      <c r="F53" s="47">
        <f t="shared" si="6"/>
        <v>320965.91999999987</v>
      </c>
      <c r="G53" s="47">
        <f t="shared" si="9"/>
        <v>286037.03999999986</v>
      </c>
    </row>
    <row r="54" spans="1:7" x14ac:dyDescent="0.25">
      <c r="A54" s="54">
        <v>42799</v>
      </c>
      <c r="B54" s="46">
        <f t="shared" si="3"/>
        <v>28</v>
      </c>
      <c r="C54" s="47">
        <f t="shared" si="11"/>
        <v>62189</v>
      </c>
      <c r="D54" s="48">
        <f t="shared" si="10"/>
        <v>40246.43</v>
      </c>
      <c r="E54" s="68">
        <f t="shared" si="12"/>
        <v>21942.57</v>
      </c>
      <c r="F54" s="47">
        <f t="shared" si="6"/>
        <v>286037.03999999986</v>
      </c>
      <c r="G54" s="47">
        <f t="shared" si="9"/>
        <v>245790.60999999987</v>
      </c>
    </row>
    <row r="55" spans="1:7" x14ac:dyDescent="0.25">
      <c r="A55" s="54">
        <v>42830</v>
      </c>
      <c r="B55" s="46">
        <f t="shared" si="3"/>
        <v>31</v>
      </c>
      <c r="C55" s="47">
        <f t="shared" si="11"/>
        <v>62189</v>
      </c>
      <c r="D55" s="48">
        <f t="shared" si="10"/>
        <v>41313.630000000005</v>
      </c>
      <c r="E55" s="68">
        <f t="shared" si="12"/>
        <v>20875.37</v>
      </c>
      <c r="F55" s="47">
        <f t="shared" si="6"/>
        <v>245790.60999999987</v>
      </c>
      <c r="G55" s="47">
        <f t="shared" si="9"/>
        <v>204476.97999999986</v>
      </c>
    </row>
    <row r="56" spans="1:7" x14ac:dyDescent="0.25">
      <c r="A56" s="54">
        <v>42860</v>
      </c>
      <c r="B56" s="46">
        <f t="shared" si="3"/>
        <v>30</v>
      </c>
      <c r="C56" s="47">
        <f t="shared" si="11"/>
        <v>62189</v>
      </c>
      <c r="D56" s="48">
        <f t="shared" si="10"/>
        <v>45382.67</v>
      </c>
      <c r="E56" s="68">
        <f t="shared" si="12"/>
        <v>16806.330000000002</v>
      </c>
      <c r="F56" s="47">
        <f t="shared" si="6"/>
        <v>204476.97999999986</v>
      </c>
      <c r="G56" s="47">
        <f t="shared" si="9"/>
        <v>159094.30999999988</v>
      </c>
    </row>
    <row r="57" spans="1:7" x14ac:dyDescent="0.25">
      <c r="A57" s="54">
        <v>42891</v>
      </c>
      <c r="B57" s="46">
        <f t="shared" si="3"/>
        <v>31</v>
      </c>
      <c r="C57" s="47">
        <f t="shared" si="11"/>
        <v>62189</v>
      </c>
      <c r="D57" s="48">
        <f t="shared" si="10"/>
        <v>48676.88</v>
      </c>
      <c r="E57" s="68">
        <f t="shared" si="12"/>
        <v>13512.12</v>
      </c>
      <c r="F57" s="47">
        <f t="shared" si="6"/>
        <v>159094.30999999988</v>
      </c>
      <c r="G57" s="47">
        <f t="shared" si="9"/>
        <v>110417.42999999988</v>
      </c>
    </row>
    <row r="58" spans="1:7" x14ac:dyDescent="0.25">
      <c r="A58" s="54">
        <v>42921</v>
      </c>
      <c r="B58" s="46">
        <f t="shared" si="3"/>
        <v>30</v>
      </c>
      <c r="C58" s="47">
        <f t="shared" si="11"/>
        <v>62189</v>
      </c>
      <c r="D58" s="48">
        <f t="shared" si="10"/>
        <v>53113.59</v>
      </c>
      <c r="E58" s="68">
        <f t="shared" si="12"/>
        <v>9075.41</v>
      </c>
      <c r="F58" s="47">
        <f t="shared" si="6"/>
        <v>110417.42999999988</v>
      </c>
      <c r="G58" s="47">
        <f t="shared" si="9"/>
        <v>57303.83999999988</v>
      </c>
    </row>
    <row r="59" spans="1:7" x14ac:dyDescent="0.25">
      <c r="A59" s="54">
        <v>42952</v>
      </c>
      <c r="B59" s="46">
        <f t="shared" si="3"/>
        <v>31</v>
      </c>
      <c r="C59" s="47">
        <f t="shared" si="11"/>
        <v>62189</v>
      </c>
      <c r="D59" s="48">
        <f t="shared" si="10"/>
        <v>57303.83999999988</v>
      </c>
      <c r="E59" s="68">
        <v>4885.1600000001181</v>
      </c>
      <c r="F59" s="47">
        <f t="shared" si="6"/>
        <v>57303.83999999988</v>
      </c>
      <c r="G59" s="47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727C33-B937-4C03-8904-BE8F0251C563}">
  <dimension ref="A1:J59"/>
  <sheetViews>
    <sheetView zoomScale="85" zoomScaleNormal="90" workbookViewId="0">
      <pane ySplit="3" topLeftCell="A39" activePane="bottomLeft" state="frozen"/>
      <selection activeCell="R2" sqref="R2:R5"/>
      <selection pane="bottomLeft" activeCell="R2" sqref="R2:R5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ROUNDUP(34665.3286111111,0)</f>
        <v>34666</v>
      </c>
      <c r="E1" s="25" t="s">
        <v>51</v>
      </c>
      <c r="F1" s="37">
        <f>ROUNDUP(62173.1666524252,0)</f>
        <v>62174</v>
      </c>
      <c r="G1" s="28" t="s">
        <v>52</v>
      </c>
      <c r="H1" s="26">
        <v>41917</v>
      </c>
      <c r="I1" s="28" t="s">
        <v>53</v>
      </c>
      <c r="J1" s="52">
        <v>1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 t="shared" ref="E5:E38" si="2"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59" si="3">DAYS360(A5,A6,TRUE)</f>
        <v>30</v>
      </c>
      <c r="C6" s="47">
        <f t="shared" ref="C6:C40" si="4">$D$1</f>
        <v>34666</v>
      </c>
      <c r="D6" s="48">
        <f t="shared" si="0"/>
        <v>22723.61</v>
      </c>
      <c r="E6" s="68">
        <f t="shared" si="2"/>
        <v>11942.39</v>
      </c>
      <c r="F6" s="47">
        <f t="shared" ref="F6:F59" si="5">G5</f>
        <v>955390.93</v>
      </c>
      <c r="G6" s="47">
        <f t="shared" ref="G6:G39" si="6">F6-D6</f>
        <v>932667.32000000007</v>
      </c>
    </row>
    <row r="7" spans="1:10" x14ac:dyDescent="0.25">
      <c r="A7" s="36">
        <v>41978</v>
      </c>
      <c r="B7" s="46">
        <f t="shared" si="3"/>
        <v>30</v>
      </c>
      <c r="C7" s="47">
        <f t="shared" si="4"/>
        <v>34666</v>
      </c>
      <c r="D7" s="48">
        <f t="shared" si="0"/>
        <v>23007.66</v>
      </c>
      <c r="E7" s="68">
        <f t="shared" si="2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3"/>
        <v>30</v>
      </c>
      <c r="C8" s="47">
        <f t="shared" si="4"/>
        <v>34666</v>
      </c>
      <c r="D8" s="48">
        <f t="shared" si="0"/>
        <v>23295.25</v>
      </c>
      <c r="E8" s="68">
        <f t="shared" si="2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3"/>
        <v>30</v>
      </c>
      <c r="C9" s="47">
        <f t="shared" si="4"/>
        <v>34666</v>
      </c>
      <c r="D9" s="48">
        <f t="shared" si="0"/>
        <v>23586.440000000002</v>
      </c>
      <c r="E9" s="68">
        <f t="shared" si="2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3"/>
        <v>30</v>
      </c>
      <c r="C10" s="47">
        <f t="shared" si="4"/>
        <v>34666</v>
      </c>
      <c r="D10" s="48">
        <f t="shared" si="0"/>
        <v>23881.279999999999</v>
      </c>
      <c r="E10" s="68">
        <f t="shared" si="2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3"/>
        <v>30</v>
      </c>
      <c r="C11" s="47">
        <f t="shared" si="4"/>
        <v>34666</v>
      </c>
      <c r="D11" s="48">
        <f t="shared" si="0"/>
        <v>24179.79</v>
      </c>
      <c r="E11" s="68">
        <f t="shared" si="2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3"/>
        <v>30</v>
      </c>
      <c r="C12" s="47">
        <f t="shared" si="4"/>
        <v>34666</v>
      </c>
      <c r="D12" s="48">
        <f t="shared" si="0"/>
        <v>24482.04</v>
      </c>
      <c r="E12" s="68">
        <f t="shared" si="2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3"/>
        <v>30</v>
      </c>
      <c r="C13" s="47">
        <f t="shared" si="4"/>
        <v>34666</v>
      </c>
      <c r="D13" s="48">
        <f t="shared" si="0"/>
        <v>24788.059999999998</v>
      </c>
      <c r="E13" s="68">
        <f t="shared" si="2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3"/>
        <v>30</v>
      </c>
      <c r="C14" s="47">
        <f t="shared" si="4"/>
        <v>34666</v>
      </c>
      <c r="D14" s="48">
        <f t="shared" si="0"/>
        <v>25097.91</v>
      </c>
      <c r="E14" s="68">
        <f t="shared" si="2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3"/>
        <v>30</v>
      </c>
      <c r="C15" s="47">
        <f t="shared" si="4"/>
        <v>34666</v>
      </c>
      <c r="D15" s="48">
        <f t="shared" si="0"/>
        <v>25411.64</v>
      </c>
      <c r="E15" s="68">
        <f t="shared" si="2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3"/>
        <v>30</v>
      </c>
      <c r="C16" s="47">
        <f t="shared" si="4"/>
        <v>34666</v>
      </c>
      <c r="D16" s="48">
        <f t="shared" si="0"/>
        <v>25729.279999999999</v>
      </c>
      <c r="E16" s="68">
        <f t="shared" si="2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34666</v>
      </c>
      <c r="D17" s="48">
        <f t="shared" si="0"/>
        <v>26050.9</v>
      </c>
      <c r="E17" s="68">
        <f t="shared" si="2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3"/>
        <v>30</v>
      </c>
      <c r="C18" s="47">
        <f t="shared" si="4"/>
        <v>34666</v>
      </c>
      <c r="D18" s="48">
        <f t="shared" si="0"/>
        <v>26376.54</v>
      </c>
      <c r="E18" s="68">
        <f t="shared" si="2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54">
        <v>42343</v>
      </c>
      <c r="B19" s="46">
        <f t="shared" si="3"/>
        <v>30</v>
      </c>
      <c r="C19" s="47">
        <f t="shared" si="4"/>
        <v>34666</v>
      </c>
      <c r="D19" s="48">
        <f t="shared" si="0"/>
        <v>26706.239999999998</v>
      </c>
      <c r="E19" s="68">
        <f t="shared" si="2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54">
        <v>42374</v>
      </c>
      <c r="B20" s="46">
        <f t="shared" si="3"/>
        <v>30</v>
      </c>
      <c r="C20" s="47">
        <f t="shared" si="4"/>
        <v>34666</v>
      </c>
      <c r="D20" s="48">
        <f t="shared" si="0"/>
        <v>27040.07</v>
      </c>
      <c r="E20" s="68">
        <f t="shared" si="2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54">
        <v>42405</v>
      </c>
      <c r="B21" s="46">
        <f t="shared" si="3"/>
        <v>30</v>
      </c>
      <c r="C21" s="47">
        <f t="shared" si="4"/>
        <v>34666</v>
      </c>
      <c r="D21" s="48">
        <f t="shared" si="0"/>
        <v>27378.07</v>
      </c>
      <c r="E21" s="68">
        <f t="shared" si="2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54">
        <v>42434</v>
      </c>
      <c r="B22" s="46">
        <f t="shared" si="3"/>
        <v>30</v>
      </c>
      <c r="C22" s="47">
        <f t="shared" si="4"/>
        <v>34666</v>
      </c>
      <c r="D22" s="48">
        <f t="shared" si="0"/>
        <v>27720.3</v>
      </c>
      <c r="E22" s="68">
        <f t="shared" si="2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54">
        <v>42465</v>
      </c>
      <c r="B23" s="46">
        <f t="shared" si="3"/>
        <v>30</v>
      </c>
      <c r="C23" s="47">
        <f t="shared" si="4"/>
        <v>34666</v>
      </c>
      <c r="D23" s="48">
        <f t="shared" si="0"/>
        <v>28066.799999999999</v>
      </c>
      <c r="E23" s="68">
        <f t="shared" si="2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54">
        <v>42495</v>
      </c>
      <c r="B24" s="46">
        <f t="shared" si="3"/>
        <v>30</v>
      </c>
      <c r="C24" s="47">
        <f t="shared" si="4"/>
        <v>34666</v>
      </c>
      <c r="D24" s="48">
        <f t="shared" si="0"/>
        <v>28417.64</v>
      </c>
      <c r="E24" s="68">
        <f t="shared" si="2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54">
        <v>42526</v>
      </c>
      <c r="B25" s="46">
        <f t="shared" si="3"/>
        <v>30</v>
      </c>
      <c r="C25" s="47">
        <f t="shared" si="4"/>
        <v>34666</v>
      </c>
      <c r="D25" s="48">
        <f t="shared" si="0"/>
        <v>28772.86</v>
      </c>
      <c r="E25" s="68">
        <f t="shared" si="2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54">
        <v>42556</v>
      </c>
      <c r="B26" s="46">
        <f t="shared" si="3"/>
        <v>30</v>
      </c>
      <c r="C26" s="47">
        <f t="shared" si="4"/>
        <v>34666</v>
      </c>
      <c r="D26" s="48">
        <f t="shared" si="0"/>
        <v>29132.52</v>
      </c>
      <c r="E26" s="68">
        <f t="shared" si="2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54">
        <v>42587</v>
      </c>
      <c r="B27" s="46">
        <f t="shared" si="3"/>
        <v>30</v>
      </c>
      <c r="C27" s="47">
        <f t="shared" si="4"/>
        <v>34666</v>
      </c>
      <c r="D27" s="48">
        <f t="shared" si="0"/>
        <v>29496.67</v>
      </c>
      <c r="E27" s="68">
        <f t="shared" si="2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54">
        <v>42618</v>
      </c>
      <c r="B28" s="46">
        <f t="shared" si="3"/>
        <v>30</v>
      </c>
      <c r="C28" s="47">
        <f t="shared" si="4"/>
        <v>34666</v>
      </c>
      <c r="D28" s="48">
        <f t="shared" si="0"/>
        <v>29865.38</v>
      </c>
      <c r="E28" s="68">
        <f t="shared" si="2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54">
        <v>42648</v>
      </c>
      <c r="B29" s="46">
        <f t="shared" si="3"/>
        <v>30</v>
      </c>
      <c r="C29" s="47">
        <f t="shared" si="4"/>
        <v>34666</v>
      </c>
      <c r="D29" s="48">
        <f t="shared" si="0"/>
        <v>30238.7</v>
      </c>
      <c r="E29" s="68">
        <f t="shared" si="2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54">
        <v>42679</v>
      </c>
      <c r="B30" s="46">
        <f t="shared" si="3"/>
        <v>30</v>
      </c>
      <c r="C30" s="47">
        <f t="shared" si="4"/>
        <v>34666</v>
      </c>
      <c r="D30" s="48">
        <f t="shared" si="0"/>
        <v>30616.68</v>
      </c>
      <c r="E30" s="68">
        <f t="shared" si="2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54">
        <v>42709</v>
      </c>
      <c r="B31" s="46">
        <f t="shared" si="3"/>
        <v>30</v>
      </c>
      <c r="C31" s="47">
        <f t="shared" si="4"/>
        <v>34666</v>
      </c>
      <c r="D31" s="48">
        <f t="shared" si="0"/>
        <v>30999.39</v>
      </c>
      <c r="E31" s="68">
        <f t="shared" si="2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54">
        <v>42740</v>
      </c>
      <c r="B32" s="46">
        <f t="shared" si="3"/>
        <v>30</v>
      </c>
      <c r="C32" s="47">
        <f t="shared" si="4"/>
        <v>34666</v>
      </c>
      <c r="D32" s="48">
        <f t="shared" si="0"/>
        <v>31386.880000000001</v>
      </c>
      <c r="E32" s="68">
        <f t="shared" si="2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54">
        <v>42771</v>
      </c>
      <c r="B33" s="46">
        <f t="shared" si="3"/>
        <v>30</v>
      </c>
      <c r="C33" s="47">
        <f t="shared" si="4"/>
        <v>34666</v>
      </c>
      <c r="D33" s="48">
        <f t="shared" si="0"/>
        <v>31779.22</v>
      </c>
      <c r="E33" s="68">
        <f t="shared" si="2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54">
        <v>42799</v>
      </c>
      <c r="B34" s="46">
        <f t="shared" si="3"/>
        <v>30</v>
      </c>
      <c r="C34" s="47">
        <f t="shared" si="4"/>
        <v>34666</v>
      </c>
      <c r="D34" s="48">
        <f t="shared" si="0"/>
        <v>32176.46</v>
      </c>
      <c r="E34" s="68">
        <f t="shared" si="2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54">
        <v>42830</v>
      </c>
      <c r="B35" s="46">
        <f t="shared" si="3"/>
        <v>30</v>
      </c>
      <c r="C35" s="47">
        <f t="shared" si="4"/>
        <v>34666</v>
      </c>
      <c r="D35" s="48">
        <f t="shared" si="0"/>
        <v>32578.67</v>
      </c>
      <c r="E35" s="68">
        <f t="shared" si="2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54">
        <v>42860</v>
      </c>
      <c r="B36" s="46">
        <f t="shared" si="3"/>
        <v>30</v>
      </c>
      <c r="C36" s="47">
        <f t="shared" si="4"/>
        <v>34666</v>
      </c>
      <c r="D36" s="48">
        <f t="shared" si="0"/>
        <v>32985.9</v>
      </c>
      <c r="E36" s="68">
        <f t="shared" si="2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54">
        <v>42891</v>
      </c>
      <c r="B37" s="46">
        <f t="shared" si="3"/>
        <v>30</v>
      </c>
      <c r="C37" s="47">
        <f t="shared" si="4"/>
        <v>34666</v>
      </c>
      <c r="D37" s="48">
        <f t="shared" si="0"/>
        <v>33398.22</v>
      </c>
      <c r="E37" s="68">
        <f t="shared" si="2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54">
        <v>42921</v>
      </c>
      <c r="B38" s="46">
        <f t="shared" si="3"/>
        <v>30</v>
      </c>
      <c r="C38" s="47">
        <f t="shared" si="4"/>
        <v>34666</v>
      </c>
      <c r="D38" s="48">
        <f t="shared" si="0"/>
        <v>33815.699999999997</v>
      </c>
      <c r="E38" s="68">
        <f t="shared" si="2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54">
        <v>42952</v>
      </c>
      <c r="B39" s="46">
        <f t="shared" si="3"/>
        <v>30</v>
      </c>
      <c r="C39" s="47">
        <f t="shared" si="4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54">
        <v>42374</v>
      </c>
      <c r="B40" s="46">
        <f>DAYS360(A19,A20,TRUE)</f>
        <v>30</v>
      </c>
      <c r="C40" s="47">
        <f t="shared" si="4"/>
        <v>34666</v>
      </c>
      <c r="D40" s="48">
        <f t="shared" ref="D40:D59" si="7">C40-E40</f>
        <v>27040.07</v>
      </c>
      <c r="E40" s="68">
        <f>ROUND(F20*$B$2*B20/360,2)</f>
        <v>7625.93</v>
      </c>
      <c r="F40" s="47">
        <f>G19</f>
        <v>610074.28999999969</v>
      </c>
      <c r="G40" s="47">
        <f t="shared" ref="G40:G59" si="8">F40-D40</f>
        <v>583034.21999999974</v>
      </c>
    </row>
    <row r="41" spans="1:7" x14ac:dyDescent="0.25">
      <c r="A41" s="54">
        <v>42405</v>
      </c>
      <c r="B41" s="46">
        <f t="shared" si="3"/>
        <v>30</v>
      </c>
      <c r="C41" s="47">
        <f>$F$1</f>
        <v>62174</v>
      </c>
      <c r="D41" s="48">
        <f t="shared" si="7"/>
        <v>13587.809999999998</v>
      </c>
      <c r="E41" s="68">
        <f>ROUND(F41*$J$1*B41/360,2)</f>
        <v>48586.19</v>
      </c>
      <c r="F41" s="47">
        <f t="shared" si="5"/>
        <v>583034.21999999974</v>
      </c>
      <c r="G41" s="47">
        <f t="shared" si="8"/>
        <v>569446.40999999968</v>
      </c>
    </row>
    <row r="42" spans="1:7" x14ac:dyDescent="0.25">
      <c r="A42" s="54">
        <v>42434</v>
      </c>
      <c r="B42" s="46">
        <f t="shared" si="3"/>
        <v>30</v>
      </c>
      <c r="C42" s="47">
        <f t="shared" ref="C42:C59" si="9">$F$1</f>
        <v>62174</v>
      </c>
      <c r="D42" s="48">
        <f t="shared" si="7"/>
        <v>14720.129999999997</v>
      </c>
      <c r="E42" s="68">
        <f t="shared" ref="E42:E58" si="10">ROUND(F42*$J$1*B42/360,2)</f>
        <v>47453.87</v>
      </c>
      <c r="F42" s="47">
        <f t="shared" si="5"/>
        <v>569446.40999999968</v>
      </c>
      <c r="G42" s="47">
        <f t="shared" si="8"/>
        <v>554726.27999999968</v>
      </c>
    </row>
    <row r="43" spans="1:7" x14ac:dyDescent="0.25">
      <c r="A43" s="54">
        <v>42465</v>
      </c>
      <c r="B43" s="46">
        <f t="shared" si="3"/>
        <v>30</v>
      </c>
      <c r="C43" s="47">
        <f t="shared" si="9"/>
        <v>62174</v>
      </c>
      <c r="D43" s="48">
        <f t="shared" si="7"/>
        <v>15946.809999999998</v>
      </c>
      <c r="E43" s="68">
        <f t="shared" si="10"/>
        <v>46227.19</v>
      </c>
      <c r="F43" s="47">
        <f t="shared" si="5"/>
        <v>554726.27999999968</v>
      </c>
      <c r="G43" s="47">
        <f t="shared" si="8"/>
        <v>538779.46999999974</v>
      </c>
    </row>
    <row r="44" spans="1:7" x14ac:dyDescent="0.25">
      <c r="A44" s="54">
        <v>42495</v>
      </c>
      <c r="B44" s="46">
        <f t="shared" si="3"/>
        <v>30</v>
      </c>
      <c r="C44" s="47">
        <f t="shared" si="9"/>
        <v>62174</v>
      </c>
      <c r="D44" s="48">
        <f t="shared" si="7"/>
        <v>17275.71</v>
      </c>
      <c r="E44" s="68">
        <f t="shared" si="10"/>
        <v>44898.29</v>
      </c>
      <c r="F44" s="47">
        <f t="shared" si="5"/>
        <v>538779.46999999974</v>
      </c>
      <c r="G44" s="47">
        <f t="shared" si="8"/>
        <v>521503.75999999972</v>
      </c>
    </row>
    <row r="45" spans="1:7" x14ac:dyDescent="0.25">
      <c r="A45" s="54">
        <v>42526</v>
      </c>
      <c r="B45" s="46">
        <f t="shared" si="3"/>
        <v>30</v>
      </c>
      <c r="C45" s="47">
        <f t="shared" si="9"/>
        <v>62174</v>
      </c>
      <c r="D45" s="48">
        <f t="shared" si="7"/>
        <v>18715.349999999999</v>
      </c>
      <c r="E45" s="68">
        <f t="shared" si="10"/>
        <v>43458.65</v>
      </c>
      <c r="F45" s="47">
        <f t="shared" si="5"/>
        <v>521503.75999999972</v>
      </c>
      <c r="G45" s="47">
        <f t="shared" si="8"/>
        <v>502788.40999999974</v>
      </c>
    </row>
    <row r="46" spans="1:7" x14ac:dyDescent="0.25">
      <c r="A46" s="54">
        <v>42556</v>
      </c>
      <c r="B46" s="46">
        <f t="shared" si="3"/>
        <v>30</v>
      </c>
      <c r="C46" s="47">
        <f t="shared" si="9"/>
        <v>62174</v>
      </c>
      <c r="D46" s="48">
        <f t="shared" si="7"/>
        <v>20274.97</v>
      </c>
      <c r="E46" s="68">
        <f t="shared" si="10"/>
        <v>41899.03</v>
      </c>
      <c r="F46" s="47">
        <f t="shared" si="5"/>
        <v>502788.40999999974</v>
      </c>
      <c r="G46" s="47">
        <f t="shared" si="8"/>
        <v>482513.43999999971</v>
      </c>
    </row>
    <row r="47" spans="1:7" x14ac:dyDescent="0.25">
      <c r="A47" s="54">
        <v>42587</v>
      </c>
      <c r="B47" s="46">
        <f t="shared" si="3"/>
        <v>30</v>
      </c>
      <c r="C47" s="47">
        <f t="shared" si="9"/>
        <v>62174</v>
      </c>
      <c r="D47" s="48">
        <f t="shared" si="7"/>
        <v>21964.550000000003</v>
      </c>
      <c r="E47" s="68">
        <f t="shared" si="10"/>
        <v>40209.449999999997</v>
      </c>
      <c r="F47" s="47">
        <f t="shared" si="5"/>
        <v>482513.43999999971</v>
      </c>
      <c r="G47" s="47">
        <f t="shared" si="8"/>
        <v>460548.88999999972</v>
      </c>
    </row>
    <row r="48" spans="1:7" x14ac:dyDescent="0.25">
      <c r="A48" s="54">
        <v>42618</v>
      </c>
      <c r="B48" s="46">
        <f t="shared" si="3"/>
        <v>30</v>
      </c>
      <c r="C48" s="47">
        <f t="shared" si="9"/>
        <v>62174</v>
      </c>
      <c r="D48" s="48">
        <f t="shared" si="7"/>
        <v>23794.93</v>
      </c>
      <c r="E48" s="68">
        <f t="shared" si="10"/>
        <v>38379.07</v>
      </c>
      <c r="F48" s="47">
        <f t="shared" si="5"/>
        <v>460548.88999999972</v>
      </c>
      <c r="G48" s="47">
        <f t="shared" si="8"/>
        <v>436753.95999999973</v>
      </c>
    </row>
    <row r="49" spans="1:7" x14ac:dyDescent="0.25">
      <c r="A49" s="54">
        <v>42648</v>
      </c>
      <c r="B49" s="46">
        <f t="shared" si="3"/>
        <v>30</v>
      </c>
      <c r="C49" s="47">
        <f t="shared" si="9"/>
        <v>62174</v>
      </c>
      <c r="D49" s="48">
        <f t="shared" si="7"/>
        <v>25777.839999999997</v>
      </c>
      <c r="E49" s="68">
        <f t="shared" si="10"/>
        <v>36396.160000000003</v>
      </c>
      <c r="F49" s="47">
        <f t="shared" si="5"/>
        <v>436753.95999999973</v>
      </c>
      <c r="G49" s="47">
        <f t="shared" si="8"/>
        <v>410976.11999999976</v>
      </c>
    </row>
    <row r="50" spans="1:7" x14ac:dyDescent="0.25">
      <c r="A50" s="54">
        <v>42679</v>
      </c>
      <c r="B50" s="46">
        <f t="shared" si="3"/>
        <v>30</v>
      </c>
      <c r="C50" s="47">
        <f t="shared" si="9"/>
        <v>62174</v>
      </c>
      <c r="D50" s="48">
        <f t="shared" si="7"/>
        <v>27925.989999999998</v>
      </c>
      <c r="E50" s="68">
        <f t="shared" si="10"/>
        <v>34248.01</v>
      </c>
      <c r="F50" s="47">
        <f t="shared" si="5"/>
        <v>410976.11999999976</v>
      </c>
      <c r="G50" s="47">
        <f t="shared" si="8"/>
        <v>383050.12999999977</v>
      </c>
    </row>
    <row r="51" spans="1:7" x14ac:dyDescent="0.25">
      <c r="A51" s="54">
        <v>42709</v>
      </c>
      <c r="B51" s="46">
        <f t="shared" si="3"/>
        <v>30</v>
      </c>
      <c r="C51" s="47">
        <f t="shared" si="9"/>
        <v>62174</v>
      </c>
      <c r="D51" s="48">
        <f t="shared" si="7"/>
        <v>30253.16</v>
      </c>
      <c r="E51" s="68">
        <f t="shared" si="10"/>
        <v>31920.84</v>
      </c>
      <c r="F51" s="47">
        <f t="shared" si="5"/>
        <v>383050.12999999977</v>
      </c>
      <c r="G51" s="47">
        <f t="shared" si="8"/>
        <v>352796.9699999998</v>
      </c>
    </row>
    <row r="52" spans="1:7" x14ac:dyDescent="0.25">
      <c r="A52" s="54">
        <v>42740</v>
      </c>
      <c r="B52" s="46">
        <f t="shared" si="3"/>
        <v>30</v>
      </c>
      <c r="C52" s="47">
        <f t="shared" si="9"/>
        <v>62174</v>
      </c>
      <c r="D52" s="48">
        <f t="shared" si="7"/>
        <v>32774.25</v>
      </c>
      <c r="E52" s="68">
        <f t="shared" si="10"/>
        <v>29399.75</v>
      </c>
      <c r="F52" s="47">
        <f t="shared" si="5"/>
        <v>352796.9699999998</v>
      </c>
      <c r="G52" s="47">
        <f t="shared" si="8"/>
        <v>320022.7199999998</v>
      </c>
    </row>
    <row r="53" spans="1:7" x14ac:dyDescent="0.25">
      <c r="A53" s="54">
        <v>42771</v>
      </c>
      <c r="B53" s="46">
        <f t="shared" si="3"/>
        <v>30</v>
      </c>
      <c r="C53" s="47">
        <f t="shared" si="9"/>
        <v>62174</v>
      </c>
      <c r="D53" s="48">
        <f t="shared" si="7"/>
        <v>35505.440000000002</v>
      </c>
      <c r="E53" s="68">
        <f t="shared" si="10"/>
        <v>26668.560000000001</v>
      </c>
      <c r="F53" s="47">
        <f t="shared" si="5"/>
        <v>320022.7199999998</v>
      </c>
      <c r="G53" s="47">
        <f t="shared" si="8"/>
        <v>284517.2799999998</v>
      </c>
    </row>
    <row r="54" spans="1:7" x14ac:dyDescent="0.25">
      <c r="A54" s="54">
        <v>42799</v>
      </c>
      <c r="B54" s="46">
        <f t="shared" si="3"/>
        <v>30</v>
      </c>
      <c r="C54" s="47">
        <f t="shared" si="9"/>
        <v>62174</v>
      </c>
      <c r="D54" s="48">
        <f t="shared" si="7"/>
        <v>38464.229999999996</v>
      </c>
      <c r="E54" s="68">
        <f t="shared" si="10"/>
        <v>23709.77</v>
      </c>
      <c r="F54" s="47">
        <f t="shared" si="5"/>
        <v>284517.2799999998</v>
      </c>
      <c r="G54" s="47">
        <f t="shared" si="8"/>
        <v>246053.04999999981</v>
      </c>
    </row>
    <row r="55" spans="1:7" x14ac:dyDescent="0.25">
      <c r="A55" s="54">
        <v>42830</v>
      </c>
      <c r="B55" s="46">
        <f t="shared" si="3"/>
        <v>30</v>
      </c>
      <c r="C55" s="47">
        <f t="shared" si="9"/>
        <v>62174</v>
      </c>
      <c r="D55" s="48">
        <f t="shared" si="7"/>
        <v>41669.58</v>
      </c>
      <c r="E55" s="68">
        <f t="shared" si="10"/>
        <v>20504.419999999998</v>
      </c>
      <c r="F55" s="47">
        <f t="shared" si="5"/>
        <v>246053.04999999981</v>
      </c>
      <c r="G55" s="47">
        <f t="shared" si="8"/>
        <v>204383.4699999998</v>
      </c>
    </row>
    <row r="56" spans="1:7" x14ac:dyDescent="0.25">
      <c r="A56" s="54">
        <v>42860</v>
      </c>
      <c r="B56" s="46">
        <f t="shared" si="3"/>
        <v>30</v>
      </c>
      <c r="C56" s="47">
        <f t="shared" si="9"/>
        <v>62174</v>
      </c>
      <c r="D56" s="48">
        <f t="shared" si="7"/>
        <v>45142.04</v>
      </c>
      <c r="E56" s="68">
        <f t="shared" si="10"/>
        <v>17031.96</v>
      </c>
      <c r="F56" s="47">
        <f t="shared" si="5"/>
        <v>204383.4699999998</v>
      </c>
      <c r="G56" s="47">
        <f t="shared" si="8"/>
        <v>159241.42999999979</v>
      </c>
    </row>
    <row r="57" spans="1:7" x14ac:dyDescent="0.25">
      <c r="A57" s="54">
        <v>42891</v>
      </c>
      <c r="B57" s="46">
        <f t="shared" si="3"/>
        <v>30</v>
      </c>
      <c r="C57" s="47">
        <f t="shared" si="9"/>
        <v>62174</v>
      </c>
      <c r="D57" s="48">
        <f t="shared" si="7"/>
        <v>48903.88</v>
      </c>
      <c r="E57" s="68">
        <f t="shared" si="10"/>
        <v>13270.12</v>
      </c>
      <c r="F57" s="47">
        <f t="shared" si="5"/>
        <v>159241.42999999979</v>
      </c>
      <c r="G57" s="47">
        <f t="shared" si="8"/>
        <v>110337.54999999978</v>
      </c>
    </row>
    <row r="58" spans="1:7" x14ac:dyDescent="0.25">
      <c r="A58" s="54">
        <v>42921</v>
      </c>
      <c r="B58" s="46">
        <f t="shared" si="3"/>
        <v>30</v>
      </c>
      <c r="C58" s="47">
        <f t="shared" si="9"/>
        <v>62174</v>
      </c>
      <c r="D58" s="48">
        <f t="shared" si="7"/>
        <v>52979.199999999997</v>
      </c>
      <c r="E58" s="68">
        <f t="shared" si="10"/>
        <v>9194.7999999999993</v>
      </c>
      <c r="F58" s="47">
        <f t="shared" si="5"/>
        <v>110337.54999999978</v>
      </c>
      <c r="G58" s="47">
        <f t="shared" si="8"/>
        <v>57358.349999999788</v>
      </c>
    </row>
    <row r="59" spans="1:7" x14ac:dyDescent="0.25">
      <c r="A59" s="54">
        <v>42952</v>
      </c>
      <c r="B59" s="46">
        <f t="shared" si="3"/>
        <v>30</v>
      </c>
      <c r="C59" s="47">
        <f t="shared" si="9"/>
        <v>62174</v>
      </c>
      <c r="D59" s="48">
        <f t="shared" si="7"/>
        <v>57358.349999999788</v>
      </c>
      <c r="E59" s="68">
        <v>4815.6500000002115</v>
      </c>
      <c r="F59" s="47">
        <f t="shared" si="5"/>
        <v>57358.349999999788</v>
      </c>
      <c r="G59" s="47">
        <f t="shared" si="8"/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788138-0764-45BC-9775-5364455B5648}">
  <dimension ref="A1:J59"/>
  <sheetViews>
    <sheetView zoomScale="85" zoomScaleNormal="90" workbookViewId="0">
      <pane ySplit="3" topLeftCell="A39" activePane="bottomLeft" state="frozen"/>
      <selection activeCell="R2" sqref="R2:R5"/>
      <selection pane="bottomLeft" activeCell="R2" sqref="R2:R5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37">
        <f>ROUNDUP(30949.5778592923,0)</f>
        <v>30950</v>
      </c>
      <c r="G1" s="28" t="s">
        <v>52</v>
      </c>
      <c r="H1" s="26">
        <v>41917</v>
      </c>
      <c r="I1" s="28" t="s">
        <v>53</v>
      </c>
      <c r="J1" s="52">
        <v>0.01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39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59" si="2">A6-A5</f>
        <v>31</v>
      </c>
      <c r="C6" s="47">
        <f t="shared" ref="C6:C40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59" si="5">G5</f>
        <v>955450.07</v>
      </c>
      <c r="G6" s="47">
        <f t="shared" ref="G6:G59" si="6">F6-D6</f>
        <v>932948.24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0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0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0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0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0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0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0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54">
        <v>42374</v>
      </c>
      <c r="B40" s="46">
        <f>A20-A19</f>
        <v>31</v>
      </c>
      <c r="C40" s="47">
        <f t="shared" si="3"/>
        <v>34674</v>
      </c>
      <c r="D40" s="48">
        <f>C40-E40</f>
        <v>26901.9</v>
      </c>
      <c r="E40" s="68">
        <f>ROUND(F20*$B$2*B20/365,2)</f>
        <v>7772.1</v>
      </c>
      <c r="F40" s="47">
        <f>G19</f>
        <v>610068.37999999989</v>
      </c>
      <c r="G40" s="47">
        <f t="shared" si="6"/>
        <v>583166.47999999986</v>
      </c>
    </row>
    <row r="41" spans="1:7" x14ac:dyDescent="0.25">
      <c r="A41" s="54">
        <v>42405</v>
      </c>
      <c r="B41" s="46">
        <f t="shared" si="2"/>
        <v>31</v>
      </c>
      <c r="C41" s="47">
        <f>$F$1</f>
        <v>30950</v>
      </c>
      <c r="D41" s="48">
        <f t="shared" ref="D41:D59" si="7">C41-E41</f>
        <v>30454.71</v>
      </c>
      <c r="E41" s="68">
        <f>ROUND(F41*$J$1*B41/365,2)</f>
        <v>495.29</v>
      </c>
      <c r="F41" s="47">
        <f t="shared" si="5"/>
        <v>583166.47999999986</v>
      </c>
      <c r="G41" s="47">
        <f t="shared" si="6"/>
        <v>552711.7699999999</v>
      </c>
    </row>
    <row r="42" spans="1:7" x14ac:dyDescent="0.25">
      <c r="A42" s="54">
        <v>42434</v>
      </c>
      <c r="B42" s="46">
        <f t="shared" si="2"/>
        <v>29</v>
      </c>
      <c r="C42" s="47">
        <f t="shared" ref="C42:C59" si="8">$F$1</f>
        <v>30950</v>
      </c>
      <c r="D42" s="48">
        <f t="shared" si="7"/>
        <v>30510.86</v>
      </c>
      <c r="E42" s="68">
        <f t="shared" ref="E42:E58" si="9">ROUND(F42*$J$1*B42/365,2)</f>
        <v>439.14</v>
      </c>
      <c r="F42" s="47">
        <f t="shared" si="5"/>
        <v>552711.7699999999</v>
      </c>
      <c r="G42" s="47">
        <f t="shared" si="6"/>
        <v>522200.90999999992</v>
      </c>
    </row>
    <row r="43" spans="1:7" x14ac:dyDescent="0.25">
      <c r="A43" s="54">
        <v>42465</v>
      </c>
      <c r="B43" s="46">
        <f t="shared" si="2"/>
        <v>31</v>
      </c>
      <c r="C43" s="47">
        <f t="shared" si="8"/>
        <v>30950</v>
      </c>
      <c r="D43" s="48">
        <f t="shared" si="7"/>
        <v>30506.49</v>
      </c>
      <c r="E43" s="68">
        <f t="shared" si="9"/>
        <v>443.51</v>
      </c>
      <c r="F43" s="47">
        <f t="shared" si="5"/>
        <v>522200.90999999992</v>
      </c>
      <c r="G43" s="47">
        <f t="shared" si="6"/>
        <v>491694.41999999993</v>
      </c>
    </row>
    <row r="44" spans="1:7" x14ac:dyDescent="0.25">
      <c r="A44" s="54">
        <v>42495</v>
      </c>
      <c r="B44" s="46">
        <f t="shared" si="2"/>
        <v>30</v>
      </c>
      <c r="C44" s="47">
        <f t="shared" si="8"/>
        <v>30950</v>
      </c>
      <c r="D44" s="48">
        <f t="shared" si="7"/>
        <v>30545.87</v>
      </c>
      <c r="E44" s="68">
        <f t="shared" si="9"/>
        <v>404.13</v>
      </c>
      <c r="F44" s="47">
        <f t="shared" si="5"/>
        <v>491694.41999999993</v>
      </c>
      <c r="G44" s="47">
        <f t="shared" si="6"/>
        <v>461148.54999999993</v>
      </c>
    </row>
    <row r="45" spans="1:7" x14ac:dyDescent="0.25">
      <c r="A45" s="54">
        <v>42526</v>
      </c>
      <c r="B45" s="46">
        <f t="shared" si="2"/>
        <v>31</v>
      </c>
      <c r="C45" s="47">
        <f t="shared" si="8"/>
        <v>30950</v>
      </c>
      <c r="D45" s="48">
        <f t="shared" si="7"/>
        <v>30558.34</v>
      </c>
      <c r="E45" s="68">
        <f t="shared" si="9"/>
        <v>391.66</v>
      </c>
      <c r="F45" s="47">
        <f t="shared" si="5"/>
        <v>461148.54999999993</v>
      </c>
      <c r="G45" s="47">
        <f t="shared" si="6"/>
        <v>430590.2099999999</v>
      </c>
    </row>
    <row r="46" spans="1:7" x14ac:dyDescent="0.25">
      <c r="A46" s="54">
        <v>42556</v>
      </c>
      <c r="B46" s="46">
        <f t="shared" si="2"/>
        <v>30</v>
      </c>
      <c r="C46" s="47">
        <f t="shared" si="8"/>
        <v>30950</v>
      </c>
      <c r="D46" s="48">
        <f t="shared" si="7"/>
        <v>30596.09</v>
      </c>
      <c r="E46" s="68">
        <f t="shared" si="9"/>
        <v>353.91</v>
      </c>
      <c r="F46" s="47">
        <f t="shared" si="5"/>
        <v>430590.2099999999</v>
      </c>
      <c r="G46" s="47">
        <f t="shared" si="6"/>
        <v>399994.11999999988</v>
      </c>
    </row>
    <row r="47" spans="1:7" x14ac:dyDescent="0.25">
      <c r="A47" s="54">
        <v>42587</v>
      </c>
      <c r="B47" s="46">
        <f t="shared" si="2"/>
        <v>31</v>
      </c>
      <c r="C47" s="47">
        <f t="shared" si="8"/>
        <v>30950</v>
      </c>
      <c r="D47" s="48">
        <f t="shared" si="7"/>
        <v>30610.28</v>
      </c>
      <c r="E47" s="68">
        <f t="shared" si="9"/>
        <v>339.72</v>
      </c>
      <c r="F47" s="47">
        <f t="shared" si="5"/>
        <v>399994.11999999988</v>
      </c>
      <c r="G47" s="47">
        <f t="shared" si="6"/>
        <v>369383.83999999985</v>
      </c>
    </row>
    <row r="48" spans="1:7" x14ac:dyDescent="0.25">
      <c r="A48" s="54">
        <v>42618</v>
      </c>
      <c r="B48" s="46">
        <f t="shared" si="2"/>
        <v>31</v>
      </c>
      <c r="C48" s="47">
        <f t="shared" si="8"/>
        <v>30950</v>
      </c>
      <c r="D48" s="48">
        <f t="shared" si="7"/>
        <v>30636.28</v>
      </c>
      <c r="E48" s="68">
        <f t="shared" si="9"/>
        <v>313.72000000000003</v>
      </c>
      <c r="F48" s="47">
        <f t="shared" si="5"/>
        <v>369383.83999999985</v>
      </c>
      <c r="G48" s="47">
        <f t="shared" si="6"/>
        <v>338747.55999999982</v>
      </c>
    </row>
    <row r="49" spans="1:7" x14ac:dyDescent="0.25">
      <c r="A49" s="54">
        <v>42648</v>
      </c>
      <c r="B49" s="46">
        <f t="shared" si="2"/>
        <v>30</v>
      </c>
      <c r="C49" s="47">
        <f t="shared" si="8"/>
        <v>30950</v>
      </c>
      <c r="D49" s="48">
        <f t="shared" si="7"/>
        <v>30671.58</v>
      </c>
      <c r="E49" s="68">
        <f t="shared" si="9"/>
        <v>278.42</v>
      </c>
      <c r="F49" s="47">
        <f t="shared" si="5"/>
        <v>338747.55999999982</v>
      </c>
      <c r="G49" s="47">
        <f t="shared" si="6"/>
        <v>308075.97999999981</v>
      </c>
    </row>
    <row r="50" spans="1:7" x14ac:dyDescent="0.25">
      <c r="A50" s="54">
        <v>42679</v>
      </c>
      <c r="B50" s="46">
        <f t="shared" si="2"/>
        <v>31</v>
      </c>
      <c r="C50" s="47">
        <f t="shared" si="8"/>
        <v>30950</v>
      </c>
      <c r="D50" s="48">
        <f t="shared" si="7"/>
        <v>30688.35</v>
      </c>
      <c r="E50" s="68">
        <f t="shared" si="9"/>
        <v>261.64999999999998</v>
      </c>
      <c r="F50" s="47">
        <f t="shared" si="5"/>
        <v>308075.97999999981</v>
      </c>
      <c r="G50" s="47">
        <f t="shared" si="6"/>
        <v>277387.62999999983</v>
      </c>
    </row>
    <row r="51" spans="1:7" x14ac:dyDescent="0.25">
      <c r="A51" s="54">
        <v>42709</v>
      </c>
      <c r="B51" s="46">
        <f t="shared" si="2"/>
        <v>30</v>
      </c>
      <c r="C51" s="47">
        <f t="shared" si="8"/>
        <v>30950</v>
      </c>
      <c r="D51" s="48">
        <f t="shared" si="7"/>
        <v>30722.01</v>
      </c>
      <c r="E51" s="68">
        <f t="shared" si="9"/>
        <v>227.99</v>
      </c>
      <c r="F51" s="47">
        <f t="shared" si="5"/>
        <v>277387.62999999983</v>
      </c>
      <c r="G51" s="47">
        <f t="shared" si="6"/>
        <v>246665.61999999982</v>
      </c>
    </row>
    <row r="52" spans="1:7" x14ac:dyDescent="0.25">
      <c r="A52" s="54">
        <v>42740</v>
      </c>
      <c r="B52" s="46">
        <f t="shared" si="2"/>
        <v>31</v>
      </c>
      <c r="C52" s="47">
        <f t="shared" si="8"/>
        <v>30950</v>
      </c>
      <c r="D52" s="48">
        <f t="shared" si="7"/>
        <v>30740.5</v>
      </c>
      <c r="E52" s="68">
        <f t="shared" si="9"/>
        <v>209.5</v>
      </c>
      <c r="F52" s="47">
        <f t="shared" si="5"/>
        <v>246665.61999999982</v>
      </c>
      <c r="G52" s="47">
        <f t="shared" si="6"/>
        <v>215925.11999999982</v>
      </c>
    </row>
    <row r="53" spans="1:7" x14ac:dyDescent="0.25">
      <c r="A53" s="54">
        <v>42771</v>
      </c>
      <c r="B53" s="46">
        <f t="shared" si="2"/>
        <v>31</v>
      </c>
      <c r="C53" s="47">
        <f t="shared" si="8"/>
        <v>30950</v>
      </c>
      <c r="D53" s="48">
        <f t="shared" si="7"/>
        <v>30766.61</v>
      </c>
      <c r="E53" s="68">
        <f t="shared" si="9"/>
        <v>183.39</v>
      </c>
      <c r="F53" s="47">
        <f t="shared" si="5"/>
        <v>215925.11999999982</v>
      </c>
      <c r="G53" s="47">
        <f t="shared" si="6"/>
        <v>185158.50999999983</v>
      </c>
    </row>
    <row r="54" spans="1:7" x14ac:dyDescent="0.25">
      <c r="A54" s="54">
        <v>42799</v>
      </c>
      <c r="B54" s="46">
        <f t="shared" si="2"/>
        <v>28</v>
      </c>
      <c r="C54" s="47">
        <f t="shared" si="8"/>
        <v>30950</v>
      </c>
      <c r="D54" s="48">
        <f t="shared" si="7"/>
        <v>30807.96</v>
      </c>
      <c r="E54" s="68">
        <f t="shared" si="9"/>
        <v>142.04</v>
      </c>
      <c r="F54" s="47">
        <f t="shared" si="5"/>
        <v>185158.50999999983</v>
      </c>
      <c r="G54" s="47">
        <f t="shared" si="6"/>
        <v>154350.54999999984</v>
      </c>
    </row>
    <row r="55" spans="1:7" x14ac:dyDescent="0.25">
      <c r="A55" s="54">
        <v>42830</v>
      </c>
      <c r="B55" s="46">
        <f t="shared" si="2"/>
        <v>31</v>
      </c>
      <c r="C55" s="47">
        <f t="shared" si="8"/>
        <v>30950</v>
      </c>
      <c r="D55" s="48">
        <f t="shared" si="7"/>
        <v>30818.91</v>
      </c>
      <c r="E55" s="68">
        <f t="shared" si="9"/>
        <v>131.09</v>
      </c>
      <c r="F55" s="47">
        <f t="shared" si="5"/>
        <v>154350.54999999984</v>
      </c>
      <c r="G55" s="47">
        <f t="shared" si="6"/>
        <v>123531.63999999984</v>
      </c>
    </row>
    <row r="56" spans="1:7" x14ac:dyDescent="0.25">
      <c r="A56" s="54">
        <v>42860</v>
      </c>
      <c r="B56" s="46">
        <f t="shared" si="2"/>
        <v>30</v>
      </c>
      <c r="C56" s="47">
        <f t="shared" si="8"/>
        <v>30950</v>
      </c>
      <c r="D56" s="48">
        <f t="shared" si="7"/>
        <v>30848.47</v>
      </c>
      <c r="E56" s="68">
        <f t="shared" si="9"/>
        <v>101.53</v>
      </c>
      <c r="F56" s="47">
        <f t="shared" si="5"/>
        <v>123531.63999999984</v>
      </c>
      <c r="G56" s="47">
        <f t="shared" si="6"/>
        <v>92683.169999999838</v>
      </c>
    </row>
    <row r="57" spans="1:7" x14ac:dyDescent="0.25">
      <c r="A57" s="54">
        <v>42891</v>
      </c>
      <c r="B57" s="46">
        <f t="shared" si="2"/>
        <v>31</v>
      </c>
      <c r="C57" s="47">
        <f t="shared" si="8"/>
        <v>30950</v>
      </c>
      <c r="D57" s="48">
        <f t="shared" si="7"/>
        <v>30871.279999999999</v>
      </c>
      <c r="E57" s="68">
        <f t="shared" si="9"/>
        <v>78.72</v>
      </c>
      <c r="F57" s="47">
        <f t="shared" si="5"/>
        <v>92683.169999999838</v>
      </c>
      <c r="G57" s="47">
        <f t="shared" si="6"/>
        <v>61811.889999999839</v>
      </c>
    </row>
    <row r="58" spans="1:7" x14ac:dyDescent="0.25">
      <c r="A58" s="54">
        <v>42921</v>
      </c>
      <c r="B58" s="46">
        <f t="shared" si="2"/>
        <v>30</v>
      </c>
      <c r="C58" s="47">
        <f t="shared" si="8"/>
        <v>30950</v>
      </c>
      <c r="D58" s="48">
        <f t="shared" si="7"/>
        <v>30899.200000000001</v>
      </c>
      <c r="E58" s="68">
        <f t="shared" si="9"/>
        <v>50.8</v>
      </c>
      <c r="F58" s="47">
        <f t="shared" si="5"/>
        <v>61811.889999999839</v>
      </c>
      <c r="G58" s="47">
        <f t="shared" si="6"/>
        <v>30912.689999999839</v>
      </c>
    </row>
    <row r="59" spans="1:7" x14ac:dyDescent="0.25">
      <c r="A59" s="54">
        <v>42952</v>
      </c>
      <c r="B59" s="46">
        <f t="shared" si="2"/>
        <v>31</v>
      </c>
      <c r="C59" s="47">
        <f t="shared" si="8"/>
        <v>30950</v>
      </c>
      <c r="D59" s="48">
        <f t="shared" si="7"/>
        <v>30912.689999999839</v>
      </c>
      <c r="E59" s="68">
        <v>37.310000000161381</v>
      </c>
      <c r="F59" s="47">
        <f t="shared" si="5"/>
        <v>30912.689999999839</v>
      </c>
      <c r="G59" s="47">
        <f t="shared" si="6"/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FEF8AD-2D5D-448E-BA9F-0A9EF0F33655}">
  <dimension ref="A1:J59"/>
  <sheetViews>
    <sheetView zoomScale="85" zoomScaleNormal="90" workbookViewId="0">
      <pane ySplit="3" topLeftCell="A41" activePane="bottomLeft" state="frozen"/>
      <selection activeCell="R2" sqref="R2:R5"/>
      <selection pane="bottomLeft" activeCell="R2" sqref="R2:R5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ROUNDUP(34665.3286111111,0)</f>
        <v>34666</v>
      </c>
      <c r="E1" s="25" t="s">
        <v>51</v>
      </c>
      <c r="F1" s="37">
        <f>ROUNDUP(30942.3673843877,0)</f>
        <v>30943</v>
      </c>
      <c r="G1" s="28" t="s">
        <v>52</v>
      </c>
      <c r="H1" s="26">
        <v>41917</v>
      </c>
      <c r="I1" s="28" t="s">
        <v>53</v>
      </c>
      <c r="J1" s="52">
        <v>0.01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5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 t="shared" ref="E5:E38" si="2"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59" si="3">DAYS360(A5,A6,TRUE)</f>
        <v>30</v>
      </c>
      <c r="C6" s="47">
        <f t="shared" ref="C6:C40" si="4">$D$1</f>
        <v>34666</v>
      </c>
      <c r="D6" s="48">
        <f t="shared" si="0"/>
        <v>22723.61</v>
      </c>
      <c r="E6" s="68">
        <f t="shared" si="2"/>
        <v>11942.39</v>
      </c>
      <c r="F6" s="47">
        <f t="shared" ref="F6:F59" si="5">G5</f>
        <v>955390.93</v>
      </c>
      <c r="G6" s="47">
        <f t="shared" ref="G6:G59" si="6">F6-D6</f>
        <v>932667.32000000007</v>
      </c>
    </row>
    <row r="7" spans="1:10" x14ac:dyDescent="0.25">
      <c r="A7" s="36">
        <v>41978</v>
      </c>
      <c r="B7" s="46">
        <f t="shared" si="3"/>
        <v>30</v>
      </c>
      <c r="C7" s="47">
        <f t="shared" si="4"/>
        <v>34666</v>
      </c>
      <c r="D7" s="48">
        <f t="shared" si="0"/>
        <v>23007.66</v>
      </c>
      <c r="E7" s="68">
        <f t="shared" si="2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3"/>
        <v>30</v>
      </c>
      <c r="C8" s="47">
        <f t="shared" si="4"/>
        <v>34666</v>
      </c>
      <c r="D8" s="48">
        <f t="shared" si="0"/>
        <v>23295.25</v>
      </c>
      <c r="E8" s="68">
        <f t="shared" si="2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3"/>
        <v>30</v>
      </c>
      <c r="C9" s="47">
        <f t="shared" si="4"/>
        <v>34666</v>
      </c>
      <c r="D9" s="48">
        <f t="shared" si="0"/>
        <v>23586.440000000002</v>
      </c>
      <c r="E9" s="68">
        <f t="shared" si="2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3"/>
        <v>30</v>
      </c>
      <c r="C10" s="47">
        <f t="shared" si="4"/>
        <v>34666</v>
      </c>
      <c r="D10" s="48">
        <f t="shared" si="0"/>
        <v>23881.279999999999</v>
      </c>
      <c r="E10" s="68">
        <f t="shared" si="2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3"/>
        <v>30</v>
      </c>
      <c r="C11" s="47">
        <f t="shared" si="4"/>
        <v>34666</v>
      </c>
      <c r="D11" s="48">
        <f t="shared" si="0"/>
        <v>24179.79</v>
      </c>
      <c r="E11" s="68">
        <f t="shared" si="2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3"/>
        <v>30</v>
      </c>
      <c r="C12" s="47">
        <f t="shared" si="4"/>
        <v>34666</v>
      </c>
      <c r="D12" s="48">
        <f t="shared" si="0"/>
        <v>24482.04</v>
      </c>
      <c r="E12" s="68">
        <f t="shared" si="2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3"/>
        <v>30</v>
      </c>
      <c r="C13" s="47">
        <f t="shared" si="4"/>
        <v>34666</v>
      </c>
      <c r="D13" s="48">
        <f t="shared" si="0"/>
        <v>24788.059999999998</v>
      </c>
      <c r="E13" s="68">
        <f t="shared" si="2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3"/>
        <v>30</v>
      </c>
      <c r="C14" s="47">
        <f t="shared" si="4"/>
        <v>34666</v>
      </c>
      <c r="D14" s="48">
        <f t="shared" si="0"/>
        <v>25097.91</v>
      </c>
      <c r="E14" s="68">
        <f t="shared" si="2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3"/>
        <v>30</v>
      </c>
      <c r="C15" s="47">
        <f t="shared" si="4"/>
        <v>34666</v>
      </c>
      <c r="D15" s="48">
        <f t="shared" si="0"/>
        <v>25411.64</v>
      </c>
      <c r="E15" s="68">
        <f t="shared" si="2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3"/>
        <v>30</v>
      </c>
      <c r="C16" s="47">
        <f t="shared" si="4"/>
        <v>34666</v>
      </c>
      <c r="D16" s="48">
        <f t="shared" si="0"/>
        <v>25729.279999999999</v>
      </c>
      <c r="E16" s="68">
        <f t="shared" si="2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34666</v>
      </c>
      <c r="D17" s="48">
        <f t="shared" si="0"/>
        <v>26050.9</v>
      </c>
      <c r="E17" s="68">
        <f t="shared" si="2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3"/>
        <v>30</v>
      </c>
      <c r="C18" s="47">
        <f t="shared" si="4"/>
        <v>34666</v>
      </c>
      <c r="D18" s="48">
        <f t="shared" si="0"/>
        <v>26376.54</v>
      </c>
      <c r="E18" s="68">
        <f t="shared" si="2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54">
        <v>42343</v>
      </c>
      <c r="B19" s="46">
        <f t="shared" si="3"/>
        <v>30</v>
      </c>
      <c r="C19" s="47">
        <f t="shared" si="4"/>
        <v>34666</v>
      </c>
      <c r="D19" s="48">
        <f t="shared" si="0"/>
        <v>26706.239999999998</v>
      </c>
      <c r="E19" s="68">
        <f t="shared" si="2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54">
        <v>42374</v>
      </c>
      <c r="B20" s="46">
        <f t="shared" si="3"/>
        <v>30</v>
      </c>
      <c r="C20" s="47">
        <f t="shared" si="4"/>
        <v>34666</v>
      </c>
      <c r="D20" s="48">
        <f t="shared" si="0"/>
        <v>27040.07</v>
      </c>
      <c r="E20" s="68">
        <f t="shared" si="2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54">
        <v>42405</v>
      </c>
      <c r="B21" s="46">
        <f t="shared" si="3"/>
        <v>30</v>
      </c>
      <c r="C21" s="47">
        <f t="shared" si="4"/>
        <v>34666</v>
      </c>
      <c r="D21" s="48">
        <f t="shared" si="0"/>
        <v>27378.07</v>
      </c>
      <c r="E21" s="68">
        <f t="shared" si="2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54">
        <v>42434</v>
      </c>
      <c r="B22" s="46">
        <f t="shared" si="3"/>
        <v>30</v>
      </c>
      <c r="C22" s="47">
        <f t="shared" si="4"/>
        <v>34666</v>
      </c>
      <c r="D22" s="48">
        <f t="shared" si="0"/>
        <v>27720.3</v>
      </c>
      <c r="E22" s="68">
        <f t="shared" si="2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54">
        <v>42465</v>
      </c>
      <c r="B23" s="46">
        <f t="shared" si="3"/>
        <v>30</v>
      </c>
      <c r="C23" s="47">
        <f t="shared" si="4"/>
        <v>34666</v>
      </c>
      <c r="D23" s="48">
        <f t="shared" si="0"/>
        <v>28066.799999999999</v>
      </c>
      <c r="E23" s="68">
        <f t="shared" si="2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54">
        <v>42495</v>
      </c>
      <c r="B24" s="46">
        <f t="shared" si="3"/>
        <v>30</v>
      </c>
      <c r="C24" s="47">
        <f t="shared" si="4"/>
        <v>34666</v>
      </c>
      <c r="D24" s="48">
        <f t="shared" si="0"/>
        <v>28417.64</v>
      </c>
      <c r="E24" s="68">
        <f t="shared" si="2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54">
        <v>42526</v>
      </c>
      <c r="B25" s="46">
        <f t="shared" si="3"/>
        <v>30</v>
      </c>
      <c r="C25" s="47">
        <f t="shared" si="4"/>
        <v>34666</v>
      </c>
      <c r="D25" s="48">
        <f t="shared" si="0"/>
        <v>28772.86</v>
      </c>
      <c r="E25" s="68">
        <f t="shared" si="2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54">
        <v>42556</v>
      </c>
      <c r="B26" s="46">
        <f t="shared" si="3"/>
        <v>30</v>
      </c>
      <c r="C26" s="47">
        <f t="shared" si="4"/>
        <v>34666</v>
      </c>
      <c r="D26" s="48">
        <f t="shared" si="0"/>
        <v>29132.52</v>
      </c>
      <c r="E26" s="68">
        <f t="shared" si="2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54">
        <v>42587</v>
      </c>
      <c r="B27" s="46">
        <f t="shared" si="3"/>
        <v>30</v>
      </c>
      <c r="C27" s="47">
        <f t="shared" si="4"/>
        <v>34666</v>
      </c>
      <c r="D27" s="48">
        <f t="shared" si="0"/>
        <v>29496.67</v>
      </c>
      <c r="E27" s="68">
        <f t="shared" si="2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54">
        <v>42618</v>
      </c>
      <c r="B28" s="46">
        <f t="shared" si="3"/>
        <v>30</v>
      </c>
      <c r="C28" s="47">
        <f t="shared" si="4"/>
        <v>34666</v>
      </c>
      <c r="D28" s="48">
        <f t="shared" si="0"/>
        <v>29865.38</v>
      </c>
      <c r="E28" s="68">
        <f t="shared" si="2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54">
        <v>42648</v>
      </c>
      <c r="B29" s="46">
        <f t="shared" si="3"/>
        <v>30</v>
      </c>
      <c r="C29" s="47">
        <f t="shared" si="4"/>
        <v>34666</v>
      </c>
      <c r="D29" s="48">
        <f t="shared" si="0"/>
        <v>30238.7</v>
      </c>
      <c r="E29" s="68">
        <f t="shared" si="2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54">
        <v>42679</v>
      </c>
      <c r="B30" s="46">
        <f t="shared" si="3"/>
        <v>30</v>
      </c>
      <c r="C30" s="47">
        <f t="shared" si="4"/>
        <v>34666</v>
      </c>
      <c r="D30" s="48">
        <f t="shared" si="0"/>
        <v>30616.68</v>
      </c>
      <c r="E30" s="68">
        <f t="shared" si="2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54">
        <v>42709</v>
      </c>
      <c r="B31" s="46">
        <f t="shared" si="3"/>
        <v>30</v>
      </c>
      <c r="C31" s="47">
        <f t="shared" si="4"/>
        <v>34666</v>
      </c>
      <c r="D31" s="48">
        <f t="shared" si="0"/>
        <v>30999.39</v>
      </c>
      <c r="E31" s="68">
        <f t="shared" si="2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54">
        <v>42740</v>
      </c>
      <c r="B32" s="46">
        <f t="shared" si="3"/>
        <v>30</v>
      </c>
      <c r="C32" s="47">
        <f t="shared" si="4"/>
        <v>34666</v>
      </c>
      <c r="D32" s="48">
        <f t="shared" si="0"/>
        <v>31386.880000000001</v>
      </c>
      <c r="E32" s="68">
        <f t="shared" si="2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54">
        <v>42771</v>
      </c>
      <c r="B33" s="46">
        <f t="shared" si="3"/>
        <v>30</v>
      </c>
      <c r="C33" s="47">
        <f t="shared" si="4"/>
        <v>34666</v>
      </c>
      <c r="D33" s="48">
        <f t="shared" si="0"/>
        <v>31779.22</v>
      </c>
      <c r="E33" s="68">
        <f t="shared" si="2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54">
        <v>42799</v>
      </c>
      <c r="B34" s="46">
        <f t="shared" si="3"/>
        <v>30</v>
      </c>
      <c r="C34" s="47">
        <f t="shared" si="4"/>
        <v>34666</v>
      </c>
      <c r="D34" s="48">
        <f t="shared" si="0"/>
        <v>32176.46</v>
      </c>
      <c r="E34" s="68">
        <f t="shared" si="2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54">
        <v>42830</v>
      </c>
      <c r="B35" s="46">
        <f t="shared" si="3"/>
        <v>30</v>
      </c>
      <c r="C35" s="47">
        <f t="shared" si="4"/>
        <v>34666</v>
      </c>
      <c r="D35" s="48">
        <f t="shared" si="0"/>
        <v>32578.67</v>
      </c>
      <c r="E35" s="68">
        <f t="shared" si="2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54">
        <v>42860</v>
      </c>
      <c r="B36" s="46">
        <f t="shared" si="3"/>
        <v>30</v>
      </c>
      <c r="C36" s="47">
        <f t="shared" si="4"/>
        <v>34666</v>
      </c>
      <c r="D36" s="48">
        <f t="shared" si="0"/>
        <v>32985.9</v>
      </c>
      <c r="E36" s="68">
        <f t="shared" si="2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54">
        <v>42891</v>
      </c>
      <c r="B37" s="46">
        <f t="shared" si="3"/>
        <v>30</v>
      </c>
      <c r="C37" s="47">
        <f t="shared" si="4"/>
        <v>34666</v>
      </c>
      <c r="D37" s="48">
        <f t="shared" si="0"/>
        <v>33398.22</v>
      </c>
      <c r="E37" s="68">
        <f t="shared" si="2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54">
        <v>42921</v>
      </c>
      <c r="B38" s="46">
        <f t="shared" si="3"/>
        <v>30</v>
      </c>
      <c r="C38" s="47">
        <f t="shared" si="4"/>
        <v>34666</v>
      </c>
      <c r="D38" s="48">
        <f t="shared" si="0"/>
        <v>33815.699999999997</v>
      </c>
      <c r="E38" s="68">
        <f t="shared" si="2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54">
        <v>42952</v>
      </c>
      <c r="B39" s="46">
        <f t="shared" si="3"/>
        <v>30</v>
      </c>
      <c r="C39" s="47">
        <f t="shared" si="4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54">
        <v>42374</v>
      </c>
      <c r="B40" s="46">
        <f>DAYS360(A19,A20,TRUE)</f>
        <v>30</v>
      </c>
      <c r="C40" s="47">
        <f t="shared" si="4"/>
        <v>34666</v>
      </c>
      <c r="D40" s="48">
        <f t="shared" si="0"/>
        <v>27040.07</v>
      </c>
      <c r="E40" s="68">
        <f>ROUND(F20*$B$2*B20/360,2)</f>
        <v>7625.93</v>
      </c>
      <c r="F40" s="47">
        <f>G19</f>
        <v>610074.28999999969</v>
      </c>
      <c r="G40" s="47">
        <f t="shared" si="6"/>
        <v>583034.21999999974</v>
      </c>
    </row>
    <row r="41" spans="1:7" x14ac:dyDescent="0.25">
      <c r="A41" s="54">
        <v>42405</v>
      </c>
      <c r="B41" s="46">
        <f t="shared" si="3"/>
        <v>30</v>
      </c>
      <c r="C41" s="47">
        <f>$F$1</f>
        <v>30943</v>
      </c>
      <c r="D41" s="48">
        <f t="shared" si="0"/>
        <v>30457.14</v>
      </c>
      <c r="E41" s="68">
        <f>ROUND(F41*$J$1*B41/360,2)</f>
        <v>485.86</v>
      </c>
      <c r="F41" s="47">
        <f t="shared" si="5"/>
        <v>583034.21999999974</v>
      </c>
      <c r="G41" s="47">
        <f t="shared" si="6"/>
        <v>552577.07999999973</v>
      </c>
    </row>
    <row r="42" spans="1:7" x14ac:dyDescent="0.25">
      <c r="A42" s="54">
        <v>42434</v>
      </c>
      <c r="B42" s="46">
        <f t="shared" si="3"/>
        <v>30</v>
      </c>
      <c r="C42" s="47">
        <f t="shared" ref="C42:C59" si="7">$F$1</f>
        <v>30943</v>
      </c>
      <c r="D42" s="48">
        <f t="shared" si="0"/>
        <v>30482.52</v>
      </c>
      <c r="E42" s="68">
        <f t="shared" ref="E42:E58" si="8">ROUND(F42*$J$1*B42/360,2)</f>
        <v>460.48</v>
      </c>
      <c r="F42" s="47">
        <f t="shared" si="5"/>
        <v>552577.07999999973</v>
      </c>
      <c r="G42" s="47">
        <f t="shared" si="6"/>
        <v>522094.55999999971</v>
      </c>
    </row>
    <row r="43" spans="1:7" x14ac:dyDescent="0.25">
      <c r="A43" s="54">
        <v>42465</v>
      </c>
      <c r="B43" s="46">
        <f t="shared" si="3"/>
        <v>30</v>
      </c>
      <c r="C43" s="47">
        <f t="shared" si="7"/>
        <v>30943</v>
      </c>
      <c r="D43" s="48">
        <f t="shared" si="0"/>
        <v>30507.919999999998</v>
      </c>
      <c r="E43" s="68">
        <f t="shared" si="8"/>
        <v>435.08</v>
      </c>
      <c r="F43" s="47">
        <f t="shared" si="5"/>
        <v>522094.55999999971</v>
      </c>
      <c r="G43" s="47">
        <f t="shared" si="6"/>
        <v>491586.63999999972</v>
      </c>
    </row>
    <row r="44" spans="1:7" x14ac:dyDescent="0.25">
      <c r="A44" s="54">
        <v>42495</v>
      </c>
      <c r="B44" s="46">
        <f t="shared" si="3"/>
        <v>30</v>
      </c>
      <c r="C44" s="47">
        <f t="shared" si="7"/>
        <v>30943</v>
      </c>
      <c r="D44" s="48">
        <f t="shared" si="0"/>
        <v>30533.34</v>
      </c>
      <c r="E44" s="68">
        <f t="shared" si="8"/>
        <v>409.66</v>
      </c>
      <c r="F44" s="47">
        <f t="shared" si="5"/>
        <v>491586.63999999972</v>
      </c>
      <c r="G44" s="47">
        <f t="shared" si="6"/>
        <v>461053.2999999997</v>
      </c>
    </row>
    <row r="45" spans="1:7" x14ac:dyDescent="0.25">
      <c r="A45" s="54">
        <v>42526</v>
      </c>
      <c r="B45" s="46">
        <f t="shared" si="3"/>
        <v>30</v>
      </c>
      <c r="C45" s="47">
        <f t="shared" si="7"/>
        <v>30943</v>
      </c>
      <c r="D45" s="48">
        <f t="shared" si="0"/>
        <v>30558.79</v>
      </c>
      <c r="E45" s="68">
        <f t="shared" si="8"/>
        <v>384.21</v>
      </c>
      <c r="F45" s="47">
        <f t="shared" si="5"/>
        <v>461053.2999999997</v>
      </c>
      <c r="G45" s="47">
        <f t="shared" si="6"/>
        <v>430494.50999999972</v>
      </c>
    </row>
    <row r="46" spans="1:7" x14ac:dyDescent="0.25">
      <c r="A46" s="54">
        <v>42556</v>
      </c>
      <c r="B46" s="46">
        <f t="shared" si="3"/>
        <v>30</v>
      </c>
      <c r="C46" s="47">
        <f t="shared" si="7"/>
        <v>30943</v>
      </c>
      <c r="D46" s="48">
        <f t="shared" si="0"/>
        <v>30584.25</v>
      </c>
      <c r="E46" s="68">
        <f t="shared" si="8"/>
        <v>358.75</v>
      </c>
      <c r="F46" s="47">
        <f t="shared" si="5"/>
        <v>430494.50999999972</v>
      </c>
      <c r="G46" s="47">
        <f t="shared" si="6"/>
        <v>399910.25999999972</v>
      </c>
    </row>
    <row r="47" spans="1:7" x14ac:dyDescent="0.25">
      <c r="A47" s="54">
        <v>42587</v>
      </c>
      <c r="B47" s="46">
        <f t="shared" si="3"/>
        <v>30</v>
      </c>
      <c r="C47" s="47">
        <f t="shared" si="7"/>
        <v>30943</v>
      </c>
      <c r="D47" s="48">
        <f t="shared" si="0"/>
        <v>30609.74</v>
      </c>
      <c r="E47" s="68">
        <f t="shared" si="8"/>
        <v>333.26</v>
      </c>
      <c r="F47" s="47">
        <f t="shared" si="5"/>
        <v>399910.25999999972</v>
      </c>
      <c r="G47" s="47">
        <f t="shared" si="6"/>
        <v>369300.51999999973</v>
      </c>
    </row>
    <row r="48" spans="1:7" x14ac:dyDescent="0.25">
      <c r="A48" s="54">
        <v>42618</v>
      </c>
      <c r="B48" s="46">
        <f t="shared" si="3"/>
        <v>30</v>
      </c>
      <c r="C48" s="47">
        <f t="shared" si="7"/>
        <v>30943</v>
      </c>
      <c r="D48" s="48">
        <f t="shared" si="0"/>
        <v>30635.25</v>
      </c>
      <c r="E48" s="68">
        <f t="shared" si="8"/>
        <v>307.75</v>
      </c>
      <c r="F48" s="47">
        <f t="shared" si="5"/>
        <v>369300.51999999973</v>
      </c>
      <c r="G48" s="47">
        <f t="shared" si="6"/>
        <v>338665.26999999973</v>
      </c>
    </row>
    <row r="49" spans="1:7" x14ac:dyDescent="0.25">
      <c r="A49" s="54">
        <v>42648</v>
      </c>
      <c r="B49" s="46">
        <f t="shared" si="3"/>
        <v>30</v>
      </c>
      <c r="C49" s="47">
        <f t="shared" si="7"/>
        <v>30943</v>
      </c>
      <c r="D49" s="48">
        <f t="shared" si="0"/>
        <v>30660.78</v>
      </c>
      <c r="E49" s="68">
        <f t="shared" si="8"/>
        <v>282.22000000000003</v>
      </c>
      <c r="F49" s="47">
        <f t="shared" si="5"/>
        <v>338665.26999999973</v>
      </c>
      <c r="G49" s="47">
        <f t="shared" si="6"/>
        <v>308004.48999999976</v>
      </c>
    </row>
    <row r="50" spans="1:7" x14ac:dyDescent="0.25">
      <c r="A50" s="54">
        <v>42679</v>
      </c>
      <c r="B50" s="46">
        <f t="shared" si="3"/>
        <v>30</v>
      </c>
      <c r="C50" s="47">
        <f t="shared" si="7"/>
        <v>30943</v>
      </c>
      <c r="D50" s="48">
        <f t="shared" si="0"/>
        <v>30686.33</v>
      </c>
      <c r="E50" s="68">
        <f t="shared" si="8"/>
        <v>256.67</v>
      </c>
      <c r="F50" s="47">
        <f t="shared" si="5"/>
        <v>308004.48999999976</v>
      </c>
      <c r="G50" s="47">
        <f t="shared" si="6"/>
        <v>277318.15999999974</v>
      </c>
    </row>
    <row r="51" spans="1:7" x14ac:dyDescent="0.25">
      <c r="A51" s="54">
        <v>42709</v>
      </c>
      <c r="B51" s="46">
        <f t="shared" si="3"/>
        <v>30</v>
      </c>
      <c r="C51" s="47">
        <f t="shared" si="7"/>
        <v>30943</v>
      </c>
      <c r="D51" s="48">
        <f t="shared" si="0"/>
        <v>30711.9</v>
      </c>
      <c r="E51" s="68">
        <f t="shared" si="8"/>
        <v>231.1</v>
      </c>
      <c r="F51" s="47">
        <f t="shared" si="5"/>
        <v>277318.15999999974</v>
      </c>
      <c r="G51" s="47">
        <f t="shared" si="6"/>
        <v>246606.25999999975</v>
      </c>
    </row>
    <row r="52" spans="1:7" x14ac:dyDescent="0.25">
      <c r="A52" s="54">
        <v>42740</v>
      </c>
      <c r="B52" s="46">
        <f t="shared" si="3"/>
        <v>30</v>
      </c>
      <c r="C52" s="47">
        <f t="shared" si="7"/>
        <v>30943</v>
      </c>
      <c r="D52" s="48">
        <f t="shared" si="0"/>
        <v>30737.49</v>
      </c>
      <c r="E52" s="68">
        <f t="shared" si="8"/>
        <v>205.51</v>
      </c>
      <c r="F52" s="47">
        <f t="shared" si="5"/>
        <v>246606.25999999975</v>
      </c>
      <c r="G52" s="47">
        <f t="shared" si="6"/>
        <v>215868.76999999976</v>
      </c>
    </row>
    <row r="53" spans="1:7" x14ac:dyDescent="0.25">
      <c r="A53" s="54">
        <v>42771</v>
      </c>
      <c r="B53" s="46">
        <f t="shared" si="3"/>
        <v>30</v>
      </c>
      <c r="C53" s="47">
        <f t="shared" si="7"/>
        <v>30943</v>
      </c>
      <c r="D53" s="48">
        <f t="shared" si="0"/>
        <v>30763.11</v>
      </c>
      <c r="E53" s="68">
        <f t="shared" si="8"/>
        <v>179.89</v>
      </c>
      <c r="F53" s="47">
        <f t="shared" si="5"/>
        <v>215868.76999999976</v>
      </c>
      <c r="G53" s="47">
        <f t="shared" si="6"/>
        <v>185105.65999999974</v>
      </c>
    </row>
    <row r="54" spans="1:7" x14ac:dyDescent="0.25">
      <c r="A54" s="54">
        <v>42799</v>
      </c>
      <c r="B54" s="46">
        <f t="shared" si="3"/>
        <v>30</v>
      </c>
      <c r="C54" s="47">
        <f t="shared" si="7"/>
        <v>30943</v>
      </c>
      <c r="D54" s="48">
        <f t="shared" si="0"/>
        <v>30788.75</v>
      </c>
      <c r="E54" s="68">
        <f t="shared" si="8"/>
        <v>154.25</v>
      </c>
      <c r="F54" s="47">
        <f t="shared" si="5"/>
        <v>185105.65999999974</v>
      </c>
      <c r="G54" s="47">
        <f t="shared" si="6"/>
        <v>154316.90999999974</v>
      </c>
    </row>
    <row r="55" spans="1:7" x14ac:dyDescent="0.25">
      <c r="A55" s="54">
        <v>42830</v>
      </c>
      <c r="B55" s="46">
        <f t="shared" si="3"/>
        <v>30</v>
      </c>
      <c r="C55" s="47">
        <f t="shared" si="7"/>
        <v>30943</v>
      </c>
      <c r="D55" s="48">
        <f t="shared" si="0"/>
        <v>30814.400000000001</v>
      </c>
      <c r="E55" s="68">
        <f t="shared" si="8"/>
        <v>128.6</v>
      </c>
      <c r="F55" s="47">
        <f t="shared" si="5"/>
        <v>154316.90999999974</v>
      </c>
      <c r="G55" s="47">
        <f t="shared" si="6"/>
        <v>123502.50999999975</v>
      </c>
    </row>
    <row r="56" spans="1:7" x14ac:dyDescent="0.25">
      <c r="A56" s="54">
        <v>42860</v>
      </c>
      <c r="B56" s="46">
        <f t="shared" si="3"/>
        <v>30</v>
      </c>
      <c r="C56" s="47">
        <f t="shared" si="7"/>
        <v>30943</v>
      </c>
      <c r="D56" s="48">
        <f t="shared" si="0"/>
        <v>30840.080000000002</v>
      </c>
      <c r="E56" s="68">
        <f t="shared" si="8"/>
        <v>102.92</v>
      </c>
      <c r="F56" s="47">
        <f t="shared" si="5"/>
        <v>123502.50999999975</v>
      </c>
      <c r="G56" s="47">
        <f t="shared" si="6"/>
        <v>92662.429999999746</v>
      </c>
    </row>
    <row r="57" spans="1:7" x14ac:dyDescent="0.25">
      <c r="A57" s="54">
        <v>42891</v>
      </c>
      <c r="B57" s="46">
        <f t="shared" si="3"/>
        <v>30</v>
      </c>
      <c r="C57" s="47">
        <f t="shared" si="7"/>
        <v>30943</v>
      </c>
      <c r="D57" s="48">
        <f t="shared" si="0"/>
        <v>30865.78</v>
      </c>
      <c r="E57" s="68">
        <f t="shared" si="8"/>
        <v>77.22</v>
      </c>
      <c r="F57" s="47">
        <f t="shared" si="5"/>
        <v>92662.429999999746</v>
      </c>
      <c r="G57" s="47">
        <f t="shared" si="6"/>
        <v>61796.649999999747</v>
      </c>
    </row>
    <row r="58" spans="1:7" x14ac:dyDescent="0.25">
      <c r="A58" s="54">
        <v>42921</v>
      </c>
      <c r="B58" s="46">
        <f t="shared" si="3"/>
        <v>30</v>
      </c>
      <c r="C58" s="47">
        <f t="shared" si="7"/>
        <v>30943</v>
      </c>
      <c r="D58" s="48">
        <f t="shared" si="0"/>
        <v>30891.5</v>
      </c>
      <c r="E58" s="68">
        <f t="shared" si="8"/>
        <v>51.5</v>
      </c>
      <c r="F58" s="47">
        <f t="shared" si="5"/>
        <v>61796.649999999747</v>
      </c>
      <c r="G58" s="47">
        <f t="shared" si="6"/>
        <v>30905.149999999747</v>
      </c>
    </row>
    <row r="59" spans="1:7" x14ac:dyDescent="0.25">
      <c r="A59" s="54">
        <v>42952</v>
      </c>
      <c r="B59" s="46">
        <f t="shared" si="3"/>
        <v>30</v>
      </c>
      <c r="C59" s="47">
        <f t="shared" si="7"/>
        <v>30943</v>
      </c>
      <c r="D59" s="48">
        <f t="shared" si="0"/>
        <v>30905.149999999747</v>
      </c>
      <c r="E59" s="68">
        <v>37.850000000253203</v>
      </c>
      <c r="F59" s="47">
        <f t="shared" si="5"/>
        <v>30905.149999999747</v>
      </c>
      <c r="G59" s="47">
        <f t="shared" si="6"/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3D3B84-EFE7-4320-87DA-0C9BA25AE828}">
  <dimension ref="A1:R5"/>
  <sheetViews>
    <sheetView workbookViewId="0">
      <selection activeCell="A10" sqref="A10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43.425781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95</v>
      </c>
      <c r="P2" s="20" t="s">
        <v>21</v>
      </c>
      <c r="Q2" s="20" t="s">
        <v>79</v>
      </c>
      <c r="R2" s="50" t="s">
        <v>96</v>
      </c>
    </row>
    <row r="3" spans="1:18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95</v>
      </c>
      <c r="P3" s="20" t="s">
        <v>21</v>
      </c>
      <c r="Q3" s="20" t="s">
        <v>79</v>
      </c>
      <c r="R3" s="50" t="s">
        <v>97</v>
      </c>
    </row>
    <row r="4" spans="1:18" x14ac:dyDescent="0.25">
      <c r="A4" s="12" t="s">
        <v>0</v>
      </c>
      <c r="B4" s="7" t="s">
        <v>9</v>
      </c>
      <c r="C4" s="7" t="s">
        <v>76</v>
      </c>
      <c r="D4" s="8" t="s">
        <v>77</v>
      </c>
      <c r="E4" s="8" t="s">
        <v>23</v>
      </c>
      <c r="F4" s="8" t="s">
        <v>41</v>
      </c>
      <c r="G4" s="9" t="s">
        <v>24</v>
      </c>
      <c r="H4" s="9" t="s">
        <v>13</v>
      </c>
      <c r="I4" s="9" t="s">
        <v>29</v>
      </c>
      <c r="J4" s="9" t="s">
        <v>42</v>
      </c>
      <c r="K4" s="9" t="s">
        <v>25</v>
      </c>
      <c r="L4" s="9" t="s">
        <v>26</v>
      </c>
      <c r="M4" s="9" t="s">
        <v>27</v>
      </c>
      <c r="N4" s="20" t="s">
        <v>29</v>
      </c>
      <c r="O4" s="20" t="s">
        <v>95</v>
      </c>
      <c r="P4" s="20" t="s">
        <v>21</v>
      </c>
      <c r="Q4" s="20" t="s">
        <v>79</v>
      </c>
      <c r="R4" s="50" t="s">
        <v>98</v>
      </c>
    </row>
    <row r="5" spans="1:18" x14ac:dyDescent="0.25">
      <c r="A5" s="12" t="s">
        <v>0</v>
      </c>
      <c r="B5" s="7" t="s">
        <v>9</v>
      </c>
      <c r="C5" s="7" t="s">
        <v>76</v>
      </c>
      <c r="D5" s="8" t="s">
        <v>77</v>
      </c>
      <c r="E5" s="8" t="s">
        <v>23</v>
      </c>
      <c r="F5" s="8" t="s">
        <v>41</v>
      </c>
      <c r="G5" s="9" t="s">
        <v>24</v>
      </c>
      <c r="H5" s="9" t="s">
        <v>13</v>
      </c>
      <c r="I5" s="9" t="s">
        <v>29</v>
      </c>
      <c r="J5" s="9" t="s">
        <v>42</v>
      </c>
      <c r="K5" s="9" t="s">
        <v>31</v>
      </c>
      <c r="L5" s="9" t="s">
        <v>26</v>
      </c>
      <c r="M5" s="9" t="s">
        <v>27</v>
      </c>
      <c r="N5" s="20" t="s">
        <v>29</v>
      </c>
      <c r="O5" s="20" t="s">
        <v>95</v>
      </c>
      <c r="P5" s="20" t="s">
        <v>21</v>
      </c>
      <c r="Q5" s="20" t="s">
        <v>79</v>
      </c>
      <c r="R5" s="50" t="s">
        <v>99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B3A6A3-282C-45BE-8BDC-260A335E9B42}">
  <dimension ref="A1:J75"/>
  <sheetViews>
    <sheetView zoomScale="85" zoomScaleNormal="90" workbookViewId="0">
      <pane ySplit="3" topLeftCell="A5" activePane="bottomLeft" state="frozen"/>
      <selection activeCell="R4" sqref="R4"/>
      <selection pane="bottomLeft" activeCell="R4" sqref="R4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37">
        <f>ROUNDUP(37108.7649293766,0)</f>
        <v>37109</v>
      </c>
      <c r="G1" s="28" t="s">
        <v>52</v>
      </c>
      <c r="H1" s="26">
        <v>41887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39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69" si="2">A6-A5</f>
        <v>31</v>
      </c>
      <c r="C6" s="47">
        <f t="shared" ref="C6:C40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59" si="5">G5</f>
        <v>955450.07</v>
      </c>
      <c r="G6" s="47">
        <f t="shared" ref="G6:G59" si="6">F6-D6</f>
        <v>932948.24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0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0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0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0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0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0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0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36">
        <v>41887</v>
      </c>
      <c r="B40" s="46">
        <f>A4-B1</f>
        <v>31</v>
      </c>
      <c r="C40" s="47">
        <f t="shared" si="3"/>
        <v>34674</v>
      </c>
      <c r="D40" s="48">
        <f>C40-E40</f>
        <v>21934.27</v>
      </c>
      <c r="E40" s="68">
        <f>ROUND(F4*$B$2*B4/365,2)</f>
        <v>12739.73</v>
      </c>
      <c r="F40" s="47">
        <f>F4</f>
        <v>1000000</v>
      </c>
      <c r="G40" s="47">
        <f t="shared" si="6"/>
        <v>978065.73</v>
      </c>
    </row>
    <row r="41" spans="1:7" x14ac:dyDescent="0.25">
      <c r="A41" s="36">
        <v>41917</v>
      </c>
      <c r="B41" s="46">
        <f t="shared" si="2"/>
        <v>30</v>
      </c>
      <c r="C41" s="47">
        <f>$F$1</f>
        <v>37109</v>
      </c>
      <c r="D41" s="48">
        <f t="shared" ref="D41:D75" si="7">C41-E41</f>
        <v>21031.21</v>
      </c>
      <c r="E41" s="68">
        <f>ROUND(F41*$J$1*B41/365,2)</f>
        <v>16077.79</v>
      </c>
      <c r="F41" s="47">
        <f t="shared" si="5"/>
        <v>978065.73</v>
      </c>
      <c r="G41" s="47">
        <f t="shared" si="6"/>
        <v>957034.52</v>
      </c>
    </row>
    <row r="42" spans="1:7" x14ac:dyDescent="0.25">
      <c r="A42" s="36">
        <v>41948</v>
      </c>
      <c r="B42" s="46">
        <f t="shared" si="2"/>
        <v>31</v>
      </c>
      <c r="C42" s="47">
        <f t="shared" ref="C42:C75" si="8">$F$1</f>
        <v>37109</v>
      </c>
      <c r="D42" s="48">
        <f t="shared" si="7"/>
        <v>20852.52</v>
      </c>
      <c r="E42" s="68">
        <f t="shared" ref="E42:E74" si="9">ROUND(F42*$J$1*B42/365,2)</f>
        <v>16256.48</v>
      </c>
      <c r="F42" s="47">
        <f t="shared" si="5"/>
        <v>957034.52</v>
      </c>
      <c r="G42" s="47">
        <f t="shared" si="6"/>
        <v>936182</v>
      </c>
    </row>
    <row r="43" spans="1:7" x14ac:dyDescent="0.25">
      <c r="A43" s="36">
        <v>41978</v>
      </c>
      <c r="B43" s="46">
        <f t="shared" si="2"/>
        <v>30</v>
      </c>
      <c r="C43" s="47">
        <f t="shared" si="8"/>
        <v>37109</v>
      </c>
      <c r="D43" s="48">
        <f t="shared" si="7"/>
        <v>21719.71</v>
      </c>
      <c r="E43" s="68">
        <f t="shared" si="9"/>
        <v>15389.29</v>
      </c>
      <c r="F43" s="47">
        <f t="shared" si="5"/>
        <v>936182</v>
      </c>
      <c r="G43" s="47">
        <f t="shared" si="6"/>
        <v>914462.29</v>
      </c>
    </row>
    <row r="44" spans="1:7" x14ac:dyDescent="0.25">
      <c r="A44" s="36">
        <v>42009</v>
      </c>
      <c r="B44" s="46">
        <f t="shared" si="2"/>
        <v>31</v>
      </c>
      <c r="C44" s="47">
        <f t="shared" si="8"/>
        <v>37109</v>
      </c>
      <c r="D44" s="48">
        <f t="shared" si="7"/>
        <v>21575.67</v>
      </c>
      <c r="E44" s="68">
        <f t="shared" si="9"/>
        <v>15533.33</v>
      </c>
      <c r="F44" s="47">
        <f t="shared" si="5"/>
        <v>914462.29</v>
      </c>
      <c r="G44" s="47">
        <f t="shared" si="6"/>
        <v>892886.62</v>
      </c>
    </row>
    <row r="45" spans="1:7" x14ac:dyDescent="0.25">
      <c r="A45" s="36">
        <v>42040</v>
      </c>
      <c r="B45" s="46">
        <f t="shared" si="2"/>
        <v>31</v>
      </c>
      <c r="C45" s="47">
        <f t="shared" si="8"/>
        <v>37109</v>
      </c>
      <c r="D45" s="48">
        <f t="shared" si="7"/>
        <v>21942.16</v>
      </c>
      <c r="E45" s="68">
        <f t="shared" si="9"/>
        <v>15166.84</v>
      </c>
      <c r="F45" s="47">
        <f t="shared" si="5"/>
        <v>892886.62</v>
      </c>
      <c r="G45" s="47">
        <f t="shared" si="6"/>
        <v>870944.46</v>
      </c>
    </row>
    <row r="46" spans="1:7" x14ac:dyDescent="0.25">
      <c r="A46" s="36">
        <v>42068</v>
      </c>
      <c r="B46" s="46">
        <f t="shared" si="2"/>
        <v>28</v>
      </c>
      <c r="C46" s="47">
        <f t="shared" si="8"/>
        <v>37109</v>
      </c>
      <c r="D46" s="48">
        <f t="shared" si="7"/>
        <v>23746.559999999998</v>
      </c>
      <c r="E46" s="68">
        <f t="shared" si="9"/>
        <v>13362.44</v>
      </c>
      <c r="F46" s="47">
        <f t="shared" si="5"/>
        <v>870944.46</v>
      </c>
      <c r="G46" s="47">
        <f t="shared" si="6"/>
        <v>847197.89999999991</v>
      </c>
    </row>
    <row r="47" spans="1:7" x14ac:dyDescent="0.25">
      <c r="A47" s="36">
        <v>42099</v>
      </c>
      <c r="B47" s="46">
        <f t="shared" si="2"/>
        <v>31</v>
      </c>
      <c r="C47" s="47">
        <f t="shared" si="8"/>
        <v>37109</v>
      </c>
      <c r="D47" s="48">
        <f t="shared" si="7"/>
        <v>22718.239999999998</v>
      </c>
      <c r="E47" s="68">
        <f t="shared" si="9"/>
        <v>14390.76</v>
      </c>
      <c r="F47" s="47">
        <f t="shared" si="5"/>
        <v>847197.89999999991</v>
      </c>
      <c r="G47" s="47">
        <f t="shared" si="6"/>
        <v>824479.65999999992</v>
      </c>
    </row>
    <row r="48" spans="1:7" x14ac:dyDescent="0.25">
      <c r="A48" s="36">
        <v>42129</v>
      </c>
      <c r="B48" s="46">
        <f t="shared" si="2"/>
        <v>30</v>
      </c>
      <c r="C48" s="47">
        <f t="shared" si="8"/>
        <v>37109</v>
      </c>
      <c r="D48" s="48">
        <f t="shared" si="7"/>
        <v>23555.91</v>
      </c>
      <c r="E48" s="68">
        <f t="shared" si="9"/>
        <v>13553.09</v>
      </c>
      <c r="F48" s="47">
        <f t="shared" si="5"/>
        <v>824479.65999999992</v>
      </c>
      <c r="G48" s="47">
        <f t="shared" si="6"/>
        <v>800923.74999999988</v>
      </c>
    </row>
    <row r="49" spans="1:7" x14ac:dyDescent="0.25">
      <c r="A49" s="36">
        <v>42160</v>
      </c>
      <c r="B49" s="46">
        <f t="shared" si="2"/>
        <v>31</v>
      </c>
      <c r="C49" s="47">
        <f t="shared" si="8"/>
        <v>37109</v>
      </c>
      <c r="D49" s="48">
        <f t="shared" si="7"/>
        <v>23504.27</v>
      </c>
      <c r="E49" s="68">
        <f t="shared" si="9"/>
        <v>13604.73</v>
      </c>
      <c r="F49" s="47">
        <f t="shared" si="5"/>
        <v>800923.74999999988</v>
      </c>
      <c r="G49" s="47">
        <f t="shared" si="6"/>
        <v>777419.47999999986</v>
      </c>
    </row>
    <row r="50" spans="1:7" x14ac:dyDescent="0.25">
      <c r="A50" s="36">
        <v>42190</v>
      </c>
      <c r="B50" s="46">
        <f t="shared" si="2"/>
        <v>30</v>
      </c>
      <c r="C50" s="47">
        <f t="shared" si="8"/>
        <v>37109</v>
      </c>
      <c r="D50" s="48">
        <f t="shared" si="7"/>
        <v>24329.5</v>
      </c>
      <c r="E50" s="68">
        <f t="shared" si="9"/>
        <v>12779.5</v>
      </c>
      <c r="F50" s="47">
        <f t="shared" si="5"/>
        <v>777419.47999999986</v>
      </c>
      <c r="G50" s="47">
        <f t="shared" si="6"/>
        <v>753089.97999999986</v>
      </c>
    </row>
    <row r="51" spans="1:7" x14ac:dyDescent="0.25">
      <c r="A51" s="36">
        <v>42221</v>
      </c>
      <c r="B51" s="46">
        <f t="shared" si="2"/>
        <v>31</v>
      </c>
      <c r="C51" s="47">
        <f t="shared" si="8"/>
        <v>37109</v>
      </c>
      <c r="D51" s="48">
        <f t="shared" si="7"/>
        <v>24316.79</v>
      </c>
      <c r="E51" s="68">
        <f t="shared" si="9"/>
        <v>12792.21</v>
      </c>
      <c r="F51" s="47">
        <f t="shared" si="5"/>
        <v>753089.97999999986</v>
      </c>
      <c r="G51" s="47">
        <f t="shared" si="6"/>
        <v>728773.18999999983</v>
      </c>
    </row>
    <row r="52" spans="1:7" x14ac:dyDescent="0.25">
      <c r="A52" s="36">
        <v>42252</v>
      </c>
      <c r="B52" s="46">
        <f t="shared" si="2"/>
        <v>31</v>
      </c>
      <c r="C52" s="47">
        <f t="shared" si="8"/>
        <v>37109</v>
      </c>
      <c r="D52" s="48">
        <f t="shared" si="7"/>
        <v>24729.84</v>
      </c>
      <c r="E52" s="68">
        <f t="shared" si="9"/>
        <v>12379.16</v>
      </c>
      <c r="F52" s="47">
        <f t="shared" si="5"/>
        <v>728773.18999999983</v>
      </c>
      <c r="G52" s="47">
        <f t="shared" si="6"/>
        <v>704043.34999999986</v>
      </c>
    </row>
    <row r="53" spans="1:7" x14ac:dyDescent="0.25">
      <c r="A53" s="36">
        <v>42282</v>
      </c>
      <c r="B53" s="46">
        <f t="shared" si="2"/>
        <v>30</v>
      </c>
      <c r="C53" s="47">
        <f t="shared" si="8"/>
        <v>37109</v>
      </c>
      <c r="D53" s="48">
        <f t="shared" si="7"/>
        <v>25535.68</v>
      </c>
      <c r="E53" s="68">
        <f t="shared" si="9"/>
        <v>11573.32</v>
      </c>
      <c r="F53" s="47">
        <f t="shared" si="5"/>
        <v>704043.34999999986</v>
      </c>
      <c r="G53" s="47">
        <f t="shared" si="6"/>
        <v>678507.66999999981</v>
      </c>
    </row>
    <row r="54" spans="1:7" x14ac:dyDescent="0.25">
      <c r="A54" s="36">
        <v>42313</v>
      </c>
      <c r="B54" s="46">
        <f t="shared" si="2"/>
        <v>31</v>
      </c>
      <c r="C54" s="47">
        <f t="shared" si="8"/>
        <v>37109</v>
      </c>
      <c r="D54" s="48">
        <f t="shared" si="7"/>
        <v>25583.66</v>
      </c>
      <c r="E54" s="68">
        <f t="shared" si="9"/>
        <v>11525.34</v>
      </c>
      <c r="F54" s="47">
        <f t="shared" si="5"/>
        <v>678507.66999999981</v>
      </c>
      <c r="G54" s="47">
        <f t="shared" si="6"/>
        <v>652924.00999999978</v>
      </c>
    </row>
    <row r="55" spans="1:7" x14ac:dyDescent="0.25">
      <c r="A55" s="54">
        <v>42343</v>
      </c>
      <c r="B55" s="46">
        <f t="shared" si="2"/>
        <v>30</v>
      </c>
      <c r="C55" s="47">
        <f t="shared" si="8"/>
        <v>37109</v>
      </c>
      <c r="D55" s="48">
        <f t="shared" si="7"/>
        <v>26376</v>
      </c>
      <c r="E55" s="68">
        <f t="shared" si="9"/>
        <v>10733</v>
      </c>
      <c r="F55" s="47">
        <f t="shared" si="5"/>
        <v>652924.00999999978</v>
      </c>
      <c r="G55" s="47">
        <f t="shared" si="6"/>
        <v>626548.00999999978</v>
      </c>
    </row>
    <row r="56" spans="1:7" x14ac:dyDescent="0.25">
      <c r="A56" s="54">
        <v>42374</v>
      </c>
      <c r="B56" s="46">
        <f t="shared" si="2"/>
        <v>31</v>
      </c>
      <c r="C56" s="47">
        <f t="shared" si="8"/>
        <v>37109</v>
      </c>
      <c r="D56" s="48">
        <f t="shared" si="7"/>
        <v>26466.27</v>
      </c>
      <c r="E56" s="68">
        <f t="shared" si="9"/>
        <v>10642.73</v>
      </c>
      <c r="F56" s="47">
        <f t="shared" si="5"/>
        <v>626548.00999999978</v>
      </c>
      <c r="G56" s="47">
        <f t="shared" si="6"/>
        <v>600081.73999999976</v>
      </c>
    </row>
    <row r="57" spans="1:7" x14ac:dyDescent="0.25">
      <c r="A57" s="54">
        <v>42405</v>
      </c>
      <c r="B57" s="46">
        <f t="shared" si="2"/>
        <v>31</v>
      </c>
      <c r="C57" s="47">
        <f t="shared" si="8"/>
        <v>37109</v>
      </c>
      <c r="D57" s="48">
        <f t="shared" si="7"/>
        <v>26915.83</v>
      </c>
      <c r="E57" s="68">
        <f t="shared" si="9"/>
        <v>10193.17</v>
      </c>
      <c r="F57" s="47">
        <f t="shared" si="5"/>
        <v>600081.73999999976</v>
      </c>
      <c r="G57" s="47">
        <f t="shared" si="6"/>
        <v>573165.9099999998</v>
      </c>
    </row>
    <row r="58" spans="1:7" x14ac:dyDescent="0.25">
      <c r="A58" s="54">
        <v>42434</v>
      </c>
      <c r="B58" s="46">
        <f t="shared" si="2"/>
        <v>29</v>
      </c>
      <c r="C58" s="47">
        <f t="shared" si="8"/>
        <v>37109</v>
      </c>
      <c r="D58" s="48">
        <f t="shared" si="7"/>
        <v>28001.16</v>
      </c>
      <c r="E58" s="68">
        <f t="shared" si="9"/>
        <v>9107.84</v>
      </c>
      <c r="F58" s="47">
        <f t="shared" si="5"/>
        <v>573165.9099999998</v>
      </c>
      <c r="G58" s="47">
        <f t="shared" si="6"/>
        <v>545164.74999999977</v>
      </c>
    </row>
    <row r="59" spans="1:7" x14ac:dyDescent="0.25">
      <c r="A59" s="54">
        <v>42465</v>
      </c>
      <c r="B59" s="46">
        <f t="shared" si="2"/>
        <v>31</v>
      </c>
      <c r="C59" s="47">
        <f t="shared" si="8"/>
        <v>37109</v>
      </c>
      <c r="D59" s="48">
        <f t="shared" si="7"/>
        <v>27848.67</v>
      </c>
      <c r="E59" s="68">
        <f t="shared" si="9"/>
        <v>9260.33</v>
      </c>
      <c r="F59" s="47">
        <f t="shared" si="5"/>
        <v>545164.74999999977</v>
      </c>
      <c r="G59" s="47">
        <f t="shared" si="6"/>
        <v>517316.07999999978</v>
      </c>
    </row>
    <row r="60" spans="1:7" x14ac:dyDescent="0.25">
      <c r="A60" s="54">
        <v>42495</v>
      </c>
      <c r="B60" s="46">
        <f t="shared" si="2"/>
        <v>30</v>
      </c>
      <c r="C60" s="47">
        <f>$F$1</f>
        <v>37109</v>
      </c>
      <c r="D60" s="48">
        <f t="shared" si="7"/>
        <v>28605.17</v>
      </c>
      <c r="E60" s="68">
        <f t="shared" si="9"/>
        <v>8503.83</v>
      </c>
      <c r="F60" s="47">
        <f t="shared" ref="F60:F75" si="10">G59</f>
        <v>517316.07999999978</v>
      </c>
      <c r="G60" s="47">
        <f t="shared" ref="G60:G75" si="11">F60-D60</f>
        <v>488710.9099999998</v>
      </c>
    </row>
    <row r="61" spans="1:7" x14ac:dyDescent="0.25">
      <c r="A61" s="54">
        <v>42526</v>
      </c>
      <c r="B61" s="46">
        <f t="shared" si="2"/>
        <v>31</v>
      </c>
      <c r="C61" s="47">
        <f t="shared" si="8"/>
        <v>37109</v>
      </c>
      <c r="D61" s="48">
        <f t="shared" si="7"/>
        <v>28807.61</v>
      </c>
      <c r="E61" s="68">
        <f t="shared" si="9"/>
        <v>8301.39</v>
      </c>
      <c r="F61" s="47">
        <f t="shared" si="10"/>
        <v>488710.9099999998</v>
      </c>
      <c r="G61" s="47">
        <f t="shared" si="11"/>
        <v>459903.29999999981</v>
      </c>
    </row>
    <row r="62" spans="1:7" x14ac:dyDescent="0.25">
      <c r="A62" s="54">
        <v>42556</v>
      </c>
      <c r="B62" s="46">
        <f t="shared" si="2"/>
        <v>30</v>
      </c>
      <c r="C62" s="47">
        <f t="shared" si="8"/>
        <v>37109</v>
      </c>
      <c r="D62" s="48">
        <f t="shared" si="7"/>
        <v>29548.95</v>
      </c>
      <c r="E62" s="68">
        <f t="shared" si="9"/>
        <v>7560.05</v>
      </c>
      <c r="F62" s="47">
        <f t="shared" si="10"/>
        <v>459903.29999999981</v>
      </c>
      <c r="G62" s="47">
        <f t="shared" si="11"/>
        <v>430354.3499999998</v>
      </c>
    </row>
    <row r="63" spans="1:7" x14ac:dyDescent="0.25">
      <c r="A63" s="54">
        <v>42587</v>
      </c>
      <c r="B63" s="46">
        <f t="shared" si="2"/>
        <v>31</v>
      </c>
      <c r="C63" s="47">
        <f t="shared" si="8"/>
        <v>37109</v>
      </c>
      <c r="D63" s="48">
        <f t="shared" si="7"/>
        <v>29798.87</v>
      </c>
      <c r="E63" s="68">
        <f t="shared" si="9"/>
        <v>7310.13</v>
      </c>
      <c r="F63" s="47">
        <f t="shared" si="10"/>
        <v>430354.3499999998</v>
      </c>
      <c r="G63" s="47">
        <f t="shared" si="11"/>
        <v>400555.47999999981</v>
      </c>
    </row>
    <row r="64" spans="1:7" x14ac:dyDescent="0.25">
      <c r="A64" s="54">
        <v>42618</v>
      </c>
      <c r="B64" s="46">
        <f t="shared" si="2"/>
        <v>31</v>
      </c>
      <c r="C64" s="47">
        <f t="shared" si="8"/>
        <v>37109</v>
      </c>
      <c r="D64" s="48">
        <f t="shared" si="7"/>
        <v>30305.040000000001</v>
      </c>
      <c r="E64" s="68">
        <f t="shared" si="9"/>
        <v>6803.96</v>
      </c>
      <c r="F64" s="47">
        <f t="shared" si="10"/>
        <v>400555.47999999981</v>
      </c>
      <c r="G64" s="47">
        <f t="shared" si="11"/>
        <v>370250.43999999983</v>
      </c>
    </row>
    <row r="65" spans="1:7" x14ac:dyDescent="0.25">
      <c r="A65" s="54">
        <v>42648</v>
      </c>
      <c r="B65" s="46">
        <f t="shared" si="2"/>
        <v>30</v>
      </c>
      <c r="C65" s="47">
        <f t="shared" si="8"/>
        <v>37109</v>
      </c>
      <c r="D65" s="48">
        <f t="shared" si="7"/>
        <v>31022.69</v>
      </c>
      <c r="E65" s="68">
        <f t="shared" si="9"/>
        <v>6086.31</v>
      </c>
      <c r="F65" s="47">
        <f t="shared" si="10"/>
        <v>370250.43999999983</v>
      </c>
      <c r="G65" s="47">
        <f t="shared" si="11"/>
        <v>339227.74999999983</v>
      </c>
    </row>
    <row r="66" spans="1:7" x14ac:dyDescent="0.25">
      <c r="A66" s="54">
        <v>42679</v>
      </c>
      <c r="B66" s="46">
        <f t="shared" si="2"/>
        <v>31</v>
      </c>
      <c r="C66" s="47">
        <f t="shared" si="8"/>
        <v>37109</v>
      </c>
      <c r="D66" s="48">
        <f t="shared" si="7"/>
        <v>31346.78</v>
      </c>
      <c r="E66" s="68">
        <f t="shared" si="9"/>
        <v>5762.22</v>
      </c>
      <c r="F66" s="47">
        <f t="shared" si="10"/>
        <v>339227.74999999983</v>
      </c>
      <c r="G66" s="47">
        <f t="shared" si="11"/>
        <v>307880.96999999986</v>
      </c>
    </row>
    <row r="67" spans="1:7" x14ac:dyDescent="0.25">
      <c r="A67" s="54">
        <v>42709</v>
      </c>
      <c r="B67" s="46">
        <f t="shared" si="2"/>
        <v>30</v>
      </c>
      <c r="C67" s="47">
        <f t="shared" si="8"/>
        <v>37109</v>
      </c>
      <c r="D67" s="48">
        <f t="shared" si="7"/>
        <v>32047.94</v>
      </c>
      <c r="E67" s="68">
        <f t="shared" si="9"/>
        <v>5061.0600000000004</v>
      </c>
      <c r="F67" s="47">
        <f t="shared" si="10"/>
        <v>307880.96999999986</v>
      </c>
      <c r="G67" s="47">
        <f t="shared" si="11"/>
        <v>275833.02999999985</v>
      </c>
    </row>
    <row r="68" spans="1:7" x14ac:dyDescent="0.25">
      <c r="A68" s="54">
        <v>42740</v>
      </c>
      <c r="B68" s="46">
        <f t="shared" si="2"/>
        <v>31</v>
      </c>
      <c r="C68" s="47">
        <f t="shared" si="8"/>
        <v>37109</v>
      </c>
      <c r="D68" s="48">
        <f t="shared" si="7"/>
        <v>32423.62</v>
      </c>
      <c r="E68" s="68">
        <f t="shared" si="9"/>
        <v>4685.38</v>
      </c>
      <c r="F68" s="47">
        <f t="shared" si="10"/>
        <v>275833.02999999985</v>
      </c>
      <c r="G68" s="47">
        <f t="shared" si="11"/>
        <v>243409.40999999986</v>
      </c>
    </row>
    <row r="69" spans="1:7" x14ac:dyDescent="0.25">
      <c r="A69" s="54">
        <v>42771</v>
      </c>
      <c r="B69" s="46">
        <f t="shared" si="2"/>
        <v>31</v>
      </c>
      <c r="C69" s="47">
        <f t="shared" si="8"/>
        <v>37109</v>
      </c>
      <c r="D69" s="48">
        <f t="shared" si="7"/>
        <v>32974.370000000003</v>
      </c>
      <c r="E69" s="68">
        <f t="shared" si="9"/>
        <v>4134.63</v>
      </c>
      <c r="F69" s="47">
        <f t="shared" si="10"/>
        <v>243409.40999999986</v>
      </c>
      <c r="G69" s="47">
        <f t="shared" si="11"/>
        <v>210435.03999999986</v>
      </c>
    </row>
    <row r="70" spans="1:7" x14ac:dyDescent="0.25">
      <c r="A70" s="54">
        <v>42799</v>
      </c>
      <c r="B70" s="46">
        <f t="shared" ref="B70:B75" si="12">A70-A69</f>
        <v>28</v>
      </c>
      <c r="C70" s="47">
        <f t="shared" si="8"/>
        <v>37109</v>
      </c>
      <c r="D70" s="48">
        <f t="shared" si="7"/>
        <v>33880.410000000003</v>
      </c>
      <c r="E70" s="68">
        <f t="shared" si="9"/>
        <v>3228.59</v>
      </c>
      <c r="F70" s="47">
        <f t="shared" si="10"/>
        <v>210435.03999999986</v>
      </c>
      <c r="G70" s="47">
        <f t="shared" si="11"/>
        <v>176554.62999999986</v>
      </c>
    </row>
    <row r="71" spans="1:7" x14ac:dyDescent="0.25">
      <c r="A71" s="54">
        <v>42830</v>
      </c>
      <c r="B71" s="46">
        <f t="shared" si="12"/>
        <v>31</v>
      </c>
      <c r="C71" s="47">
        <f t="shared" si="8"/>
        <v>37109</v>
      </c>
      <c r="D71" s="48">
        <f t="shared" si="7"/>
        <v>34109.99</v>
      </c>
      <c r="E71" s="68">
        <f t="shared" si="9"/>
        <v>2999.01</v>
      </c>
      <c r="F71" s="47">
        <f t="shared" si="10"/>
        <v>176554.62999999986</v>
      </c>
      <c r="G71" s="47">
        <f t="shared" si="11"/>
        <v>142444.63999999987</v>
      </c>
    </row>
    <row r="72" spans="1:7" x14ac:dyDescent="0.25">
      <c r="A72" s="54">
        <v>42860</v>
      </c>
      <c r="B72" s="46">
        <f t="shared" si="12"/>
        <v>30</v>
      </c>
      <c r="C72" s="47">
        <f t="shared" si="8"/>
        <v>37109</v>
      </c>
      <c r="D72" s="48">
        <f t="shared" si="7"/>
        <v>34767.440000000002</v>
      </c>
      <c r="E72" s="68">
        <f t="shared" si="9"/>
        <v>2341.56</v>
      </c>
      <c r="F72" s="47">
        <f t="shared" si="10"/>
        <v>142444.63999999987</v>
      </c>
      <c r="G72" s="47">
        <f t="shared" si="11"/>
        <v>107677.19999999987</v>
      </c>
    </row>
    <row r="73" spans="1:7" x14ac:dyDescent="0.25">
      <c r="A73" s="54">
        <v>42891</v>
      </c>
      <c r="B73" s="46">
        <f t="shared" si="12"/>
        <v>31</v>
      </c>
      <c r="C73" s="47">
        <f t="shared" si="8"/>
        <v>37109</v>
      </c>
      <c r="D73" s="48">
        <f t="shared" si="7"/>
        <v>35279.96</v>
      </c>
      <c r="E73" s="68">
        <f t="shared" si="9"/>
        <v>1829.04</v>
      </c>
      <c r="F73" s="47">
        <f t="shared" si="10"/>
        <v>107677.19999999987</v>
      </c>
      <c r="G73" s="47">
        <f t="shared" si="11"/>
        <v>72397.239999999874</v>
      </c>
    </row>
    <row r="74" spans="1:7" x14ac:dyDescent="0.25">
      <c r="A74" s="54">
        <v>42921</v>
      </c>
      <c r="B74" s="46">
        <f t="shared" si="12"/>
        <v>30</v>
      </c>
      <c r="C74" s="47">
        <f t="shared" si="8"/>
        <v>37109</v>
      </c>
      <c r="D74" s="48">
        <f t="shared" si="7"/>
        <v>35918.910000000003</v>
      </c>
      <c r="E74" s="68">
        <f t="shared" si="9"/>
        <v>1190.0899999999999</v>
      </c>
      <c r="F74" s="47">
        <f t="shared" si="10"/>
        <v>72397.239999999874</v>
      </c>
      <c r="G74" s="47">
        <f t="shared" si="11"/>
        <v>36478.329999999871</v>
      </c>
    </row>
    <row r="75" spans="1:7" x14ac:dyDescent="0.25">
      <c r="A75" s="54">
        <v>42952</v>
      </c>
      <c r="B75" s="46">
        <f t="shared" si="12"/>
        <v>31</v>
      </c>
      <c r="C75" s="47">
        <f t="shared" si="8"/>
        <v>37109</v>
      </c>
      <c r="D75" s="48">
        <f t="shared" si="7"/>
        <v>36478.329999999871</v>
      </c>
      <c r="E75" s="68">
        <v>630.67000000013184</v>
      </c>
      <c r="F75" s="47">
        <f t="shared" si="10"/>
        <v>36478.329999999871</v>
      </c>
      <c r="G75" s="47">
        <f t="shared" si="11"/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77D323-33BD-42B5-993D-D98039E89EBA}">
  <dimension ref="A1:J75"/>
  <sheetViews>
    <sheetView zoomScale="85" zoomScaleNormal="90" workbookViewId="0">
      <pane ySplit="3" topLeftCell="A64" activePane="bottomLeft" state="frozen"/>
      <selection activeCell="R4" sqref="R4"/>
      <selection pane="bottomLeft" activeCell="R4" sqref="R4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ROUNDUP(34665.3286111111,0)</f>
        <v>34666</v>
      </c>
      <c r="E1" s="25" t="s">
        <v>51</v>
      </c>
      <c r="F1" s="37">
        <v>37101</v>
      </c>
      <c r="G1" s="28" t="s">
        <v>52</v>
      </c>
      <c r="H1" s="26">
        <v>41917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 t="shared" ref="E5:E38" si="2"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39" si="3">DAYS360(A5,A6,TRUE)</f>
        <v>30</v>
      </c>
      <c r="C6" s="47">
        <f t="shared" ref="C6:C40" si="4">$D$1</f>
        <v>34666</v>
      </c>
      <c r="D6" s="48">
        <f t="shared" si="0"/>
        <v>22723.61</v>
      </c>
      <c r="E6" s="68">
        <f t="shared" si="2"/>
        <v>11942.39</v>
      </c>
      <c r="F6" s="47">
        <f t="shared" ref="F6:F39" si="5">G5</f>
        <v>955390.93</v>
      </c>
      <c r="G6" s="47">
        <f t="shared" ref="G6:G69" si="6">F6-D6</f>
        <v>932667.32000000007</v>
      </c>
    </row>
    <row r="7" spans="1:10" x14ac:dyDescent="0.25">
      <c r="A7" s="36">
        <v>41978</v>
      </c>
      <c r="B7" s="46">
        <f t="shared" si="3"/>
        <v>30</v>
      </c>
      <c r="C7" s="47">
        <f t="shared" si="4"/>
        <v>34666</v>
      </c>
      <c r="D7" s="48">
        <f t="shared" si="0"/>
        <v>23007.66</v>
      </c>
      <c r="E7" s="68">
        <f t="shared" si="2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3"/>
        <v>30</v>
      </c>
      <c r="C8" s="47">
        <f t="shared" si="4"/>
        <v>34666</v>
      </c>
      <c r="D8" s="48">
        <f t="shared" si="0"/>
        <v>23295.25</v>
      </c>
      <c r="E8" s="68">
        <f t="shared" si="2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3"/>
        <v>30</v>
      </c>
      <c r="C9" s="47">
        <f t="shared" si="4"/>
        <v>34666</v>
      </c>
      <c r="D9" s="48">
        <f t="shared" si="0"/>
        <v>23586.440000000002</v>
      </c>
      <c r="E9" s="68">
        <f t="shared" si="2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3"/>
        <v>30</v>
      </c>
      <c r="C10" s="47">
        <f t="shared" si="4"/>
        <v>34666</v>
      </c>
      <c r="D10" s="48">
        <f t="shared" si="0"/>
        <v>23881.279999999999</v>
      </c>
      <c r="E10" s="68">
        <f t="shared" si="2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3"/>
        <v>30</v>
      </c>
      <c r="C11" s="47">
        <f t="shared" si="4"/>
        <v>34666</v>
      </c>
      <c r="D11" s="48">
        <f t="shared" si="0"/>
        <v>24179.79</v>
      </c>
      <c r="E11" s="68">
        <f t="shared" si="2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3"/>
        <v>30</v>
      </c>
      <c r="C12" s="47">
        <f t="shared" si="4"/>
        <v>34666</v>
      </c>
      <c r="D12" s="48">
        <f t="shared" si="0"/>
        <v>24482.04</v>
      </c>
      <c r="E12" s="68">
        <f t="shared" si="2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3"/>
        <v>30</v>
      </c>
      <c r="C13" s="47">
        <f t="shared" si="4"/>
        <v>34666</v>
      </c>
      <c r="D13" s="48">
        <f t="shared" si="0"/>
        <v>24788.059999999998</v>
      </c>
      <c r="E13" s="68">
        <f t="shared" si="2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3"/>
        <v>30</v>
      </c>
      <c r="C14" s="47">
        <f t="shared" si="4"/>
        <v>34666</v>
      </c>
      <c r="D14" s="48">
        <f t="shared" si="0"/>
        <v>25097.91</v>
      </c>
      <c r="E14" s="68">
        <f t="shared" si="2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3"/>
        <v>30</v>
      </c>
      <c r="C15" s="47">
        <f t="shared" si="4"/>
        <v>34666</v>
      </c>
      <c r="D15" s="48">
        <f t="shared" si="0"/>
        <v>25411.64</v>
      </c>
      <c r="E15" s="68">
        <f t="shared" si="2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3"/>
        <v>30</v>
      </c>
      <c r="C16" s="47">
        <f t="shared" si="4"/>
        <v>34666</v>
      </c>
      <c r="D16" s="48">
        <f t="shared" si="0"/>
        <v>25729.279999999999</v>
      </c>
      <c r="E16" s="68">
        <f t="shared" si="2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34666</v>
      </c>
      <c r="D17" s="48">
        <f t="shared" si="0"/>
        <v>26050.9</v>
      </c>
      <c r="E17" s="68">
        <f t="shared" si="2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3"/>
        <v>30</v>
      </c>
      <c r="C18" s="47">
        <f t="shared" si="4"/>
        <v>34666</v>
      </c>
      <c r="D18" s="48">
        <f t="shared" si="0"/>
        <v>26376.54</v>
      </c>
      <c r="E18" s="68">
        <f t="shared" si="2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54">
        <v>42343</v>
      </c>
      <c r="B19" s="46">
        <f t="shared" si="3"/>
        <v>30</v>
      </c>
      <c r="C19" s="47">
        <f t="shared" si="4"/>
        <v>34666</v>
      </c>
      <c r="D19" s="48">
        <f t="shared" si="0"/>
        <v>26706.239999999998</v>
      </c>
      <c r="E19" s="68">
        <f t="shared" si="2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54">
        <v>42374</v>
      </c>
      <c r="B20" s="46">
        <f t="shared" si="3"/>
        <v>30</v>
      </c>
      <c r="C20" s="47">
        <f t="shared" si="4"/>
        <v>34666</v>
      </c>
      <c r="D20" s="48">
        <f t="shared" si="0"/>
        <v>27040.07</v>
      </c>
      <c r="E20" s="68">
        <f t="shared" si="2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54">
        <v>42405</v>
      </c>
      <c r="B21" s="46">
        <f t="shared" si="3"/>
        <v>30</v>
      </c>
      <c r="C21" s="47">
        <f t="shared" si="4"/>
        <v>34666</v>
      </c>
      <c r="D21" s="48">
        <f t="shared" si="0"/>
        <v>27378.07</v>
      </c>
      <c r="E21" s="68">
        <f t="shared" si="2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54">
        <v>42434</v>
      </c>
      <c r="B22" s="46">
        <f t="shared" si="3"/>
        <v>30</v>
      </c>
      <c r="C22" s="47">
        <f t="shared" si="4"/>
        <v>34666</v>
      </c>
      <c r="D22" s="48">
        <f t="shared" si="0"/>
        <v>27720.3</v>
      </c>
      <c r="E22" s="68">
        <f t="shared" si="2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54">
        <v>42465</v>
      </c>
      <c r="B23" s="46">
        <f t="shared" si="3"/>
        <v>30</v>
      </c>
      <c r="C23" s="47">
        <f t="shared" si="4"/>
        <v>34666</v>
      </c>
      <c r="D23" s="48">
        <f t="shared" si="0"/>
        <v>28066.799999999999</v>
      </c>
      <c r="E23" s="68">
        <f t="shared" si="2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54">
        <v>42495</v>
      </c>
      <c r="B24" s="46">
        <f t="shared" si="3"/>
        <v>30</v>
      </c>
      <c r="C24" s="47">
        <f t="shared" si="4"/>
        <v>34666</v>
      </c>
      <c r="D24" s="48">
        <f t="shared" si="0"/>
        <v>28417.64</v>
      </c>
      <c r="E24" s="68">
        <f t="shared" si="2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54">
        <v>42526</v>
      </c>
      <c r="B25" s="46">
        <f t="shared" si="3"/>
        <v>30</v>
      </c>
      <c r="C25" s="47">
        <f t="shared" si="4"/>
        <v>34666</v>
      </c>
      <c r="D25" s="48">
        <f t="shared" si="0"/>
        <v>28772.86</v>
      </c>
      <c r="E25" s="68">
        <f t="shared" si="2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54">
        <v>42556</v>
      </c>
      <c r="B26" s="46">
        <f t="shared" si="3"/>
        <v>30</v>
      </c>
      <c r="C26" s="47">
        <f t="shared" si="4"/>
        <v>34666</v>
      </c>
      <c r="D26" s="48">
        <f t="shared" si="0"/>
        <v>29132.52</v>
      </c>
      <c r="E26" s="68">
        <f t="shared" si="2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54">
        <v>42587</v>
      </c>
      <c r="B27" s="46">
        <f t="shared" si="3"/>
        <v>30</v>
      </c>
      <c r="C27" s="47">
        <f t="shared" si="4"/>
        <v>34666</v>
      </c>
      <c r="D27" s="48">
        <f t="shared" si="0"/>
        <v>29496.67</v>
      </c>
      <c r="E27" s="68">
        <f t="shared" si="2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54">
        <v>42618</v>
      </c>
      <c r="B28" s="46">
        <f t="shared" si="3"/>
        <v>30</v>
      </c>
      <c r="C28" s="47">
        <f t="shared" si="4"/>
        <v>34666</v>
      </c>
      <c r="D28" s="48">
        <f t="shared" si="0"/>
        <v>29865.38</v>
      </c>
      <c r="E28" s="68">
        <f t="shared" si="2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54">
        <v>42648</v>
      </c>
      <c r="B29" s="46">
        <f t="shared" si="3"/>
        <v>30</v>
      </c>
      <c r="C29" s="47">
        <f t="shared" si="4"/>
        <v>34666</v>
      </c>
      <c r="D29" s="48">
        <f t="shared" si="0"/>
        <v>30238.7</v>
      </c>
      <c r="E29" s="68">
        <f t="shared" si="2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54">
        <v>42679</v>
      </c>
      <c r="B30" s="46">
        <f t="shared" si="3"/>
        <v>30</v>
      </c>
      <c r="C30" s="47">
        <f t="shared" si="4"/>
        <v>34666</v>
      </c>
      <c r="D30" s="48">
        <f t="shared" si="0"/>
        <v>30616.68</v>
      </c>
      <c r="E30" s="68">
        <f t="shared" si="2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54">
        <v>42709</v>
      </c>
      <c r="B31" s="46">
        <f t="shared" si="3"/>
        <v>30</v>
      </c>
      <c r="C31" s="47">
        <f t="shared" si="4"/>
        <v>34666</v>
      </c>
      <c r="D31" s="48">
        <f t="shared" si="0"/>
        <v>30999.39</v>
      </c>
      <c r="E31" s="68">
        <f t="shared" si="2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54">
        <v>42740</v>
      </c>
      <c r="B32" s="46">
        <f t="shared" si="3"/>
        <v>30</v>
      </c>
      <c r="C32" s="47">
        <f t="shared" si="4"/>
        <v>34666</v>
      </c>
      <c r="D32" s="48">
        <f t="shared" si="0"/>
        <v>31386.880000000001</v>
      </c>
      <c r="E32" s="68">
        <f t="shared" si="2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54">
        <v>42771</v>
      </c>
      <c r="B33" s="46">
        <f t="shared" si="3"/>
        <v>30</v>
      </c>
      <c r="C33" s="47">
        <f t="shared" si="4"/>
        <v>34666</v>
      </c>
      <c r="D33" s="48">
        <f t="shared" si="0"/>
        <v>31779.22</v>
      </c>
      <c r="E33" s="68">
        <f t="shared" si="2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54">
        <v>42799</v>
      </c>
      <c r="B34" s="46">
        <f t="shared" si="3"/>
        <v>30</v>
      </c>
      <c r="C34" s="47">
        <f t="shared" si="4"/>
        <v>34666</v>
      </c>
      <c r="D34" s="48">
        <f t="shared" si="0"/>
        <v>32176.46</v>
      </c>
      <c r="E34" s="68">
        <f t="shared" si="2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54">
        <v>42830</v>
      </c>
      <c r="B35" s="46">
        <f t="shared" si="3"/>
        <v>30</v>
      </c>
      <c r="C35" s="47">
        <f t="shared" si="4"/>
        <v>34666</v>
      </c>
      <c r="D35" s="48">
        <f t="shared" si="0"/>
        <v>32578.67</v>
      </c>
      <c r="E35" s="68">
        <f t="shared" si="2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54">
        <v>42860</v>
      </c>
      <c r="B36" s="46">
        <f t="shared" si="3"/>
        <v>30</v>
      </c>
      <c r="C36" s="47">
        <f t="shared" si="4"/>
        <v>34666</v>
      </c>
      <c r="D36" s="48">
        <f t="shared" si="0"/>
        <v>32985.9</v>
      </c>
      <c r="E36" s="68">
        <f t="shared" si="2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54">
        <v>42891</v>
      </c>
      <c r="B37" s="46">
        <f t="shared" si="3"/>
        <v>30</v>
      </c>
      <c r="C37" s="47">
        <f t="shared" si="4"/>
        <v>34666</v>
      </c>
      <c r="D37" s="48">
        <f t="shared" si="0"/>
        <v>33398.22</v>
      </c>
      <c r="E37" s="68">
        <f t="shared" si="2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54">
        <v>42921</v>
      </c>
      <c r="B38" s="46">
        <f t="shared" si="3"/>
        <v>30</v>
      </c>
      <c r="C38" s="47">
        <f t="shared" si="4"/>
        <v>34666</v>
      </c>
      <c r="D38" s="48">
        <f t="shared" si="0"/>
        <v>33815.699999999997</v>
      </c>
      <c r="E38" s="68">
        <f t="shared" si="2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54">
        <v>42952</v>
      </c>
      <c r="B39" s="46">
        <f t="shared" si="3"/>
        <v>30</v>
      </c>
      <c r="C39" s="47">
        <f t="shared" si="4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36">
        <v>41887</v>
      </c>
      <c r="B40" s="46">
        <f>DAYS360(B1,A4,TRUE)</f>
        <v>30</v>
      </c>
      <c r="C40" s="47">
        <f t="shared" si="4"/>
        <v>34666</v>
      </c>
      <c r="D40" s="48">
        <f>C40-E40</f>
        <v>22166</v>
      </c>
      <c r="E40" s="68">
        <f>ROUND(F4*$B$2*B4/360,2)</f>
        <v>12500</v>
      </c>
      <c r="F40" s="47">
        <f>F4</f>
        <v>1000000</v>
      </c>
      <c r="G40" s="47">
        <f t="shared" si="6"/>
        <v>977834</v>
      </c>
    </row>
    <row r="41" spans="1:7" x14ac:dyDescent="0.25">
      <c r="A41" s="36">
        <v>41917</v>
      </c>
      <c r="B41" s="46">
        <f>DAYS360(A40,A41,TRUE)</f>
        <v>30</v>
      </c>
      <c r="C41" s="47">
        <f>$F$1</f>
        <v>37101</v>
      </c>
      <c r="D41" s="48">
        <f t="shared" ref="D41:D75" si="7">C41-E41</f>
        <v>20803.77</v>
      </c>
      <c r="E41" s="68">
        <f>ROUND(F41*$J$1*B41/360,2)</f>
        <v>16297.23</v>
      </c>
      <c r="F41" s="47">
        <f t="shared" ref="F41:F75" si="8">G40</f>
        <v>977834</v>
      </c>
      <c r="G41" s="47">
        <f t="shared" si="6"/>
        <v>957030.23</v>
      </c>
    </row>
    <row r="42" spans="1:7" x14ac:dyDescent="0.25">
      <c r="A42" s="36">
        <v>41948</v>
      </c>
      <c r="B42" s="46">
        <f t="shared" ref="B42:B75" si="9">DAYS360(A41,A42,TRUE)</f>
        <v>30</v>
      </c>
      <c r="C42" s="47">
        <f t="shared" ref="C42:C75" si="10">$F$1</f>
        <v>37101</v>
      </c>
      <c r="D42" s="48">
        <f t="shared" si="7"/>
        <v>21150.5</v>
      </c>
      <c r="E42" s="68">
        <f t="shared" ref="E42:E74" si="11">ROUND(F42*$J$1*B42/360,2)</f>
        <v>15950.5</v>
      </c>
      <c r="F42" s="47">
        <f t="shared" si="8"/>
        <v>957030.23</v>
      </c>
      <c r="G42" s="47">
        <f t="shared" si="6"/>
        <v>935879.73</v>
      </c>
    </row>
    <row r="43" spans="1:7" x14ac:dyDescent="0.25">
      <c r="A43" s="36">
        <v>41978</v>
      </c>
      <c r="B43" s="46">
        <f t="shared" si="9"/>
        <v>30</v>
      </c>
      <c r="C43" s="47">
        <f t="shared" si="10"/>
        <v>37101</v>
      </c>
      <c r="D43" s="48">
        <f t="shared" si="7"/>
        <v>21503</v>
      </c>
      <c r="E43" s="68">
        <f t="shared" si="11"/>
        <v>15598</v>
      </c>
      <c r="F43" s="47">
        <f t="shared" si="8"/>
        <v>935879.73</v>
      </c>
      <c r="G43" s="47">
        <f t="shared" si="6"/>
        <v>914376.73</v>
      </c>
    </row>
    <row r="44" spans="1:7" x14ac:dyDescent="0.25">
      <c r="A44" s="36">
        <v>42009</v>
      </c>
      <c r="B44" s="46">
        <f t="shared" si="9"/>
        <v>30</v>
      </c>
      <c r="C44" s="47">
        <f t="shared" si="10"/>
        <v>37101</v>
      </c>
      <c r="D44" s="48">
        <f t="shared" si="7"/>
        <v>21861.39</v>
      </c>
      <c r="E44" s="68">
        <f t="shared" si="11"/>
        <v>15239.61</v>
      </c>
      <c r="F44" s="47">
        <f t="shared" si="8"/>
        <v>914376.73</v>
      </c>
      <c r="G44" s="47">
        <f t="shared" si="6"/>
        <v>892515.34</v>
      </c>
    </row>
    <row r="45" spans="1:7" x14ac:dyDescent="0.25">
      <c r="A45" s="36">
        <v>42040</v>
      </c>
      <c r="B45" s="46">
        <f t="shared" si="9"/>
        <v>30</v>
      </c>
      <c r="C45" s="47">
        <f t="shared" si="10"/>
        <v>37101</v>
      </c>
      <c r="D45" s="48">
        <f t="shared" si="7"/>
        <v>22225.739999999998</v>
      </c>
      <c r="E45" s="68">
        <f t="shared" si="11"/>
        <v>14875.26</v>
      </c>
      <c r="F45" s="47">
        <f t="shared" si="8"/>
        <v>892515.34</v>
      </c>
      <c r="G45" s="47">
        <f t="shared" si="6"/>
        <v>870289.6</v>
      </c>
    </row>
    <row r="46" spans="1:7" x14ac:dyDescent="0.25">
      <c r="A46" s="36">
        <v>42068</v>
      </c>
      <c r="B46" s="46">
        <f t="shared" si="9"/>
        <v>30</v>
      </c>
      <c r="C46" s="47">
        <f t="shared" si="10"/>
        <v>37101</v>
      </c>
      <c r="D46" s="48">
        <f t="shared" si="7"/>
        <v>22596.17</v>
      </c>
      <c r="E46" s="68">
        <f t="shared" si="11"/>
        <v>14504.83</v>
      </c>
      <c r="F46" s="47">
        <f t="shared" si="8"/>
        <v>870289.6</v>
      </c>
      <c r="G46" s="47">
        <f t="shared" si="6"/>
        <v>847693.42999999993</v>
      </c>
    </row>
    <row r="47" spans="1:7" x14ac:dyDescent="0.25">
      <c r="A47" s="36">
        <v>42099</v>
      </c>
      <c r="B47" s="46">
        <f t="shared" si="9"/>
        <v>30</v>
      </c>
      <c r="C47" s="47">
        <f t="shared" si="10"/>
        <v>37101</v>
      </c>
      <c r="D47" s="48">
        <f t="shared" si="7"/>
        <v>22972.78</v>
      </c>
      <c r="E47" s="68">
        <f t="shared" si="11"/>
        <v>14128.22</v>
      </c>
      <c r="F47" s="47">
        <f t="shared" si="8"/>
        <v>847693.42999999993</v>
      </c>
      <c r="G47" s="47">
        <f t="shared" si="6"/>
        <v>824720.64999999991</v>
      </c>
    </row>
    <row r="48" spans="1:7" x14ac:dyDescent="0.25">
      <c r="A48" s="36">
        <v>42129</v>
      </c>
      <c r="B48" s="46">
        <f t="shared" si="9"/>
        <v>30</v>
      </c>
      <c r="C48" s="47">
        <f t="shared" si="10"/>
        <v>37101</v>
      </c>
      <c r="D48" s="48">
        <f t="shared" si="7"/>
        <v>23355.66</v>
      </c>
      <c r="E48" s="68">
        <f t="shared" si="11"/>
        <v>13745.34</v>
      </c>
      <c r="F48" s="47">
        <f t="shared" si="8"/>
        <v>824720.64999999991</v>
      </c>
      <c r="G48" s="47">
        <f t="shared" si="6"/>
        <v>801364.98999999987</v>
      </c>
    </row>
    <row r="49" spans="1:7" x14ac:dyDescent="0.25">
      <c r="A49" s="36">
        <v>42160</v>
      </c>
      <c r="B49" s="46">
        <f t="shared" si="9"/>
        <v>30</v>
      </c>
      <c r="C49" s="47">
        <f t="shared" si="10"/>
        <v>37101</v>
      </c>
      <c r="D49" s="48">
        <f t="shared" si="7"/>
        <v>23744.92</v>
      </c>
      <c r="E49" s="68">
        <f t="shared" si="11"/>
        <v>13356.08</v>
      </c>
      <c r="F49" s="47">
        <f t="shared" si="8"/>
        <v>801364.98999999987</v>
      </c>
      <c r="G49" s="47">
        <f t="shared" si="6"/>
        <v>777620.06999999983</v>
      </c>
    </row>
    <row r="50" spans="1:7" x14ac:dyDescent="0.25">
      <c r="A50" s="36">
        <v>42190</v>
      </c>
      <c r="B50" s="46">
        <f t="shared" si="9"/>
        <v>30</v>
      </c>
      <c r="C50" s="47">
        <f t="shared" si="10"/>
        <v>37101</v>
      </c>
      <c r="D50" s="48">
        <f t="shared" si="7"/>
        <v>24140.67</v>
      </c>
      <c r="E50" s="68">
        <f t="shared" si="11"/>
        <v>12960.33</v>
      </c>
      <c r="F50" s="47">
        <f t="shared" si="8"/>
        <v>777620.06999999983</v>
      </c>
      <c r="G50" s="47">
        <f t="shared" si="6"/>
        <v>753479.39999999979</v>
      </c>
    </row>
    <row r="51" spans="1:7" x14ac:dyDescent="0.25">
      <c r="A51" s="36">
        <v>42221</v>
      </c>
      <c r="B51" s="46">
        <f t="shared" si="9"/>
        <v>30</v>
      </c>
      <c r="C51" s="47">
        <f t="shared" si="10"/>
        <v>37101</v>
      </c>
      <c r="D51" s="48">
        <f t="shared" si="7"/>
        <v>24543.010000000002</v>
      </c>
      <c r="E51" s="68">
        <f t="shared" si="11"/>
        <v>12557.99</v>
      </c>
      <c r="F51" s="47">
        <f t="shared" si="8"/>
        <v>753479.39999999979</v>
      </c>
      <c r="G51" s="47">
        <f t="shared" si="6"/>
        <v>728936.38999999978</v>
      </c>
    </row>
    <row r="52" spans="1:7" x14ac:dyDescent="0.25">
      <c r="A52" s="36">
        <v>42252</v>
      </c>
      <c r="B52" s="46">
        <f t="shared" si="9"/>
        <v>30</v>
      </c>
      <c r="C52" s="47">
        <f t="shared" si="10"/>
        <v>37101</v>
      </c>
      <c r="D52" s="48">
        <f t="shared" si="7"/>
        <v>24952.059999999998</v>
      </c>
      <c r="E52" s="68">
        <f t="shared" si="11"/>
        <v>12148.94</v>
      </c>
      <c r="F52" s="47">
        <f t="shared" si="8"/>
        <v>728936.38999999978</v>
      </c>
      <c r="G52" s="47">
        <f t="shared" si="6"/>
        <v>703984.32999999984</v>
      </c>
    </row>
    <row r="53" spans="1:7" x14ac:dyDescent="0.25">
      <c r="A53" s="36">
        <v>42282</v>
      </c>
      <c r="B53" s="46">
        <f t="shared" si="9"/>
        <v>30</v>
      </c>
      <c r="C53" s="47">
        <f t="shared" si="10"/>
        <v>37101</v>
      </c>
      <c r="D53" s="48">
        <f t="shared" si="7"/>
        <v>25367.93</v>
      </c>
      <c r="E53" s="68">
        <f t="shared" si="11"/>
        <v>11733.07</v>
      </c>
      <c r="F53" s="47">
        <f t="shared" si="8"/>
        <v>703984.32999999984</v>
      </c>
      <c r="G53" s="47">
        <f t="shared" si="6"/>
        <v>678616.39999999979</v>
      </c>
    </row>
    <row r="54" spans="1:7" x14ac:dyDescent="0.25">
      <c r="A54" s="36">
        <v>42313</v>
      </c>
      <c r="B54" s="46">
        <f t="shared" si="9"/>
        <v>30</v>
      </c>
      <c r="C54" s="47">
        <f t="shared" si="10"/>
        <v>37101</v>
      </c>
      <c r="D54" s="48">
        <f t="shared" si="7"/>
        <v>25790.73</v>
      </c>
      <c r="E54" s="68">
        <f t="shared" si="11"/>
        <v>11310.27</v>
      </c>
      <c r="F54" s="47">
        <f t="shared" si="8"/>
        <v>678616.39999999979</v>
      </c>
      <c r="G54" s="47">
        <f t="shared" si="6"/>
        <v>652825.66999999981</v>
      </c>
    </row>
    <row r="55" spans="1:7" x14ac:dyDescent="0.25">
      <c r="A55" s="54">
        <v>42343</v>
      </c>
      <c r="B55" s="46">
        <f t="shared" si="9"/>
        <v>30</v>
      </c>
      <c r="C55" s="47">
        <f t="shared" si="10"/>
        <v>37101</v>
      </c>
      <c r="D55" s="48">
        <f t="shared" si="7"/>
        <v>26220.57</v>
      </c>
      <c r="E55" s="68">
        <f t="shared" si="11"/>
        <v>10880.43</v>
      </c>
      <c r="F55" s="47">
        <f t="shared" si="8"/>
        <v>652825.66999999981</v>
      </c>
      <c r="G55" s="47">
        <f t="shared" si="6"/>
        <v>626605.09999999986</v>
      </c>
    </row>
    <row r="56" spans="1:7" x14ac:dyDescent="0.25">
      <c r="A56" s="54">
        <v>42374</v>
      </c>
      <c r="B56" s="46">
        <f t="shared" si="9"/>
        <v>30</v>
      </c>
      <c r="C56" s="47">
        <f t="shared" si="10"/>
        <v>37101</v>
      </c>
      <c r="D56" s="48">
        <f t="shared" si="7"/>
        <v>26657.58</v>
      </c>
      <c r="E56" s="68">
        <f t="shared" si="11"/>
        <v>10443.42</v>
      </c>
      <c r="F56" s="47">
        <f t="shared" si="8"/>
        <v>626605.09999999986</v>
      </c>
      <c r="G56" s="47">
        <f t="shared" si="6"/>
        <v>599947.5199999999</v>
      </c>
    </row>
    <row r="57" spans="1:7" x14ac:dyDescent="0.25">
      <c r="A57" s="54">
        <v>42405</v>
      </c>
      <c r="B57" s="46">
        <f t="shared" si="9"/>
        <v>30</v>
      </c>
      <c r="C57" s="47">
        <f t="shared" si="10"/>
        <v>37101</v>
      </c>
      <c r="D57" s="48">
        <f t="shared" si="7"/>
        <v>27101.870000000003</v>
      </c>
      <c r="E57" s="68">
        <f t="shared" si="11"/>
        <v>9999.1299999999992</v>
      </c>
      <c r="F57" s="47">
        <f t="shared" si="8"/>
        <v>599947.5199999999</v>
      </c>
      <c r="G57" s="47">
        <f t="shared" si="6"/>
        <v>572845.64999999991</v>
      </c>
    </row>
    <row r="58" spans="1:7" x14ac:dyDescent="0.25">
      <c r="A58" s="54">
        <v>42434</v>
      </c>
      <c r="B58" s="46">
        <f t="shared" si="9"/>
        <v>30</v>
      </c>
      <c r="C58" s="47">
        <f t="shared" si="10"/>
        <v>37101</v>
      </c>
      <c r="D58" s="48">
        <f t="shared" si="7"/>
        <v>27553.57</v>
      </c>
      <c r="E58" s="68">
        <f t="shared" si="11"/>
        <v>9547.43</v>
      </c>
      <c r="F58" s="47">
        <f t="shared" si="8"/>
        <v>572845.64999999991</v>
      </c>
      <c r="G58" s="47">
        <f t="shared" si="6"/>
        <v>545292.07999999996</v>
      </c>
    </row>
    <row r="59" spans="1:7" x14ac:dyDescent="0.25">
      <c r="A59" s="54">
        <v>42465</v>
      </c>
      <c r="B59" s="46">
        <f t="shared" si="9"/>
        <v>30</v>
      </c>
      <c r="C59" s="47">
        <f t="shared" si="10"/>
        <v>37101</v>
      </c>
      <c r="D59" s="48">
        <f t="shared" si="7"/>
        <v>28012.799999999999</v>
      </c>
      <c r="E59" s="68">
        <f t="shared" si="11"/>
        <v>9088.2000000000007</v>
      </c>
      <c r="F59" s="47">
        <f t="shared" si="8"/>
        <v>545292.07999999996</v>
      </c>
      <c r="G59" s="47">
        <f t="shared" si="6"/>
        <v>517279.27999999997</v>
      </c>
    </row>
    <row r="60" spans="1:7" x14ac:dyDescent="0.25">
      <c r="A60" s="54">
        <v>42495</v>
      </c>
      <c r="B60" s="46">
        <f t="shared" si="9"/>
        <v>30</v>
      </c>
      <c r="C60" s="47">
        <f>$F$1</f>
        <v>37101</v>
      </c>
      <c r="D60" s="48">
        <f t="shared" si="7"/>
        <v>28479.68</v>
      </c>
      <c r="E60" s="68">
        <f t="shared" si="11"/>
        <v>8621.32</v>
      </c>
      <c r="F60" s="47">
        <f t="shared" si="8"/>
        <v>517279.27999999997</v>
      </c>
      <c r="G60" s="47">
        <f t="shared" si="6"/>
        <v>488799.6</v>
      </c>
    </row>
    <row r="61" spans="1:7" x14ac:dyDescent="0.25">
      <c r="A61" s="54">
        <v>42526</v>
      </c>
      <c r="B61" s="46">
        <f t="shared" si="9"/>
        <v>30</v>
      </c>
      <c r="C61" s="47">
        <f t="shared" si="10"/>
        <v>37101</v>
      </c>
      <c r="D61" s="48">
        <f t="shared" si="7"/>
        <v>28954.34</v>
      </c>
      <c r="E61" s="68">
        <f t="shared" si="11"/>
        <v>8146.66</v>
      </c>
      <c r="F61" s="47">
        <f t="shared" si="8"/>
        <v>488799.6</v>
      </c>
      <c r="G61" s="47">
        <f t="shared" si="6"/>
        <v>459845.25999999995</v>
      </c>
    </row>
    <row r="62" spans="1:7" x14ac:dyDescent="0.25">
      <c r="A62" s="54">
        <v>42556</v>
      </c>
      <c r="B62" s="46">
        <f t="shared" si="9"/>
        <v>30</v>
      </c>
      <c r="C62" s="47">
        <f t="shared" si="10"/>
        <v>37101</v>
      </c>
      <c r="D62" s="48">
        <f t="shared" si="7"/>
        <v>29436.91</v>
      </c>
      <c r="E62" s="68">
        <f t="shared" si="11"/>
        <v>7664.09</v>
      </c>
      <c r="F62" s="47">
        <f t="shared" si="8"/>
        <v>459845.25999999995</v>
      </c>
      <c r="G62" s="47">
        <f t="shared" si="6"/>
        <v>430408.35</v>
      </c>
    </row>
    <row r="63" spans="1:7" x14ac:dyDescent="0.25">
      <c r="A63" s="54">
        <v>42587</v>
      </c>
      <c r="B63" s="46">
        <f t="shared" si="9"/>
        <v>30</v>
      </c>
      <c r="C63" s="47">
        <f t="shared" si="10"/>
        <v>37101</v>
      </c>
      <c r="D63" s="48">
        <f t="shared" si="7"/>
        <v>29927.53</v>
      </c>
      <c r="E63" s="68">
        <f t="shared" si="11"/>
        <v>7173.47</v>
      </c>
      <c r="F63" s="47">
        <f t="shared" si="8"/>
        <v>430408.35</v>
      </c>
      <c r="G63" s="47">
        <f t="shared" si="6"/>
        <v>400480.81999999995</v>
      </c>
    </row>
    <row r="64" spans="1:7" x14ac:dyDescent="0.25">
      <c r="A64" s="54">
        <v>42618</v>
      </c>
      <c r="B64" s="46">
        <f t="shared" si="9"/>
        <v>30</v>
      </c>
      <c r="C64" s="47">
        <f t="shared" si="10"/>
        <v>37101</v>
      </c>
      <c r="D64" s="48">
        <f t="shared" si="7"/>
        <v>30426.32</v>
      </c>
      <c r="E64" s="68">
        <f t="shared" si="11"/>
        <v>6674.68</v>
      </c>
      <c r="F64" s="47">
        <f t="shared" si="8"/>
        <v>400480.81999999995</v>
      </c>
      <c r="G64" s="47">
        <f t="shared" si="6"/>
        <v>370054.49999999994</v>
      </c>
    </row>
    <row r="65" spans="1:7" x14ac:dyDescent="0.25">
      <c r="A65" s="54">
        <v>42648</v>
      </c>
      <c r="B65" s="46">
        <f t="shared" si="9"/>
        <v>30</v>
      </c>
      <c r="C65" s="47">
        <f t="shared" si="10"/>
        <v>37101</v>
      </c>
      <c r="D65" s="48">
        <f t="shared" si="7"/>
        <v>30933.42</v>
      </c>
      <c r="E65" s="68">
        <f t="shared" si="11"/>
        <v>6167.58</v>
      </c>
      <c r="F65" s="47">
        <f t="shared" si="8"/>
        <v>370054.49999999994</v>
      </c>
      <c r="G65" s="47">
        <f t="shared" si="6"/>
        <v>339121.07999999996</v>
      </c>
    </row>
    <row r="66" spans="1:7" x14ac:dyDescent="0.25">
      <c r="A66" s="54">
        <v>42679</v>
      </c>
      <c r="B66" s="46">
        <f t="shared" si="9"/>
        <v>30</v>
      </c>
      <c r="C66" s="47">
        <f t="shared" si="10"/>
        <v>37101</v>
      </c>
      <c r="D66" s="48">
        <f t="shared" si="7"/>
        <v>31448.98</v>
      </c>
      <c r="E66" s="68">
        <f t="shared" si="11"/>
        <v>5652.02</v>
      </c>
      <c r="F66" s="47">
        <f t="shared" si="8"/>
        <v>339121.07999999996</v>
      </c>
      <c r="G66" s="47">
        <f t="shared" si="6"/>
        <v>307672.09999999998</v>
      </c>
    </row>
    <row r="67" spans="1:7" x14ac:dyDescent="0.25">
      <c r="A67" s="54">
        <v>42709</v>
      </c>
      <c r="B67" s="46">
        <f t="shared" si="9"/>
        <v>30</v>
      </c>
      <c r="C67" s="47">
        <f t="shared" si="10"/>
        <v>37101</v>
      </c>
      <c r="D67" s="48">
        <f t="shared" si="7"/>
        <v>31973.13</v>
      </c>
      <c r="E67" s="68">
        <f t="shared" si="11"/>
        <v>5127.87</v>
      </c>
      <c r="F67" s="47">
        <f t="shared" si="8"/>
        <v>307672.09999999998</v>
      </c>
      <c r="G67" s="47">
        <f t="shared" si="6"/>
        <v>275698.96999999997</v>
      </c>
    </row>
    <row r="68" spans="1:7" x14ac:dyDescent="0.25">
      <c r="A68" s="54">
        <v>42740</v>
      </c>
      <c r="B68" s="46">
        <f t="shared" si="9"/>
        <v>30</v>
      </c>
      <c r="C68" s="47">
        <f t="shared" si="10"/>
        <v>37101</v>
      </c>
      <c r="D68" s="48">
        <f t="shared" si="7"/>
        <v>32506.02</v>
      </c>
      <c r="E68" s="68">
        <f t="shared" si="11"/>
        <v>4594.9799999999996</v>
      </c>
      <c r="F68" s="47">
        <f t="shared" si="8"/>
        <v>275698.96999999997</v>
      </c>
      <c r="G68" s="47">
        <f t="shared" si="6"/>
        <v>243192.94999999998</v>
      </c>
    </row>
    <row r="69" spans="1:7" x14ac:dyDescent="0.25">
      <c r="A69" s="54">
        <v>42771</v>
      </c>
      <c r="B69" s="46">
        <f t="shared" si="9"/>
        <v>30</v>
      </c>
      <c r="C69" s="47">
        <f t="shared" si="10"/>
        <v>37101</v>
      </c>
      <c r="D69" s="48">
        <f t="shared" si="7"/>
        <v>33047.78</v>
      </c>
      <c r="E69" s="68">
        <f t="shared" si="11"/>
        <v>4053.22</v>
      </c>
      <c r="F69" s="47">
        <f t="shared" si="8"/>
        <v>243192.94999999998</v>
      </c>
      <c r="G69" s="47">
        <f t="shared" si="6"/>
        <v>210145.16999999998</v>
      </c>
    </row>
    <row r="70" spans="1:7" x14ac:dyDescent="0.25">
      <c r="A70" s="54">
        <v>42799</v>
      </c>
      <c r="B70" s="46">
        <f t="shared" si="9"/>
        <v>30</v>
      </c>
      <c r="C70" s="47">
        <f t="shared" si="10"/>
        <v>37101</v>
      </c>
      <c r="D70" s="48">
        <f t="shared" si="7"/>
        <v>33598.58</v>
      </c>
      <c r="E70" s="68">
        <f t="shared" si="11"/>
        <v>3502.42</v>
      </c>
      <c r="F70" s="47">
        <f t="shared" si="8"/>
        <v>210145.16999999998</v>
      </c>
      <c r="G70" s="47">
        <f t="shared" ref="G70:G75" si="12">F70-D70</f>
        <v>176546.58999999997</v>
      </c>
    </row>
    <row r="71" spans="1:7" x14ac:dyDescent="0.25">
      <c r="A71" s="54">
        <v>42830</v>
      </c>
      <c r="B71" s="46">
        <f t="shared" si="9"/>
        <v>30</v>
      </c>
      <c r="C71" s="47">
        <f t="shared" si="10"/>
        <v>37101</v>
      </c>
      <c r="D71" s="48">
        <f t="shared" si="7"/>
        <v>34158.559999999998</v>
      </c>
      <c r="E71" s="68">
        <f t="shared" si="11"/>
        <v>2942.44</v>
      </c>
      <c r="F71" s="47">
        <f t="shared" si="8"/>
        <v>176546.58999999997</v>
      </c>
      <c r="G71" s="47">
        <f t="shared" si="12"/>
        <v>142388.02999999997</v>
      </c>
    </row>
    <row r="72" spans="1:7" x14ac:dyDescent="0.25">
      <c r="A72" s="54">
        <v>42860</v>
      </c>
      <c r="B72" s="46">
        <f t="shared" si="9"/>
        <v>30</v>
      </c>
      <c r="C72" s="47">
        <f t="shared" si="10"/>
        <v>37101</v>
      </c>
      <c r="D72" s="48">
        <f t="shared" si="7"/>
        <v>34727.870000000003</v>
      </c>
      <c r="E72" s="68">
        <f t="shared" si="11"/>
        <v>2373.13</v>
      </c>
      <c r="F72" s="47">
        <f t="shared" si="8"/>
        <v>142388.02999999997</v>
      </c>
      <c r="G72" s="47">
        <f t="shared" si="12"/>
        <v>107660.15999999997</v>
      </c>
    </row>
    <row r="73" spans="1:7" x14ac:dyDescent="0.25">
      <c r="A73" s="54">
        <v>42891</v>
      </c>
      <c r="B73" s="46">
        <f t="shared" si="9"/>
        <v>30</v>
      </c>
      <c r="C73" s="47">
        <f t="shared" si="10"/>
        <v>37101</v>
      </c>
      <c r="D73" s="48">
        <f t="shared" si="7"/>
        <v>35306.660000000003</v>
      </c>
      <c r="E73" s="68">
        <f t="shared" si="11"/>
        <v>1794.34</v>
      </c>
      <c r="F73" s="47">
        <f t="shared" si="8"/>
        <v>107660.15999999997</v>
      </c>
      <c r="G73" s="47">
        <f t="shared" si="12"/>
        <v>72353.499999999971</v>
      </c>
    </row>
    <row r="74" spans="1:7" x14ac:dyDescent="0.25">
      <c r="A74" s="54">
        <v>42921</v>
      </c>
      <c r="B74" s="46">
        <f t="shared" si="9"/>
        <v>30</v>
      </c>
      <c r="C74" s="47">
        <f t="shared" si="10"/>
        <v>37101</v>
      </c>
      <c r="D74" s="48">
        <f t="shared" si="7"/>
        <v>35895.11</v>
      </c>
      <c r="E74" s="68">
        <f t="shared" si="11"/>
        <v>1205.8900000000001</v>
      </c>
      <c r="F74" s="47">
        <f t="shared" si="8"/>
        <v>72353.499999999971</v>
      </c>
      <c r="G74" s="47">
        <f t="shared" si="12"/>
        <v>36458.38999999997</v>
      </c>
    </row>
    <row r="75" spans="1:7" x14ac:dyDescent="0.25">
      <c r="A75" s="54">
        <v>42952</v>
      </c>
      <c r="B75" s="46">
        <f t="shared" si="9"/>
        <v>30</v>
      </c>
      <c r="C75" s="47">
        <f t="shared" si="10"/>
        <v>37101</v>
      </c>
      <c r="D75" s="48">
        <f t="shared" si="7"/>
        <v>36458.38999999997</v>
      </c>
      <c r="E75" s="68">
        <v>642.61000000003025</v>
      </c>
      <c r="F75" s="47">
        <f t="shared" si="8"/>
        <v>36458.38999999997</v>
      </c>
      <c r="G75" s="47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17208E-0DD0-4211-B44C-4F875168044A}">
  <dimension ref="A1:J75"/>
  <sheetViews>
    <sheetView zoomScale="85" zoomScaleNormal="90" workbookViewId="0">
      <pane ySplit="3" topLeftCell="A70" activePane="bottomLeft" state="frozen"/>
      <selection activeCell="A40" sqref="A40:G75"/>
      <selection pane="bottomLeft" activeCell="A40" sqref="A40:G75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37">
        <f>ROUNDUP(37108.7649293766,0)</f>
        <v>37109</v>
      </c>
      <c r="G1" s="28" t="s">
        <v>52</v>
      </c>
      <c r="H1" s="26">
        <v>41887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39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69" si="2">A6-A5</f>
        <v>31</v>
      </c>
      <c r="C6" s="47">
        <f t="shared" ref="C6:C40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69" si="5">G5</f>
        <v>955450.07</v>
      </c>
      <c r="G6" s="47">
        <f t="shared" ref="G6:G69" si="6">F6-D6</f>
        <v>932948.24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0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0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0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0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0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0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0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36">
        <v>41887</v>
      </c>
      <c r="B40" s="46">
        <f>A4-B1</f>
        <v>31</v>
      </c>
      <c r="C40" s="47">
        <f t="shared" si="3"/>
        <v>34674</v>
      </c>
      <c r="D40" s="48">
        <f>C40-E40</f>
        <v>21934.27</v>
      </c>
      <c r="E40" s="68">
        <f>ROUND(F4*$B$2*B4/365,2)</f>
        <v>12739.73</v>
      </c>
      <c r="F40" s="47">
        <f>F4</f>
        <v>1000000</v>
      </c>
      <c r="G40" s="47">
        <f t="shared" si="6"/>
        <v>978065.73</v>
      </c>
    </row>
    <row r="41" spans="1:7" x14ac:dyDescent="0.25">
      <c r="A41" s="36">
        <v>41917</v>
      </c>
      <c r="B41" s="46">
        <f t="shared" si="2"/>
        <v>30</v>
      </c>
      <c r="C41" s="47">
        <f>$F$1</f>
        <v>37109</v>
      </c>
      <c r="D41" s="48">
        <f t="shared" ref="D41:D75" si="7">C41-E41</f>
        <v>21031.21</v>
      </c>
      <c r="E41" s="68">
        <f>ROUND(F41*$J$1*B41/365,2)</f>
        <v>16077.79</v>
      </c>
      <c r="F41" s="47">
        <f t="shared" si="5"/>
        <v>978065.73</v>
      </c>
      <c r="G41" s="47">
        <f t="shared" si="6"/>
        <v>957034.52</v>
      </c>
    </row>
    <row r="42" spans="1:7" x14ac:dyDescent="0.25">
      <c r="A42" s="36">
        <v>41948</v>
      </c>
      <c r="B42" s="46">
        <f t="shared" si="2"/>
        <v>31</v>
      </c>
      <c r="C42" s="47">
        <f t="shared" ref="C42:C75" si="8">$F$1</f>
        <v>37109</v>
      </c>
      <c r="D42" s="48">
        <f t="shared" si="7"/>
        <v>20852.52</v>
      </c>
      <c r="E42" s="68">
        <f t="shared" ref="E42:E74" si="9">ROUND(F42*$J$1*B42/365,2)</f>
        <v>16256.48</v>
      </c>
      <c r="F42" s="47">
        <f t="shared" si="5"/>
        <v>957034.52</v>
      </c>
      <c r="G42" s="47">
        <f t="shared" si="6"/>
        <v>936182</v>
      </c>
    </row>
    <row r="43" spans="1:7" x14ac:dyDescent="0.25">
      <c r="A43" s="36">
        <v>41978</v>
      </c>
      <c r="B43" s="46">
        <f t="shared" si="2"/>
        <v>30</v>
      </c>
      <c r="C43" s="47">
        <f t="shared" si="8"/>
        <v>37109</v>
      </c>
      <c r="D43" s="48">
        <f t="shared" si="7"/>
        <v>21719.71</v>
      </c>
      <c r="E43" s="68">
        <f t="shared" si="9"/>
        <v>15389.29</v>
      </c>
      <c r="F43" s="47">
        <f t="shared" si="5"/>
        <v>936182</v>
      </c>
      <c r="G43" s="47">
        <f t="shared" si="6"/>
        <v>914462.29</v>
      </c>
    </row>
    <row r="44" spans="1:7" x14ac:dyDescent="0.25">
      <c r="A44" s="36">
        <v>42009</v>
      </c>
      <c r="B44" s="46">
        <f t="shared" si="2"/>
        <v>31</v>
      </c>
      <c r="C44" s="47">
        <f t="shared" si="8"/>
        <v>37109</v>
      </c>
      <c r="D44" s="48">
        <f t="shared" si="7"/>
        <v>21575.67</v>
      </c>
      <c r="E44" s="68">
        <f t="shared" si="9"/>
        <v>15533.33</v>
      </c>
      <c r="F44" s="47">
        <f t="shared" si="5"/>
        <v>914462.29</v>
      </c>
      <c r="G44" s="47">
        <f t="shared" si="6"/>
        <v>892886.62</v>
      </c>
    </row>
    <row r="45" spans="1:7" x14ac:dyDescent="0.25">
      <c r="A45" s="36">
        <v>42040</v>
      </c>
      <c r="B45" s="46">
        <f t="shared" si="2"/>
        <v>31</v>
      </c>
      <c r="C45" s="47">
        <f t="shared" si="8"/>
        <v>37109</v>
      </c>
      <c r="D45" s="48">
        <f t="shared" si="7"/>
        <v>21942.16</v>
      </c>
      <c r="E45" s="68">
        <f t="shared" si="9"/>
        <v>15166.84</v>
      </c>
      <c r="F45" s="47">
        <f t="shared" si="5"/>
        <v>892886.62</v>
      </c>
      <c r="G45" s="47">
        <f t="shared" si="6"/>
        <v>870944.46</v>
      </c>
    </row>
    <row r="46" spans="1:7" x14ac:dyDescent="0.25">
      <c r="A46" s="36">
        <v>42068</v>
      </c>
      <c r="B46" s="46">
        <f t="shared" si="2"/>
        <v>28</v>
      </c>
      <c r="C46" s="47">
        <f t="shared" si="8"/>
        <v>37109</v>
      </c>
      <c r="D46" s="48">
        <f t="shared" si="7"/>
        <v>23746.559999999998</v>
      </c>
      <c r="E46" s="68">
        <f t="shared" si="9"/>
        <v>13362.44</v>
      </c>
      <c r="F46" s="47">
        <f t="shared" si="5"/>
        <v>870944.46</v>
      </c>
      <c r="G46" s="47">
        <f t="shared" si="6"/>
        <v>847197.89999999991</v>
      </c>
    </row>
    <row r="47" spans="1:7" x14ac:dyDescent="0.25">
      <c r="A47" s="36">
        <v>42099</v>
      </c>
      <c r="B47" s="46">
        <f t="shared" si="2"/>
        <v>31</v>
      </c>
      <c r="C47" s="47">
        <f t="shared" si="8"/>
        <v>37109</v>
      </c>
      <c r="D47" s="48">
        <f t="shared" si="7"/>
        <v>22718.239999999998</v>
      </c>
      <c r="E47" s="68">
        <f t="shared" si="9"/>
        <v>14390.76</v>
      </c>
      <c r="F47" s="47">
        <f t="shared" si="5"/>
        <v>847197.89999999991</v>
      </c>
      <c r="G47" s="47">
        <f t="shared" si="6"/>
        <v>824479.65999999992</v>
      </c>
    </row>
    <row r="48" spans="1:7" x14ac:dyDescent="0.25">
      <c r="A48" s="36">
        <v>42129</v>
      </c>
      <c r="B48" s="46">
        <f t="shared" si="2"/>
        <v>30</v>
      </c>
      <c r="C48" s="47">
        <f t="shared" si="8"/>
        <v>37109</v>
      </c>
      <c r="D48" s="48">
        <f t="shared" si="7"/>
        <v>23555.91</v>
      </c>
      <c r="E48" s="68">
        <f t="shared" si="9"/>
        <v>13553.09</v>
      </c>
      <c r="F48" s="47">
        <f t="shared" si="5"/>
        <v>824479.65999999992</v>
      </c>
      <c r="G48" s="47">
        <f t="shared" si="6"/>
        <v>800923.74999999988</v>
      </c>
    </row>
    <row r="49" spans="1:7" x14ac:dyDescent="0.25">
      <c r="A49" s="36">
        <v>42160</v>
      </c>
      <c r="B49" s="46">
        <f t="shared" si="2"/>
        <v>31</v>
      </c>
      <c r="C49" s="47">
        <f t="shared" si="8"/>
        <v>37109</v>
      </c>
      <c r="D49" s="48">
        <f t="shared" si="7"/>
        <v>23504.27</v>
      </c>
      <c r="E49" s="68">
        <f t="shared" si="9"/>
        <v>13604.73</v>
      </c>
      <c r="F49" s="47">
        <f t="shared" si="5"/>
        <v>800923.74999999988</v>
      </c>
      <c r="G49" s="47">
        <f t="shared" si="6"/>
        <v>777419.47999999986</v>
      </c>
    </row>
    <row r="50" spans="1:7" x14ac:dyDescent="0.25">
      <c r="A50" s="36">
        <v>42190</v>
      </c>
      <c r="B50" s="46">
        <f t="shared" si="2"/>
        <v>30</v>
      </c>
      <c r="C50" s="47">
        <f t="shared" si="8"/>
        <v>37109</v>
      </c>
      <c r="D50" s="48">
        <f t="shared" si="7"/>
        <v>24329.5</v>
      </c>
      <c r="E50" s="68">
        <f t="shared" si="9"/>
        <v>12779.5</v>
      </c>
      <c r="F50" s="47">
        <f t="shared" si="5"/>
        <v>777419.47999999986</v>
      </c>
      <c r="G50" s="47">
        <f t="shared" si="6"/>
        <v>753089.97999999986</v>
      </c>
    </row>
    <row r="51" spans="1:7" x14ac:dyDescent="0.25">
      <c r="A51" s="36">
        <v>42221</v>
      </c>
      <c r="B51" s="46">
        <f t="shared" si="2"/>
        <v>31</v>
      </c>
      <c r="C51" s="47">
        <f t="shared" si="8"/>
        <v>37109</v>
      </c>
      <c r="D51" s="48">
        <f t="shared" si="7"/>
        <v>24316.79</v>
      </c>
      <c r="E51" s="68">
        <f t="shared" si="9"/>
        <v>12792.21</v>
      </c>
      <c r="F51" s="47">
        <f t="shared" si="5"/>
        <v>753089.97999999986</v>
      </c>
      <c r="G51" s="47">
        <f t="shared" si="6"/>
        <v>728773.18999999983</v>
      </c>
    </row>
    <row r="52" spans="1:7" x14ac:dyDescent="0.25">
      <c r="A52" s="36">
        <v>42252</v>
      </c>
      <c r="B52" s="46">
        <f t="shared" si="2"/>
        <v>31</v>
      </c>
      <c r="C52" s="47">
        <f t="shared" si="8"/>
        <v>37109</v>
      </c>
      <c r="D52" s="48">
        <f t="shared" si="7"/>
        <v>24729.84</v>
      </c>
      <c r="E52" s="68">
        <f t="shared" si="9"/>
        <v>12379.16</v>
      </c>
      <c r="F52" s="47">
        <f t="shared" si="5"/>
        <v>728773.18999999983</v>
      </c>
      <c r="G52" s="47">
        <f t="shared" si="6"/>
        <v>704043.34999999986</v>
      </c>
    </row>
    <row r="53" spans="1:7" x14ac:dyDescent="0.25">
      <c r="A53" s="36">
        <v>42282</v>
      </c>
      <c r="B53" s="46">
        <f t="shared" si="2"/>
        <v>30</v>
      </c>
      <c r="C53" s="47">
        <f t="shared" si="8"/>
        <v>37109</v>
      </c>
      <c r="D53" s="48">
        <f t="shared" si="7"/>
        <v>25535.68</v>
      </c>
      <c r="E53" s="68">
        <f t="shared" si="9"/>
        <v>11573.32</v>
      </c>
      <c r="F53" s="47">
        <f t="shared" si="5"/>
        <v>704043.34999999986</v>
      </c>
      <c r="G53" s="47">
        <f t="shared" si="6"/>
        <v>678507.66999999981</v>
      </c>
    </row>
    <row r="54" spans="1:7" x14ac:dyDescent="0.25">
      <c r="A54" s="36">
        <v>42313</v>
      </c>
      <c r="B54" s="46">
        <f t="shared" si="2"/>
        <v>31</v>
      </c>
      <c r="C54" s="47">
        <f t="shared" si="8"/>
        <v>37109</v>
      </c>
      <c r="D54" s="48">
        <f t="shared" si="7"/>
        <v>25583.66</v>
      </c>
      <c r="E54" s="68">
        <f t="shared" si="9"/>
        <v>11525.34</v>
      </c>
      <c r="F54" s="47">
        <f t="shared" si="5"/>
        <v>678507.66999999981</v>
      </c>
      <c r="G54" s="47">
        <f t="shared" si="6"/>
        <v>652924.00999999978</v>
      </c>
    </row>
    <row r="55" spans="1:7" x14ac:dyDescent="0.25">
      <c r="A55" s="54">
        <v>42343</v>
      </c>
      <c r="B55" s="46">
        <f t="shared" si="2"/>
        <v>30</v>
      </c>
      <c r="C55" s="47">
        <f t="shared" si="8"/>
        <v>37109</v>
      </c>
      <c r="D55" s="48">
        <f t="shared" si="7"/>
        <v>26376</v>
      </c>
      <c r="E55" s="68">
        <f t="shared" si="9"/>
        <v>10733</v>
      </c>
      <c r="F55" s="47">
        <f t="shared" si="5"/>
        <v>652924.00999999978</v>
      </c>
      <c r="G55" s="47">
        <f t="shared" si="6"/>
        <v>626548.00999999978</v>
      </c>
    </row>
    <row r="56" spans="1:7" x14ac:dyDescent="0.25">
      <c r="A56" s="54">
        <v>42374</v>
      </c>
      <c r="B56" s="46">
        <f t="shared" si="2"/>
        <v>31</v>
      </c>
      <c r="C56" s="47">
        <f t="shared" si="8"/>
        <v>37109</v>
      </c>
      <c r="D56" s="48">
        <f t="shared" si="7"/>
        <v>26466.27</v>
      </c>
      <c r="E56" s="68">
        <f t="shared" si="9"/>
        <v>10642.73</v>
      </c>
      <c r="F56" s="47">
        <f t="shared" si="5"/>
        <v>626548.00999999978</v>
      </c>
      <c r="G56" s="47">
        <f t="shared" si="6"/>
        <v>600081.73999999976</v>
      </c>
    </row>
    <row r="57" spans="1:7" x14ac:dyDescent="0.25">
      <c r="A57" s="54">
        <v>42405</v>
      </c>
      <c r="B57" s="46">
        <f t="shared" si="2"/>
        <v>31</v>
      </c>
      <c r="C57" s="47">
        <f t="shared" si="8"/>
        <v>37109</v>
      </c>
      <c r="D57" s="48">
        <f t="shared" si="7"/>
        <v>26915.83</v>
      </c>
      <c r="E57" s="68">
        <f t="shared" si="9"/>
        <v>10193.17</v>
      </c>
      <c r="F57" s="47">
        <f t="shared" si="5"/>
        <v>600081.73999999976</v>
      </c>
      <c r="G57" s="47">
        <f t="shared" si="6"/>
        <v>573165.9099999998</v>
      </c>
    </row>
    <row r="58" spans="1:7" x14ac:dyDescent="0.25">
      <c r="A58" s="54">
        <v>42434</v>
      </c>
      <c r="B58" s="46">
        <f t="shared" si="2"/>
        <v>29</v>
      </c>
      <c r="C58" s="47">
        <f t="shared" si="8"/>
        <v>37109</v>
      </c>
      <c r="D58" s="48">
        <f t="shared" si="7"/>
        <v>28001.16</v>
      </c>
      <c r="E58" s="68">
        <f t="shared" si="9"/>
        <v>9107.84</v>
      </c>
      <c r="F58" s="47">
        <f t="shared" si="5"/>
        <v>573165.9099999998</v>
      </c>
      <c r="G58" s="47">
        <f t="shared" si="6"/>
        <v>545164.74999999977</v>
      </c>
    </row>
    <row r="59" spans="1:7" x14ac:dyDescent="0.25">
      <c r="A59" s="54">
        <v>42465</v>
      </c>
      <c r="B59" s="46">
        <f t="shared" si="2"/>
        <v>31</v>
      </c>
      <c r="C59" s="47">
        <f t="shared" si="8"/>
        <v>37109</v>
      </c>
      <c r="D59" s="48">
        <f t="shared" si="7"/>
        <v>27848.67</v>
      </c>
      <c r="E59" s="68">
        <f t="shared" si="9"/>
        <v>9260.33</v>
      </c>
      <c r="F59" s="47">
        <f t="shared" si="5"/>
        <v>545164.74999999977</v>
      </c>
      <c r="G59" s="47">
        <f t="shared" si="6"/>
        <v>517316.07999999978</v>
      </c>
    </row>
    <row r="60" spans="1:7" x14ac:dyDescent="0.25">
      <c r="A60" s="54">
        <v>42495</v>
      </c>
      <c r="B60" s="46">
        <f t="shared" si="2"/>
        <v>30</v>
      </c>
      <c r="C60" s="47">
        <f>$F$1</f>
        <v>37109</v>
      </c>
      <c r="D60" s="48">
        <f t="shared" si="7"/>
        <v>28605.17</v>
      </c>
      <c r="E60" s="68">
        <f t="shared" si="9"/>
        <v>8503.83</v>
      </c>
      <c r="F60" s="47">
        <f t="shared" si="5"/>
        <v>517316.07999999978</v>
      </c>
      <c r="G60" s="47">
        <f t="shared" si="6"/>
        <v>488710.9099999998</v>
      </c>
    </row>
    <row r="61" spans="1:7" x14ac:dyDescent="0.25">
      <c r="A61" s="54">
        <v>42526</v>
      </c>
      <c r="B61" s="46">
        <f t="shared" si="2"/>
        <v>31</v>
      </c>
      <c r="C61" s="47">
        <f t="shared" si="8"/>
        <v>37109</v>
      </c>
      <c r="D61" s="48">
        <f t="shared" si="7"/>
        <v>28807.61</v>
      </c>
      <c r="E61" s="68">
        <f t="shared" si="9"/>
        <v>8301.39</v>
      </c>
      <c r="F61" s="47">
        <f t="shared" si="5"/>
        <v>488710.9099999998</v>
      </c>
      <c r="G61" s="47">
        <f t="shared" si="6"/>
        <v>459903.29999999981</v>
      </c>
    </row>
    <row r="62" spans="1:7" x14ac:dyDescent="0.25">
      <c r="A62" s="54">
        <v>42556</v>
      </c>
      <c r="B62" s="46">
        <f t="shared" si="2"/>
        <v>30</v>
      </c>
      <c r="C62" s="47">
        <f t="shared" si="8"/>
        <v>37109</v>
      </c>
      <c r="D62" s="48">
        <f t="shared" si="7"/>
        <v>29548.95</v>
      </c>
      <c r="E62" s="68">
        <f t="shared" si="9"/>
        <v>7560.05</v>
      </c>
      <c r="F62" s="47">
        <f t="shared" si="5"/>
        <v>459903.29999999981</v>
      </c>
      <c r="G62" s="47">
        <f t="shared" si="6"/>
        <v>430354.3499999998</v>
      </c>
    </row>
    <row r="63" spans="1:7" x14ac:dyDescent="0.25">
      <c r="A63" s="54">
        <v>42587</v>
      </c>
      <c r="B63" s="46">
        <f t="shared" si="2"/>
        <v>31</v>
      </c>
      <c r="C63" s="47">
        <f t="shared" si="8"/>
        <v>37109</v>
      </c>
      <c r="D63" s="48">
        <f t="shared" si="7"/>
        <v>29798.87</v>
      </c>
      <c r="E63" s="68">
        <f t="shared" si="9"/>
        <v>7310.13</v>
      </c>
      <c r="F63" s="47">
        <f t="shared" si="5"/>
        <v>430354.3499999998</v>
      </c>
      <c r="G63" s="47">
        <f t="shared" si="6"/>
        <v>400555.47999999981</v>
      </c>
    </row>
    <row r="64" spans="1:7" x14ac:dyDescent="0.25">
      <c r="A64" s="54">
        <v>42618</v>
      </c>
      <c r="B64" s="46">
        <f t="shared" si="2"/>
        <v>31</v>
      </c>
      <c r="C64" s="47">
        <f t="shared" si="8"/>
        <v>37109</v>
      </c>
      <c r="D64" s="48">
        <f t="shared" si="7"/>
        <v>30305.040000000001</v>
      </c>
      <c r="E64" s="68">
        <f t="shared" si="9"/>
        <v>6803.96</v>
      </c>
      <c r="F64" s="47">
        <f t="shared" si="5"/>
        <v>400555.47999999981</v>
      </c>
      <c r="G64" s="47">
        <f t="shared" si="6"/>
        <v>370250.43999999983</v>
      </c>
    </row>
    <row r="65" spans="1:7" x14ac:dyDescent="0.25">
      <c r="A65" s="54">
        <v>42648</v>
      </c>
      <c r="B65" s="46">
        <f t="shared" si="2"/>
        <v>30</v>
      </c>
      <c r="C65" s="47">
        <f t="shared" si="8"/>
        <v>37109</v>
      </c>
      <c r="D65" s="48">
        <f t="shared" si="7"/>
        <v>31022.69</v>
      </c>
      <c r="E65" s="68">
        <f t="shared" si="9"/>
        <v>6086.31</v>
      </c>
      <c r="F65" s="47">
        <f t="shared" si="5"/>
        <v>370250.43999999983</v>
      </c>
      <c r="G65" s="47">
        <f t="shared" si="6"/>
        <v>339227.74999999983</v>
      </c>
    </row>
    <row r="66" spans="1:7" x14ac:dyDescent="0.25">
      <c r="A66" s="54">
        <v>42679</v>
      </c>
      <c r="B66" s="46">
        <f t="shared" si="2"/>
        <v>31</v>
      </c>
      <c r="C66" s="47">
        <f t="shared" si="8"/>
        <v>37109</v>
      </c>
      <c r="D66" s="48">
        <f t="shared" si="7"/>
        <v>31346.78</v>
      </c>
      <c r="E66" s="68">
        <f t="shared" si="9"/>
        <v>5762.22</v>
      </c>
      <c r="F66" s="47">
        <f t="shared" si="5"/>
        <v>339227.74999999983</v>
      </c>
      <c r="G66" s="47">
        <f t="shared" si="6"/>
        <v>307880.96999999986</v>
      </c>
    </row>
    <row r="67" spans="1:7" x14ac:dyDescent="0.25">
      <c r="A67" s="54">
        <v>42709</v>
      </c>
      <c r="B67" s="46">
        <f t="shared" si="2"/>
        <v>30</v>
      </c>
      <c r="C67" s="47">
        <f t="shared" si="8"/>
        <v>37109</v>
      </c>
      <c r="D67" s="48">
        <f t="shared" si="7"/>
        <v>32047.94</v>
      </c>
      <c r="E67" s="68">
        <f t="shared" si="9"/>
        <v>5061.0600000000004</v>
      </c>
      <c r="F67" s="47">
        <f t="shared" si="5"/>
        <v>307880.96999999986</v>
      </c>
      <c r="G67" s="47">
        <f t="shared" si="6"/>
        <v>275833.02999999985</v>
      </c>
    </row>
    <row r="68" spans="1:7" x14ac:dyDescent="0.25">
      <c r="A68" s="54">
        <v>42740</v>
      </c>
      <c r="B68" s="46">
        <f t="shared" si="2"/>
        <v>31</v>
      </c>
      <c r="C68" s="47">
        <f t="shared" si="8"/>
        <v>37109</v>
      </c>
      <c r="D68" s="48">
        <f t="shared" si="7"/>
        <v>32423.62</v>
      </c>
      <c r="E68" s="68">
        <f t="shared" si="9"/>
        <v>4685.38</v>
      </c>
      <c r="F68" s="47">
        <f t="shared" si="5"/>
        <v>275833.02999999985</v>
      </c>
      <c r="G68" s="47">
        <f t="shared" si="6"/>
        <v>243409.40999999986</v>
      </c>
    </row>
    <row r="69" spans="1:7" x14ac:dyDescent="0.25">
      <c r="A69" s="54">
        <v>42771</v>
      </c>
      <c r="B69" s="46">
        <f t="shared" si="2"/>
        <v>31</v>
      </c>
      <c r="C69" s="47">
        <f t="shared" si="8"/>
        <v>37109</v>
      </c>
      <c r="D69" s="48">
        <f t="shared" si="7"/>
        <v>32974.370000000003</v>
      </c>
      <c r="E69" s="68">
        <f t="shared" si="9"/>
        <v>4134.63</v>
      </c>
      <c r="F69" s="47">
        <f t="shared" si="5"/>
        <v>243409.40999999986</v>
      </c>
      <c r="G69" s="47">
        <f t="shared" si="6"/>
        <v>210435.03999999986</v>
      </c>
    </row>
    <row r="70" spans="1:7" x14ac:dyDescent="0.25">
      <c r="A70" s="54">
        <v>42799</v>
      </c>
      <c r="B70" s="46">
        <f t="shared" ref="B70:B75" si="10">A70-A69</f>
        <v>28</v>
      </c>
      <c r="C70" s="47">
        <f t="shared" si="8"/>
        <v>37109</v>
      </c>
      <c r="D70" s="48">
        <f t="shared" si="7"/>
        <v>33880.410000000003</v>
      </c>
      <c r="E70" s="68">
        <f t="shared" si="9"/>
        <v>3228.59</v>
      </c>
      <c r="F70" s="47">
        <f t="shared" ref="F70:F75" si="11">G69</f>
        <v>210435.03999999986</v>
      </c>
      <c r="G70" s="47">
        <f t="shared" ref="G70:G75" si="12">F70-D70</f>
        <v>176554.62999999986</v>
      </c>
    </row>
    <row r="71" spans="1:7" x14ac:dyDescent="0.25">
      <c r="A71" s="54">
        <v>42830</v>
      </c>
      <c r="B71" s="46">
        <f t="shared" si="10"/>
        <v>31</v>
      </c>
      <c r="C71" s="47">
        <f t="shared" si="8"/>
        <v>37109</v>
      </c>
      <c r="D71" s="48">
        <f t="shared" si="7"/>
        <v>34109.99</v>
      </c>
      <c r="E71" s="68">
        <f t="shared" si="9"/>
        <v>2999.01</v>
      </c>
      <c r="F71" s="47">
        <f t="shared" si="11"/>
        <v>176554.62999999986</v>
      </c>
      <c r="G71" s="47">
        <f t="shared" si="12"/>
        <v>142444.63999999987</v>
      </c>
    </row>
    <row r="72" spans="1:7" x14ac:dyDescent="0.25">
      <c r="A72" s="54">
        <v>42860</v>
      </c>
      <c r="B72" s="46">
        <f t="shared" si="10"/>
        <v>30</v>
      </c>
      <c r="C72" s="47">
        <f t="shared" si="8"/>
        <v>37109</v>
      </c>
      <c r="D72" s="48">
        <f t="shared" si="7"/>
        <v>34767.440000000002</v>
      </c>
      <c r="E72" s="68">
        <f t="shared" si="9"/>
        <v>2341.56</v>
      </c>
      <c r="F72" s="47">
        <f t="shared" si="11"/>
        <v>142444.63999999987</v>
      </c>
      <c r="G72" s="47">
        <f t="shared" si="12"/>
        <v>107677.19999999987</v>
      </c>
    </row>
    <row r="73" spans="1:7" x14ac:dyDescent="0.25">
      <c r="A73" s="54">
        <v>42891</v>
      </c>
      <c r="B73" s="46">
        <f t="shared" si="10"/>
        <v>31</v>
      </c>
      <c r="C73" s="47">
        <f t="shared" si="8"/>
        <v>37109</v>
      </c>
      <c r="D73" s="48">
        <f t="shared" si="7"/>
        <v>35279.96</v>
      </c>
      <c r="E73" s="68">
        <f t="shared" si="9"/>
        <v>1829.04</v>
      </c>
      <c r="F73" s="47">
        <f t="shared" si="11"/>
        <v>107677.19999999987</v>
      </c>
      <c r="G73" s="47">
        <f t="shared" si="12"/>
        <v>72397.239999999874</v>
      </c>
    </row>
    <row r="74" spans="1:7" x14ac:dyDescent="0.25">
      <c r="A74" s="54">
        <v>42921</v>
      </c>
      <c r="B74" s="46">
        <f t="shared" si="10"/>
        <v>30</v>
      </c>
      <c r="C74" s="47">
        <f t="shared" si="8"/>
        <v>37109</v>
      </c>
      <c r="D74" s="48">
        <f t="shared" si="7"/>
        <v>35918.910000000003</v>
      </c>
      <c r="E74" s="68">
        <f t="shared" si="9"/>
        <v>1190.0899999999999</v>
      </c>
      <c r="F74" s="47">
        <f t="shared" si="11"/>
        <v>72397.239999999874</v>
      </c>
      <c r="G74" s="47">
        <f t="shared" si="12"/>
        <v>36478.329999999871</v>
      </c>
    </row>
    <row r="75" spans="1:7" x14ac:dyDescent="0.25">
      <c r="A75" s="54">
        <v>42952</v>
      </c>
      <c r="B75" s="46">
        <f t="shared" si="10"/>
        <v>31</v>
      </c>
      <c r="C75" s="47">
        <f t="shared" si="8"/>
        <v>37109</v>
      </c>
      <c r="D75" s="48">
        <f t="shared" si="7"/>
        <v>36478.329999999871</v>
      </c>
      <c r="E75" s="68">
        <v>630.67000000013184</v>
      </c>
      <c r="F75" s="47">
        <f t="shared" si="11"/>
        <v>36478.329999999871</v>
      </c>
      <c r="G75" s="47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F77D2C-51DB-44D7-BD7D-E90684CC915D}">
  <dimension ref="A1:J75"/>
  <sheetViews>
    <sheetView zoomScale="85" zoomScaleNormal="90" workbookViewId="0">
      <pane ySplit="3" topLeftCell="A64" activePane="bottomLeft" state="frozen"/>
      <selection activeCell="A40" sqref="A40:G75"/>
      <selection pane="bottomLeft" activeCell="A40" sqref="A40:G75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ROUNDUP(34665.3286111111,0)</f>
        <v>34666</v>
      </c>
      <c r="E1" s="25" t="s">
        <v>51</v>
      </c>
      <c r="F1" s="37">
        <v>37101</v>
      </c>
      <c r="G1" s="28" t="s">
        <v>52</v>
      </c>
      <c r="H1" s="26">
        <v>41917</v>
      </c>
      <c r="I1" s="28" t="s">
        <v>53</v>
      </c>
      <c r="J1" s="52">
        <v>0.2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 t="shared" ref="E5:E38" si="2"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39" si="3">DAYS360(A5,A6,TRUE)</f>
        <v>30</v>
      </c>
      <c r="C6" s="47">
        <f t="shared" ref="C6:C40" si="4">$D$1</f>
        <v>34666</v>
      </c>
      <c r="D6" s="48">
        <f t="shared" si="0"/>
        <v>22723.61</v>
      </c>
      <c r="E6" s="68">
        <f t="shared" si="2"/>
        <v>11942.39</v>
      </c>
      <c r="F6" s="47">
        <f t="shared" ref="F6:F39" si="5">G5</f>
        <v>955390.93</v>
      </c>
      <c r="G6" s="47">
        <f t="shared" ref="G6:G69" si="6">F6-D6</f>
        <v>932667.32000000007</v>
      </c>
    </row>
    <row r="7" spans="1:10" x14ac:dyDescent="0.25">
      <c r="A7" s="36">
        <v>41978</v>
      </c>
      <c r="B7" s="46">
        <f t="shared" si="3"/>
        <v>30</v>
      </c>
      <c r="C7" s="47">
        <f t="shared" si="4"/>
        <v>34666</v>
      </c>
      <c r="D7" s="48">
        <f t="shared" si="0"/>
        <v>23007.66</v>
      </c>
      <c r="E7" s="68">
        <f t="shared" si="2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3"/>
        <v>30</v>
      </c>
      <c r="C8" s="47">
        <f t="shared" si="4"/>
        <v>34666</v>
      </c>
      <c r="D8" s="48">
        <f t="shared" si="0"/>
        <v>23295.25</v>
      </c>
      <c r="E8" s="68">
        <f t="shared" si="2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3"/>
        <v>30</v>
      </c>
      <c r="C9" s="47">
        <f t="shared" si="4"/>
        <v>34666</v>
      </c>
      <c r="D9" s="48">
        <f t="shared" si="0"/>
        <v>23586.440000000002</v>
      </c>
      <c r="E9" s="68">
        <f t="shared" si="2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3"/>
        <v>30</v>
      </c>
      <c r="C10" s="47">
        <f t="shared" si="4"/>
        <v>34666</v>
      </c>
      <c r="D10" s="48">
        <f t="shared" si="0"/>
        <v>23881.279999999999</v>
      </c>
      <c r="E10" s="68">
        <f t="shared" si="2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3"/>
        <v>30</v>
      </c>
      <c r="C11" s="47">
        <f t="shared" si="4"/>
        <v>34666</v>
      </c>
      <c r="D11" s="48">
        <f t="shared" si="0"/>
        <v>24179.79</v>
      </c>
      <c r="E11" s="68">
        <f t="shared" si="2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3"/>
        <v>30</v>
      </c>
      <c r="C12" s="47">
        <f t="shared" si="4"/>
        <v>34666</v>
      </c>
      <c r="D12" s="48">
        <f t="shared" si="0"/>
        <v>24482.04</v>
      </c>
      <c r="E12" s="68">
        <f t="shared" si="2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3"/>
        <v>30</v>
      </c>
      <c r="C13" s="47">
        <f t="shared" si="4"/>
        <v>34666</v>
      </c>
      <c r="D13" s="48">
        <f t="shared" si="0"/>
        <v>24788.059999999998</v>
      </c>
      <c r="E13" s="68">
        <f t="shared" si="2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3"/>
        <v>30</v>
      </c>
      <c r="C14" s="47">
        <f t="shared" si="4"/>
        <v>34666</v>
      </c>
      <c r="D14" s="48">
        <f t="shared" si="0"/>
        <v>25097.91</v>
      </c>
      <c r="E14" s="68">
        <f t="shared" si="2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3"/>
        <v>30</v>
      </c>
      <c r="C15" s="47">
        <f t="shared" si="4"/>
        <v>34666</v>
      </c>
      <c r="D15" s="48">
        <f t="shared" si="0"/>
        <v>25411.64</v>
      </c>
      <c r="E15" s="68">
        <f t="shared" si="2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3"/>
        <v>30</v>
      </c>
      <c r="C16" s="47">
        <f t="shared" si="4"/>
        <v>34666</v>
      </c>
      <c r="D16" s="48">
        <f t="shared" si="0"/>
        <v>25729.279999999999</v>
      </c>
      <c r="E16" s="68">
        <f t="shared" si="2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34666</v>
      </c>
      <c r="D17" s="48">
        <f t="shared" si="0"/>
        <v>26050.9</v>
      </c>
      <c r="E17" s="68">
        <f t="shared" si="2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3"/>
        <v>30</v>
      </c>
      <c r="C18" s="47">
        <f t="shared" si="4"/>
        <v>34666</v>
      </c>
      <c r="D18" s="48">
        <f t="shared" si="0"/>
        <v>26376.54</v>
      </c>
      <c r="E18" s="68">
        <f t="shared" si="2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54">
        <v>42343</v>
      </c>
      <c r="B19" s="46">
        <f t="shared" si="3"/>
        <v>30</v>
      </c>
      <c r="C19" s="47">
        <f t="shared" si="4"/>
        <v>34666</v>
      </c>
      <c r="D19" s="48">
        <f t="shared" si="0"/>
        <v>26706.239999999998</v>
      </c>
      <c r="E19" s="68">
        <f t="shared" si="2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54">
        <v>42374</v>
      </c>
      <c r="B20" s="46">
        <f t="shared" si="3"/>
        <v>30</v>
      </c>
      <c r="C20" s="47">
        <f t="shared" si="4"/>
        <v>34666</v>
      </c>
      <c r="D20" s="48">
        <f t="shared" si="0"/>
        <v>27040.07</v>
      </c>
      <c r="E20" s="68">
        <f t="shared" si="2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54">
        <v>42405</v>
      </c>
      <c r="B21" s="46">
        <f t="shared" si="3"/>
        <v>30</v>
      </c>
      <c r="C21" s="47">
        <f t="shared" si="4"/>
        <v>34666</v>
      </c>
      <c r="D21" s="48">
        <f t="shared" si="0"/>
        <v>27378.07</v>
      </c>
      <c r="E21" s="68">
        <f t="shared" si="2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54">
        <v>42434</v>
      </c>
      <c r="B22" s="46">
        <f t="shared" si="3"/>
        <v>30</v>
      </c>
      <c r="C22" s="47">
        <f t="shared" si="4"/>
        <v>34666</v>
      </c>
      <c r="D22" s="48">
        <f t="shared" si="0"/>
        <v>27720.3</v>
      </c>
      <c r="E22" s="68">
        <f t="shared" si="2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54">
        <v>42465</v>
      </c>
      <c r="B23" s="46">
        <f t="shared" si="3"/>
        <v>30</v>
      </c>
      <c r="C23" s="47">
        <f t="shared" si="4"/>
        <v>34666</v>
      </c>
      <c r="D23" s="48">
        <f t="shared" si="0"/>
        <v>28066.799999999999</v>
      </c>
      <c r="E23" s="68">
        <f t="shared" si="2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54">
        <v>42495</v>
      </c>
      <c r="B24" s="46">
        <f t="shared" si="3"/>
        <v>30</v>
      </c>
      <c r="C24" s="47">
        <f t="shared" si="4"/>
        <v>34666</v>
      </c>
      <c r="D24" s="48">
        <f t="shared" si="0"/>
        <v>28417.64</v>
      </c>
      <c r="E24" s="68">
        <f t="shared" si="2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54">
        <v>42526</v>
      </c>
      <c r="B25" s="46">
        <f t="shared" si="3"/>
        <v>30</v>
      </c>
      <c r="C25" s="47">
        <f t="shared" si="4"/>
        <v>34666</v>
      </c>
      <c r="D25" s="48">
        <f t="shared" si="0"/>
        <v>28772.86</v>
      </c>
      <c r="E25" s="68">
        <f t="shared" si="2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54">
        <v>42556</v>
      </c>
      <c r="B26" s="46">
        <f t="shared" si="3"/>
        <v>30</v>
      </c>
      <c r="C26" s="47">
        <f t="shared" si="4"/>
        <v>34666</v>
      </c>
      <c r="D26" s="48">
        <f t="shared" si="0"/>
        <v>29132.52</v>
      </c>
      <c r="E26" s="68">
        <f t="shared" si="2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54">
        <v>42587</v>
      </c>
      <c r="B27" s="46">
        <f t="shared" si="3"/>
        <v>30</v>
      </c>
      <c r="C27" s="47">
        <f t="shared" si="4"/>
        <v>34666</v>
      </c>
      <c r="D27" s="48">
        <f t="shared" si="0"/>
        <v>29496.67</v>
      </c>
      <c r="E27" s="68">
        <f t="shared" si="2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54">
        <v>42618</v>
      </c>
      <c r="B28" s="46">
        <f t="shared" si="3"/>
        <v>30</v>
      </c>
      <c r="C28" s="47">
        <f t="shared" si="4"/>
        <v>34666</v>
      </c>
      <c r="D28" s="48">
        <f t="shared" si="0"/>
        <v>29865.38</v>
      </c>
      <c r="E28" s="68">
        <f t="shared" si="2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54">
        <v>42648</v>
      </c>
      <c r="B29" s="46">
        <f t="shared" si="3"/>
        <v>30</v>
      </c>
      <c r="C29" s="47">
        <f t="shared" si="4"/>
        <v>34666</v>
      </c>
      <c r="D29" s="48">
        <f t="shared" si="0"/>
        <v>30238.7</v>
      </c>
      <c r="E29" s="68">
        <f t="shared" si="2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54">
        <v>42679</v>
      </c>
      <c r="B30" s="46">
        <f t="shared" si="3"/>
        <v>30</v>
      </c>
      <c r="C30" s="47">
        <f t="shared" si="4"/>
        <v>34666</v>
      </c>
      <c r="D30" s="48">
        <f t="shared" si="0"/>
        <v>30616.68</v>
      </c>
      <c r="E30" s="68">
        <f t="shared" si="2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54">
        <v>42709</v>
      </c>
      <c r="B31" s="46">
        <f t="shared" si="3"/>
        <v>30</v>
      </c>
      <c r="C31" s="47">
        <f t="shared" si="4"/>
        <v>34666</v>
      </c>
      <c r="D31" s="48">
        <f t="shared" si="0"/>
        <v>30999.39</v>
      </c>
      <c r="E31" s="68">
        <f t="shared" si="2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54">
        <v>42740</v>
      </c>
      <c r="B32" s="46">
        <f t="shared" si="3"/>
        <v>30</v>
      </c>
      <c r="C32" s="47">
        <f t="shared" si="4"/>
        <v>34666</v>
      </c>
      <c r="D32" s="48">
        <f t="shared" si="0"/>
        <v>31386.880000000001</v>
      </c>
      <c r="E32" s="68">
        <f t="shared" si="2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54">
        <v>42771</v>
      </c>
      <c r="B33" s="46">
        <f t="shared" si="3"/>
        <v>30</v>
      </c>
      <c r="C33" s="47">
        <f t="shared" si="4"/>
        <v>34666</v>
      </c>
      <c r="D33" s="48">
        <f t="shared" si="0"/>
        <v>31779.22</v>
      </c>
      <c r="E33" s="68">
        <f t="shared" si="2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54">
        <v>42799</v>
      </c>
      <c r="B34" s="46">
        <f t="shared" si="3"/>
        <v>30</v>
      </c>
      <c r="C34" s="47">
        <f t="shared" si="4"/>
        <v>34666</v>
      </c>
      <c r="D34" s="48">
        <f t="shared" si="0"/>
        <v>32176.46</v>
      </c>
      <c r="E34" s="68">
        <f t="shared" si="2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54">
        <v>42830</v>
      </c>
      <c r="B35" s="46">
        <f t="shared" si="3"/>
        <v>30</v>
      </c>
      <c r="C35" s="47">
        <f t="shared" si="4"/>
        <v>34666</v>
      </c>
      <c r="D35" s="48">
        <f t="shared" si="0"/>
        <v>32578.67</v>
      </c>
      <c r="E35" s="68">
        <f t="shared" si="2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54">
        <v>42860</v>
      </c>
      <c r="B36" s="46">
        <f t="shared" si="3"/>
        <v>30</v>
      </c>
      <c r="C36" s="47">
        <f t="shared" si="4"/>
        <v>34666</v>
      </c>
      <c r="D36" s="48">
        <f t="shared" si="0"/>
        <v>32985.9</v>
      </c>
      <c r="E36" s="68">
        <f t="shared" si="2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54">
        <v>42891</v>
      </c>
      <c r="B37" s="46">
        <f t="shared" si="3"/>
        <v>30</v>
      </c>
      <c r="C37" s="47">
        <f t="shared" si="4"/>
        <v>34666</v>
      </c>
      <c r="D37" s="48">
        <f t="shared" si="0"/>
        <v>33398.22</v>
      </c>
      <c r="E37" s="68">
        <f t="shared" si="2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54">
        <v>42921</v>
      </c>
      <c r="B38" s="46">
        <f t="shared" si="3"/>
        <v>30</v>
      </c>
      <c r="C38" s="47">
        <f t="shared" si="4"/>
        <v>34666</v>
      </c>
      <c r="D38" s="48">
        <f t="shared" si="0"/>
        <v>33815.699999999997</v>
      </c>
      <c r="E38" s="68">
        <f t="shared" si="2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54">
        <v>42952</v>
      </c>
      <c r="B39" s="46">
        <f t="shared" si="3"/>
        <v>30</v>
      </c>
      <c r="C39" s="47">
        <f t="shared" si="4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36">
        <v>41887</v>
      </c>
      <c r="B40" s="46">
        <f>DAYS360(B1,A4,TRUE)</f>
        <v>30</v>
      </c>
      <c r="C40" s="47">
        <f t="shared" si="4"/>
        <v>34666</v>
      </c>
      <c r="D40" s="48">
        <f>C40-E40</f>
        <v>22166</v>
      </c>
      <c r="E40" s="68">
        <f>ROUND(F4*$B$2*B4/360,2)</f>
        <v>12500</v>
      </c>
      <c r="F40" s="47">
        <f>F4</f>
        <v>1000000</v>
      </c>
      <c r="G40" s="47">
        <f t="shared" si="6"/>
        <v>977834</v>
      </c>
    </row>
    <row r="41" spans="1:7" x14ac:dyDescent="0.25">
      <c r="A41" s="36">
        <v>41917</v>
      </c>
      <c r="B41" s="46">
        <f>DAYS360(A40,A41,TRUE)</f>
        <v>30</v>
      </c>
      <c r="C41" s="47">
        <f>$F$1</f>
        <v>37101</v>
      </c>
      <c r="D41" s="48">
        <f t="shared" ref="D41:D75" si="7">C41-E41</f>
        <v>20803.77</v>
      </c>
      <c r="E41" s="68">
        <f>ROUND(F41*$J$1*B41/360,2)</f>
        <v>16297.23</v>
      </c>
      <c r="F41" s="47">
        <f t="shared" ref="F41:F75" si="8">G40</f>
        <v>977834</v>
      </c>
      <c r="G41" s="47">
        <f t="shared" si="6"/>
        <v>957030.23</v>
      </c>
    </row>
    <row r="42" spans="1:7" x14ac:dyDescent="0.25">
      <c r="A42" s="36">
        <v>41948</v>
      </c>
      <c r="B42" s="46">
        <f t="shared" ref="B42:B75" si="9">DAYS360(A41,A42,TRUE)</f>
        <v>30</v>
      </c>
      <c r="C42" s="47">
        <f t="shared" ref="C42:C75" si="10">$F$1</f>
        <v>37101</v>
      </c>
      <c r="D42" s="48">
        <f t="shared" si="7"/>
        <v>21150.5</v>
      </c>
      <c r="E42" s="68">
        <f t="shared" ref="E42:E74" si="11">ROUND(F42*$J$1*B42/360,2)</f>
        <v>15950.5</v>
      </c>
      <c r="F42" s="47">
        <f t="shared" si="8"/>
        <v>957030.23</v>
      </c>
      <c r="G42" s="47">
        <f t="shared" si="6"/>
        <v>935879.73</v>
      </c>
    </row>
    <row r="43" spans="1:7" x14ac:dyDescent="0.25">
      <c r="A43" s="36">
        <v>41978</v>
      </c>
      <c r="B43" s="46">
        <f t="shared" si="9"/>
        <v>30</v>
      </c>
      <c r="C43" s="47">
        <f t="shared" si="10"/>
        <v>37101</v>
      </c>
      <c r="D43" s="48">
        <f t="shared" si="7"/>
        <v>21503</v>
      </c>
      <c r="E43" s="68">
        <f t="shared" si="11"/>
        <v>15598</v>
      </c>
      <c r="F43" s="47">
        <f t="shared" si="8"/>
        <v>935879.73</v>
      </c>
      <c r="G43" s="47">
        <f t="shared" si="6"/>
        <v>914376.73</v>
      </c>
    </row>
    <row r="44" spans="1:7" x14ac:dyDescent="0.25">
      <c r="A44" s="36">
        <v>42009</v>
      </c>
      <c r="B44" s="46">
        <f t="shared" si="9"/>
        <v>30</v>
      </c>
      <c r="C44" s="47">
        <f t="shared" si="10"/>
        <v>37101</v>
      </c>
      <c r="D44" s="48">
        <f t="shared" si="7"/>
        <v>21861.39</v>
      </c>
      <c r="E44" s="68">
        <f t="shared" si="11"/>
        <v>15239.61</v>
      </c>
      <c r="F44" s="47">
        <f t="shared" si="8"/>
        <v>914376.73</v>
      </c>
      <c r="G44" s="47">
        <f t="shared" si="6"/>
        <v>892515.34</v>
      </c>
    </row>
    <row r="45" spans="1:7" x14ac:dyDescent="0.25">
      <c r="A45" s="36">
        <v>42040</v>
      </c>
      <c r="B45" s="46">
        <f t="shared" si="9"/>
        <v>30</v>
      </c>
      <c r="C45" s="47">
        <f t="shared" si="10"/>
        <v>37101</v>
      </c>
      <c r="D45" s="48">
        <f t="shared" si="7"/>
        <v>22225.739999999998</v>
      </c>
      <c r="E45" s="68">
        <f t="shared" si="11"/>
        <v>14875.26</v>
      </c>
      <c r="F45" s="47">
        <f t="shared" si="8"/>
        <v>892515.34</v>
      </c>
      <c r="G45" s="47">
        <f t="shared" si="6"/>
        <v>870289.6</v>
      </c>
    </row>
    <row r="46" spans="1:7" x14ac:dyDescent="0.25">
      <c r="A46" s="36">
        <v>42068</v>
      </c>
      <c r="B46" s="46">
        <f t="shared" si="9"/>
        <v>30</v>
      </c>
      <c r="C46" s="47">
        <f t="shared" si="10"/>
        <v>37101</v>
      </c>
      <c r="D46" s="48">
        <f t="shared" si="7"/>
        <v>22596.17</v>
      </c>
      <c r="E46" s="68">
        <f t="shared" si="11"/>
        <v>14504.83</v>
      </c>
      <c r="F46" s="47">
        <f t="shared" si="8"/>
        <v>870289.6</v>
      </c>
      <c r="G46" s="47">
        <f t="shared" si="6"/>
        <v>847693.42999999993</v>
      </c>
    </row>
    <row r="47" spans="1:7" x14ac:dyDescent="0.25">
      <c r="A47" s="36">
        <v>42099</v>
      </c>
      <c r="B47" s="46">
        <f t="shared" si="9"/>
        <v>30</v>
      </c>
      <c r="C47" s="47">
        <f t="shared" si="10"/>
        <v>37101</v>
      </c>
      <c r="D47" s="48">
        <f t="shared" si="7"/>
        <v>22972.78</v>
      </c>
      <c r="E47" s="68">
        <f t="shared" si="11"/>
        <v>14128.22</v>
      </c>
      <c r="F47" s="47">
        <f t="shared" si="8"/>
        <v>847693.42999999993</v>
      </c>
      <c r="G47" s="47">
        <f t="shared" si="6"/>
        <v>824720.64999999991</v>
      </c>
    </row>
    <row r="48" spans="1:7" x14ac:dyDescent="0.25">
      <c r="A48" s="36">
        <v>42129</v>
      </c>
      <c r="B48" s="46">
        <f t="shared" si="9"/>
        <v>30</v>
      </c>
      <c r="C48" s="47">
        <f t="shared" si="10"/>
        <v>37101</v>
      </c>
      <c r="D48" s="48">
        <f t="shared" si="7"/>
        <v>23355.66</v>
      </c>
      <c r="E48" s="68">
        <f t="shared" si="11"/>
        <v>13745.34</v>
      </c>
      <c r="F48" s="47">
        <f t="shared" si="8"/>
        <v>824720.64999999991</v>
      </c>
      <c r="G48" s="47">
        <f t="shared" si="6"/>
        <v>801364.98999999987</v>
      </c>
    </row>
    <row r="49" spans="1:7" x14ac:dyDescent="0.25">
      <c r="A49" s="36">
        <v>42160</v>
      </c>
      <c r="B49" s="46">
        <f t="shared" si="9"/>
        <v>30</v>
      </c>
      <c r="C49" s="47">
        <f t="shared" si="10"/>
        <v>37101</v>
      </c>
      <c r="D49" s="48">
        <f t="shared" si="7"/>
        <v>23744.92</v>
      </c>
      <c r="E49" s="68">
        <f t="shared" si="11"/>
        <v>13356.08</v>
      </c>
      <c r="F49" s="47">
        <f t="shared" si="8"/>
        <v>801364.98999999987</v>
      </c>
      <c r="G49" s="47">
        <f t="shared" si="6"/>
        <v>777620.06999999983</v>
      </c>
    </row>
    <row r="50" spans="1:7" x14ac:dyDescent="0.25">
      <c r="A50" s="36">
        <v>42190</v>
      </c>
      <c r="B50" s="46">
        <f t="shared" si="9"/>
        <v>30</v>
      </c>
      <c r="C50" s="47">
        <f t="shared" si="10"/>
        <v>37101</v>
      </c>
      <c r="D50" s="48">
        <f t="shared" si="7"/>
        <v>24140.67</v>
      </c>
      <c r="E50" s="68">
        <f t="shared" si="11"/>
        <v>12960.33</v>
      </c>
      <c r="F50" s="47">
        <f t="shared" si="8"/>
        <v>777620.06999999983</v>
      </c>
      <c r="G50" s="47">
        <f t="shared" si="6"/>
        <v>753479.39999999979</v>
      </c>
    </row>
    <row r="51" spans="1:7" x14ac:dyDescent="0.25">
      <c r="A51" s="36">
        <v>42221</v>
      </c>
      <c r="B51" s="46">
        <f t="shared" si="9"/>
        <v>30</v>
      </c>
      <c r="C51" s="47">
        <f t="shared" si="10"/>
        <v>37101</v>
      </c>
      <c r="D51" s="48">
        <f t="shared" si="7"/>
        <v>24543.010000000002</v>
      </c>
      <c r="E51" s="68">
        <f t="shared" si="11"/>
        <v>12557.99</v>
      </c>
      <c r="F51" s="47">
        <f t="shared" si="8"/>
        <v>753479.39999999979</v>
      </c>
      <c r="G51" s="47">
        <f t="shared" si="6"/>
        <v>728936.38999999978</v>
      </c>
    </row>
    <row r="52" spans="1:7" x14ac:dyDescent="0.25">
      <c r="A52" s="36">
        <v>42252</v>
      </c>
      <c r="B52" s="46">
        <f t="shared" si="9"/>
        <v>30</v>
      </c>
      <c r="C52" s="47">
        <f t="shared" si="10"/>
        <v>37101</v>
      </c>
      <c r="D52" s="48">
        <f t="shared" si="7"/>
        <v>24952.059999999998</v>
      </c>
      <c r="E52" s="68">
        <f t="shared" si="11"/>
        <v>12148.94</v>
      </c>
      <c r="F52" s="47">
        <f t="shared" si="8"/>
        <v>728936.38999999978</v>
      </c>
      <c r="G52" s="47">
        <f t="shared" si="6"/>
        <v>703984.32999999984</v>
      </c>
    </row>
    <row r="53" spans="1:7" x14ac:dyDescent="0.25">
      <c r="A53" s="36">
        <v>42282</v>
      </c>
      <c r="B53" s="46">
        <f t="shared" si="9"/>
        <v>30</v>
      </c>
      <c r="C53" s="47">
        <f t="shared" si="10"/>
        <v>37101</v>
      </c>
      <c r="D53" s="48">
        <f t="shared" si="7"/>
        <v>25367.93</v>
      </c>
      <c r="E53" s="68">
        <f t="shared" si="11"/>
        <v>11733.07</v>
      </c>
      <c r="F53" s="47">
        <f t="shared" si="8"/>
        <v>703984.32999999984</v>
      </c>
      <c r="G53" s="47">
        <f t="shared" si="6"/>
        <v>678616.39999999979</v>
      </c>
    </row>
    <row r="54" spans="1:7" x14ac:dyDescent="0.25">
      <c r="A54" s="36">
        <v>42313</v>
      </c>
      <c r="B54" s="46">
        <f t="shared" si="9"/>
        <v>30</v>
      </c>
      <c r="C54" s="47">
        <f t="shared" si="10"/>
        <v>37101</v>
      </c>
      <c r="D54" s="48">
        <f t="shared" si="7"/>
        <v>25790.73</v>
      </c>
      <c r="E54" s="68">
        <f t="shared" si="11"/>
        <v>11310.27</v>
      </c>
      <c r="F54" s="47">
        <f t="shared" si="8"/>
        <v>678616.39999999979</v>
      </c>
      <c r="G54" s="47">
        <f t="shared" si="6"/>
        <v>652825.66999999981</v>
      </c>
    </row>
    <row r="55" spans="1:7" x14ac:dyDescent="0.25">
      <c r="A55" s="54">
        <v>42343</v>
      </c>
      <c r="B55" s="46">
        <f t="shared" si="9"/>
        <v>30</v>
      </c>
      <c r="C55" s="47">
        <f t="shared" si="10"/>
        <v>37101</v>
      </c>
      <c r="D55" s="48">
        <f t="shared" si="7"/>
        <v>26220.57</v>
      </c>
      <c r="E55" s="68">
        <f t="shared" si="11"/>
        <v>10880.43</v>
      </c>
      <c r="F55" s="47">
        <f t="shared" si="8"/>
        <v>652825.66999999981</v>
      </c>
      <c r="G55" s="47">
        <f t="shared" si="6"/>
        <v>626605.09999999986</v>
      </c>
    </row>
    <row r="56" spans="1:7" x14ac:dyDescent="0.25">
      <c r="A56" s="54">
        <v>42374</v>
      </c>
      <c r="B56" s="46">
        <f t="shared" si="9"/>
        <v>30</v>
      </c>
      <c r="C56" s="47">
        <f t="shared" si="10"/>
        <v>37101</v>
      </c>
      <c r="D56" s="48">
        <f t="shared" si="7"/>
        <v>26657.58</v>
      </c>
      <c r="E56" s="68">
        <f t="shared" si="11"/>
        <v>10443.42</v>
      </c>
      <c r="F56" s="47">
        <f t="shared" si="8"/>
        <v>626605.09999999986</v>
      </c>
      <c r="G56" s="47">
        <f t="shared" si="6"/>
        <v>599947.5199999999</v>
      </c>
    </row>
    <row r="57" spans="1:7" x14ac:dyDescent="0.25">
      <c r="A57" s="54">
        <v>42405</v>
      </c>
      <c r="B57" s="46">
        <f t="shared" si="9"/>
        <v>30</v>
      </c>
      <c r="C57" s="47">
        <f t="shared" si="10"/>
        <v>37101</v>
      </c>
      <c r="D57" s="48">
        <f t="shared" si="7"/>
        <v>27101.870000000003</v>
      </c>
      <c r="E57" s="68">
        <f t="shared" si="11"/>
        <v>9999.1299999999992</v>
      </c>
      <c r="F57" s="47">
        <f t="shared" si="8"/>
        <v>599947.5199999999</v>
      </c>
      <c r="G57" s="47">
        <f t="shared" si="6"/>
        <v>572845.64999999991</v>
      </c>
    </row>
    <row r="58" spans="1:7" x14ac:dyDescent="0.25">
      <c r="A58" s="54">
        <v>42434</v>
      </c>
      <c r="B58" s="46">
        <f t="shared" si="9"/>
        <v>30</v>
      </c>
      <c r="C58" s="47">
        <f t="shared" si="10"/>
        <v>37101</v>
      </c>
      <c r="D58" s="48">
        <f t="shared" si="7"/>
        <v>27553.57</v>
      </c>
      <c r="E58" s="68">
        <f t="shared" si="11"/>
        <v>9547.43</v>
      </c>
      <c r="F58" s="47">
        <f t="shared" si="8"/>
        <v>572845.64999999991</v>
      </c>
      <c r="G58" s="47">
        <f t="shared" si="6"/>
        <v>545292.07999999996</v>
      </c>
    </row>
    <row r="59" spans="1:7" x14ac:dyDescent="0.25">
      <c r="A59" s="54">
        <v>42465</v>
      </c>
      <c r="B59" s="46">
        <f t="shared" si="9"/>
        <v>30</v>
      </c>
      <c r="C59" s="47">
        <f t="shared" si="10"/>
        <v>37101</v>
      </c>
      <c r="D59" s="48">
        <f t="shared" si="7"/>
        <v>28012.799999999999</v>
      </c>
      <c r="E59" s="68">
        <f t="shared" si="11"/>
        <v>9088.2000000000007</v>
      </c>
      <c r="F59" s="47">
        <f t="shared" si="8"/>
        <v>545292.07999999996</v>
      </c>
      <c r="G59" s="47">
        <f t="shared" si="6"/>
        <v>517279.27999999997</v>
      </c>
    </row>
    <row r="60" spans="1:7" x14ac:dyDescent="0.25">
      <c r="A60" s="54">
        <v>42495</v>
      </c>
      <c r="B60" s="46">
        <f t="shared" si="9"/>
        <v>30</v>
      </c>
      <c r="C60" s="47">
        <f>$F$1</f>
        <v>37101</v>
      </c>
      <c r="D60" s="48">
        <f t="shared" si="7"/>
        <v>28479.68</v>
      </c>
      <c r="E60" s="68">
        <f t="shared" si="11"/>
        <v>8621.32</v>
      </c>
      <c r="F60" s="47">
        <f t="shared" si="8"/>
        <v>517279.27999999997</v>
      </c>
      <c r="G60" s="47">
        <f t="shared" si="6"/>
        <v>488799.6</v>
      </c>
    </row>
    <row r="61" spans="1:7" x14ac:dyDescent="0.25">
      <c r="A61" s="54">
        <v>42526</v>
      </c>
      <c r="B61" s="46">
        <f t="shared" si="9"/>
        <v>30</v>
      </c>
      <c r="C61" s="47">
        <f t="shared" si="10"/>
        <v>37101</v>
      </c>
      <c r="D61" s="48">
        <f t="shared" si="7"/>
        <v>28954.34</v>
      </c>
      <c r="E61" s="68">
        <f t="shared" si="11"/>
        <v>8146.66</v>
      </c>
      <c r="F61" s="47">
        <f t="shared" si="8"/>
        <v>488799.6</v>
      </c>
      <c r="G61" s="47">
        <f t="shared" si="6"/>
        <v>459845.25999999995</v>
      </c>
    </row>
    <row r="62" spans="1:7" x14ac:dyDescent="0.25">
      <c r="A62" s="54">
        <v>42556</v>
      </c>
      <c r="B62" s="46">
        <f t="shared" si="9"/>
        <v>30</v>
      </c>
      <c r="C62" s="47">
        <f t="shared" si="10"/>
        <v>37101</v>
      </c>
      <c r="D62" s="48">
        <f t="shared" si="7"/>
        <v>29436.91</v>
      </c>
      <c r="E62" s="68">
        <f t="shared" si="11"/>
        <v>7664.09</v>
      </c>
      <c r="F62" s="47">
        <f t="shared" si="8"/>
        <v>459845.25999999995</v>
      </c>
      <c r="G62" s="47">
        <f t="shared" si="6"/>
        <v>430408.35</v>
      </c>
    </row>
    <row r="63" spans="1:7" x14ac:dyDescent="0.25">
      <c r="A63" s="54">
        <v>42587</v>
      </c>
      <c r="B63" s="46">
        <f t="shared" si="9"/>
        <v>30</v>
      </c>
      <c r="C63" s="47">
        <f t="shared" si="10"/>
        <v>37101</v>
      </c>
      <c r="D63" s="48">
        <f t="shared" si="7"/>
        <v>29927.53</v>
      </c>
      <c r="E63" s="68">
        <f t="shared" si="11"/>
        <v>7173.47</v>
      </c>
      <c r="F63" s="47">
        <f t="shared" si="8"/>
        <v>430408.35</v>
      </c>
      <c r="G63" s="47">
        <f t="shared" si="6"/>
        <v>400480.81999999995</v>
      </c>
    </row>
    <row r="64" spans="1:7" x14ac:dyDescent="0.25">
      <c r="A64" s="54">
        <v>42618</v>
      </c>
      <c r="B64" s="46">
        <f t="shared" si="9"/>
        <v>30</v>
      </c>
      <c r="C64" s="47">
        <f t="shared" si="10"/>
        <v>37101</v>
      </c>
      <c r="D64" s="48">
        <f t="shared" si="7"/>
        <v>30426.32</v>
      </c>
      <c r="E64" s="68">
        <f t="shared" si="11"/>
        <v>6674.68</v>
      </c>
      <c r="F64" s="47">
        <f t="shared" si="8"/>
        <v>400480.81999999995</v>
      </c>
      <c r="G64" s="47">
        <f t="shared" si="6"/>
        <v>370054.49999999994</v>
      </c>
    </row>
    <row r="65" spans="1:7" x14ac:dyDescent="0.25">
      <c r="A65" s="54">
        <v>42648</v>
      </c>
      <c r="B65" s="46">
        <f t="shared" si="9"/>
        <v>30</v>
      </c>
      <c r="C65" s="47">
        <f t="shared" si="10"/>
        <v>37101</v>
      </c>
      <c r="D65" s="48">
        <f t="shared" si="7"/>
        <v>30933.42</v>
      </c>
      <c r="E65" s="68">
        <f t="shared" si="11"/>
        <v>6167.58</v>
      </c>
      <c r="F65" s="47">
        <f t="shared" si="8"/>
        <v>370054.49999999994</v>
      </c>
      <c r="G65" s="47">
        <f t="shared" si="6"/>
        <v>339121.07999999996</v>
      </c>
    </row>
    <row r="66" spans="1:7" x14ac:dyDescent="0.25">
      <c r="A66" s="54">
        <v>42679</v>
      </c>
      <c r="B66" s="46">
        <f t="shared" si="9"/>
        <v>30</v>
      </c>
      <c r="C66" s="47">
        <f t="shared" si="10"/>
        <v>37101</v>
      </c>
      <c r="D66" s="48">
        <f t="shared" si="7"/>
        <v>31448.98</v>
      </c>
      <c r="E66" s="68">
        <f t="shared" si="11"/>
        <v>5652.02</v>
      </c>
      <c r="F66" s="47">
        <f t="shared" si="8"/>
        <v>339121.07999999996</v>
      </c>
      <c r="G66" s="47">
        <f t="shared" si="6"/>
        <v>307672.09999999998</v>
      </c>
    </row>
    <row r="67" spans="1:7" x14ac:dyDescent="0.25">
      <c r="A67" s="54">
        <v>42709</v>
      </c>
      <c r="B67" s="46">
        <f t="shared" si="9"/>
        <v>30</v>
      </c>
      <c r="C67" s="47">
        <f t="shared" si="10"/>
        <v>37101</v>
      </c>
      <c r="D67" s="48">
        <f t="shared" si="7"/>
        <v>31973.13</v>
      </c>
      <c r="E67" s="68">
        <f t="shared" si="11"/>
        <v>5127.87</v>
      </c>
      <c r="F67" s="47">
        <f t="shared" si="8"/>
        <v>307672.09999999998</v>
      </c>
      <c r="G67" s="47">
        <f t="shared" si="6"/>
        <v>275698.96999999997</v>
      </c>
    </row>
    <row r="68" spans="1:7" x14ac:dyDescent="0.25">
      <c r="A68" s="54">
        <v>42740</v>
      </c>
      <c r="B68" s="46">
        <f t="shared" si="9"/>
        <v>30</v>
      </c>
      <c r="C68" s="47">
        <f t="shared" si="10"/>
        <v>37101</v>
      </c>
      <c r="D68" s="48">
        <f t="shared" si="7"/>
        <v>32506.02</v>
      </c>
      <c r="E68" s="68">
        <f t="shared" si="11"/>
        <v>4594.9799999999996</v>
      </c>
      <c r="F68" s="47">
        <f t="shared" si="8"/>
        <v>275698.96999999997</v>
      </c>
      <c r="G68" s="47">
        <f t="shared" si="6"/>
        <v>243192.94999999998</v>
      </c>
    </row>
    <row r="69" spans="1:7" x14ac:dyDescent="0.25">
      <c r="A69" s="54">
        <v>42771</v>
      </c>
      <c r="B69" s="46">
        <f t="shared" si="9"/>
        <v>30</v>
      </c>
      <c r="C69" s="47">
        <f t="shared" si="10"/>
        <v>37101</v>
      </c>
      <c r="D69" s="48">
        <f t="shared" si="7"/>
        <v>33047.78</v>
      </c>
      <c r="E69" s="68">
        <f t="shared" si="11"/>
        <v>4053.22</v>
      </c>
      <c r="F69" s="47">
        <f t="shared" si="8"/>
        <v>243192.94999999998</v>
      </c>
      <c r="G69" s="47">
        <f t="shared" si="6"/>
        <v>210145.16999999998</v>
      </c>
    </row>
    <row r="70" spans="1:7" x14ac:dyDescent="0.25">
      <c r="A70" s="54">
        <v>42799</v>
      </c>
      <c r="B70" s="46">
        <f t="shared" si="9"/>
        <v>30</v>
      </c>
      <c r="C70" s="47">
        <f t="shared" si="10"/>
        <v>37101</v>
      </c>
      <c r="D70" s="48">
        <f t="shared" si="7"/>
        <v>33598.58</v>
      </c>
      <c r="E70" s="68">
        <f t="shared" si="11"/>
        <v>3502.42</v>
      </c>
      <c r="F70" s="47">
        <f t="shared" si="8"/>
        <v>210145.16999999998</v>
      </c>
      <c r="G70" s="47">
        <f t="shared" ref="G70:G75" si="12">F70-D70</f>
        <v>176546.58999999997</v>
      </c>
    </row>
    <row r="71" spans="1:7" x14ac:dyDescent="0.25">
      <c r="A71" s="54">
        <v>42830</v>
      </c>
      <c r="B71" s="46">
        <f t="shared" si="9"/>
        <v>30</v>
      </c>
      <c r="C71" s="47">
        <f t="shared" si="10"/>
        <v>37101</v>
      </c>
      <c r="D71" s="48">
        <f t="shared" si="7"/>
        <v>34158.559999999998</v>
      </c>
      <c r="E71" s="68">
        <f t="shared" si="11"/>
        <v>2942.44</v>
      </c>
      <c r="F71" s="47">
        <f t="shared" si="8"/>
        <v>176546.58999999997</v>
      </c>
      <c r="G71" s="47">
        <f t="shared" si="12"/>
        <v>142388.02999999997</v>
      </c>
    </row>
    <row r="72" spans="1:7" x14ac:dyDescent="0.25">
      <c r="A72" s="54">
        <v>42860</v>
      </c>
      <c r="B72" s="46">
        <f t="shared" si="9"/>
        <v>30</v>
      </c>
      <c r="C72" s="47">
        <f t="shared" si="10"/>
        <v>37101</v>
      </c>
      <c r="D72" s="48">
        <f t="shared" si="7"/>
        <v>34727.870000000003</v>
      </c>
      <c r="E72" s="68">
        <f t="shared" si="11"/>
        <v>2373.13</v>
      </c>
      <c r="F72" s="47">
        <f t="shared" si="8"/>
        <v>142388.02999999997</v>
      </c>
      <c r="G72" s="47">
        <f t="shared" si="12"/>
        <v>107660.15999999997</v>
      </c>
    </row>
    <row r="73" spans="1:7" x14ac:dyDescent="0.25">
      <c r="A73" s="54">
        <v>42891</v>
      </c>
      <c r="B73" s="46">
        <f t="shared" si="9"/>
        <v>30</v>
      </c>
      <c r="C73" s="47">
        <f t="shared" si="10"/>
        <v>37101</v>
      </c>
      <c r="D73" s="48">
        <f t="shared" si="7"/>
        <v>35306.660000000003</v>
      </c>
      <c r="E73" s="68">
        <f t="shared" si="11"/>
        <v>1794.34</v>
      </c>
      <c r="F73" s="47">
        <f t="shared" si="8"/>
        <v>107660.15999999997</v>
      </c>
      <c r="G73" s="47">
        <f t="shared" si="12"/>
        <v>72353.499999999971</v>
      </c>
    </row>
    <row r="74" spans="1:7" x14ac:dyDescent="0.25">
      <c r="A74" s="54">
        <v>42921</v>
      </c>
      <c r="B74" s="46">
        <f t="shared" si="9"/>
        <v>30</v>
      </c>
      <c r="C74" s="47">
        <f t="shared" si="10"/>
        <v>37101</v>
      </c>
      <c r="D74" s="48">
        <f t="shared" si="7"/>
        <v>35895.11</v>
      </c>
      <c r="E74" s="68">
        <f t="shared" si="11"/>
        <v>1205.8900000000001</v>
      </c>
      <c r="F74" s="47">
        <f t="shared" si="8"/>
        <v>72353.499999999971</v>
      </c>
      <c r="G74" s="47">
        <f t="shared" si="12"/>
        <v>36458.38999999997</v>
      </c>
    </row>
    <row r="75" spans="1:7" x14ac:dyDescent="0.25">
      <c r="A75" s="54">
        <v>42952</v>
      </c>
      <c r="B75" s="46">
        <f t="shared" si="9"/>
        <v>30</v>
      </c>
      <c r="C75" s="47">
        <f t="shared" si="10"/>
        <v>37101</v>
      </c>
      <c r="D75" s="48">
        <f t="shared" si="7"/>
        <v>36458.38999999997</v>
      </c>
      <c r="E75" s="68">
        <v>642.61000000003025</v>
      </c>
      <c r="F75" s="47">
        <f t="shared" si="8"/>
        <v>36458.38999999997</v>
      </c>
      <c r="G75" s="47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ED1EF4-5BAD-4032-8C5B-E9AFA21CC43E}">
  <dimension ref="A1:R3"/>
  <sheetViews>
    <sheetView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0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103</v>
      </c>
      <c r="P2" s="20" t="s">
        <v>104</v>
      </c>
      <c r="Q2" s="20" t="s">
        <v>105</v>
      </c>
      <c r="R2" s="20" t="s">
        <v>100</v>
      </c>
    </row>
    <row r="3" spans="1:18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103</v>
      </c>
      <c r="P3" s="20" t="s">
        <v>104</v>
      </c>
      <c r="Q3" s="20" t="s">
        <v>105</v>
      </c>
      <c r="R3" s="20" t="s">
        <v>101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496CE-A232-4104-848A-83EF3CAB6928}">
  <dimension ref="A1:J51"/>
  <sheetViews>
    <sheetView zoomScale="80" zoomScaleNormal="80" workbookViewId="0">
      <pane ySplit="3" topLeftCell="A30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25" t="s">
        <v>51</v>
      </c>
      <c r="F1" s="37">
        <f>ROUNDUP(67461.0908447755,0)</f>
        <v>67462</v>
      </c>
      <c r="G1" s="28" t="s">
        <v>52</v>
      </c>
      <c r="H1" s="26">
        <v>41887</v>
      </c>
      <c r="I1" s="69" t="s">
        <v>102</v>
      </c>
      <c r="J1" s="69">
        <v>24</v>
      </c>
    </row>
    <row r="2" spans="1:10" x14ac:dyDescent="0.25">
      <c r="A2" s="17" t="s">
        <v>34</v>
      </c>
      <c r="B2" s="18">
        <v>0.15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39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51" si="2">A6-A5</f>
        <v>31</v>
      </c>
      <c r="C6" s="47">
        <f t="shared" ref="C6:C40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51" si="5">G5</f>
        <v>955450.07</v>
      </c>
      <c r="G6" s="47">
        <f t="shared" ref="G6:G51" si="6">F6-D6</f>
        <v>932948.24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0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0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0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0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0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0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0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36">
        <v>42252</v>
      </c>
      <c r="B40" s="46">
        <f>A4-B1</f>
        <v>31</v>
      </c>
      <c r="C40" s="47">
        <f t="shared" si="3"/>
        <v>34674</v>
      </c>
      <c r="D40" s="48">
        <f>C40-E40</f>
        <v>25566.89</v>
      </c>
      <c r="E40" s="68">
        <f>ROUND(F16*$B$2*B16/365,2)</f>
        <v>9107.11</v>
      </c>
      <c r="F40" s="47">
        <f>G15</f>
        <v>714859.15999999992</v>
      </c>
      <c r="G40" s="47">
        <f t="shared" si="6"/>
        <v>689292.2699999999</v>
      </c>
    </row>
    <row r="41" spans="1:7" x14ac:dyDescent="0.25">
      <c r="A41" s="36">
        <v>42282</v>
      </c>
      <c r="B41" s="46">
        <f t="shared" si="2"/>
        <v>30</v>
      </c>
      <c r="C41" s="47">
        <f>$F$1</f>
        <v>67462</v>
      </c>
      <c r="D41" s="48">
        <f t="shared" ref="D41:D51" si="7">C41-E41</f>
        <v>58963.88</v>
      </c>
      <c r="E41" s="68">
        <f>ROUND(F41*$B$2*B41/365,2)</f>
        <v>8498.1200000000008</v>
      </c>
      <c r="F41" s="47">
        <f t="shared" si="5"/>
        <v>689292.2699999999</v>
      </c>
      <c r="G41" s="47">
        <f t="shared" si="6"/>
        <v>630328.3899999999</v>
      </c>
    </row>
    <row r="42" spans="1:7" x14ac:dyDescent="0.25">
      <c r="A42" s="36">
        <v>42313</v>
      </c>
      <c r="B42" s="46">
        <f t="shared" si="2"/>
        <v>31</v>
      </c>
      <c r="C42" s="47">
        <f t="shared" ref="C42:C51" si="8">$F$1</f>
        <v>67462</v>
      </c>
      <c r="D42" s="48">
        <f t="shared" si="7"/>
        <v>59431.79</v>
      </c>
      <c r="E42" s="68">
        <f t="shared" ref="E42:E50" si="9">ROUND(F42*$B$2*B42/365,2)</f>
        <v>8030.21</v>
      </c>
      <c r="F42" s="47">
        <f t="shared" si="5"/>
        <v>630328.3899999999</v>
      </c>
      <c r="G42" s="47">
        <f t="shared" si="6"/>
        <v>570896.59999999986</v>
      </c>
    </row>
    <row r="43" spans="1:7" x14ac:dyDescent="0.25">
      <c r="A43" s="54">
        <v>42343</v>
      </c>
      <c r="B43" s="46">
        <f t="shared" si="2"/>
        <v>30</v>
      </c>
      <c r="C43" s="47">
        <f t="shared" si="8"/>
        <v>67462</v>
      </c>
      <c r="D43" s="48">
        <f t="shared" si="7"/>
        <v>60423.55</v>
      </c>
      <c r="E43" s="68">
        <f t="shared" si="9"/>
        <v>7038.45</v>
      </c>
      <c r="F43" s="47">
        <f t="shared" si="5"/>
        <v>570896.59999999986</v>
      </c>
      <c r="G43" s="47">
        <f t="shared" si="6"/>
        <v>510473.04999999987</v>
      </c>
    </row>
    <row r="44" spans="1:7" x14ac:dyDescent="0.25">
      <c r="A44" s="54">
        <v>42374</v>
      </c>
      <c r="B44" s="46">
        <f t="shared" si="2"/>
        <v>31</v>
      </c>
      <c r="C44" s="47">
        <f t="shared" si="8"/>
        <v>67462</v>
      </c>
      <c r="D44" s="48">
        <f t="shared" si="7"/>
        <v>60958.71</v>
      </c>
      <c r="E44" s="68">
        <f t="shared" si="9"/>
        <v>6503.29</v>
      </c>
      <c r="F44" s="47">
        <f t="shared" si="5"/>
        <v>510473.04999999987</v>
      </c>
      <c r="G44" s="47">
        <f t="shared" si="6"/>
        <v>449514.33999999985</v>
      </c>
    </row>
    <row r="45" spans="1:7" x14ac:dyDescent="0.25">
      <c r="A45" s="54">
        <v>42405</v>
      </c>
      <c r="B45" s="46">
        <f t="shared" si="2"/>
        <v>31</v>
      </c>
      <c r="C45" s="47">
        <f t="shared" si="8"/>
        <v>67462</v>
      </c>
      <c r="D45" s="48">
        <f t="shared" si="7"/>
        <v>61735.31</v>
      </c>
      <c r="E45" s="68">
        <f t="shared" si="9"/>
        <v>5726.69</v>
      </c>
      <c r="F45" s="47">
        <f t="shared" si="5"/>
        <v>449514.33999999985</v>
      </c>
      <c r="G45" s="47">
        <f t="shared" si="6"/>
        <v>387779.02999999985</v>
      </c>
    </row>
    <row r="46" spans="1:7" x14ac:dyDescent="0.25">
      <c r="A46" s="54">
        <v>42434</v>
      </c>
      <c r="B46" s="46">
        <f t="shared" si="2"/>
        <v>29</v>
      </c>
      <c r="C46" s="47">
        <f t="shared" si="8"/>
        <v>67462</v>
      </c>
      <c r="D46" s="48">
        <f t="shared" si="7"/>
        <v>62840.520000000004</v>
      </c>
      <c r="E46" s="68">
        <f t="shared" si="9"/>
        <v>4621.4799999999996</v>
      </c>
      <c r="F46" s="47">
        <f t="shared" si="5"/>
        <v>387779.02999999985</v>
      </c>
      <c r="G46" s="47">
        <f t="shared" si="6"/>
        <v>324938.50999999983</v>
      </c>
    </row>
    <row r="47" spans="1:7" x14ac:dyDescent="0.25">
      <c r="A47" s="54">
        <v>42465</v>
      </c>
      <c r="B47" s="46">
        <f t="shared" si="2"/>
        <v>31</v>
      </c>
      <c r="C47" s="47">
        <f t="shared" si="8"/>
        <v>67462</v>
      </c>
      <c r="D47" s="48">
        <f t="shared" si="7"/>
        <v>63322.37</v>
      </c>
      <c r="E47" s="68">
        <f t="shared" si="9"/>
        <v>4139.63</v>
      </c>
      <c r="F47" s="47">
        <f t="shared" si="5"/>
        <v>324938.50999999983</v>
      </c>
      <c r="G47" s="47">
        <f t="shared" si="6"/>
        <v>261616.13999999984</v>
      </c>
    </row>
    <row r="48" spans="1:7" x14ac:dyDescent="0.25">
      <c r="A48" s="54">
        <v>42495</v>
      </c>
      <c r="B48" s="46">
        <f t="shared" si="2"/>
        <v>30</v>
      </c>
      <c r="C48" s="47">
        <f t="shared" si="8"/>
        <v>67462</v>
      </c>
      <c r="D48" s="48">
        <f t="shared" si="7"/>
        <v>64236.6</v>
      </c>
      <c r="E48" s="68">
        <f t="shared" si="9"/>
        <v>3225.4</v>
      </c>
      <c r="F48" s="47">
        <f t="shared" si="5"/>
        <v>261616.13999999984</v>
      </c>
      <c r="G48" s="47">
        <f t="shared" si="6"/>
        <v>197379.53999999983</v>
      </c>
    </row>
    <row r="49" spans="1:7" x14ac:dyDescent="0.25">
      <c r="A49" s="54">
        <v>42526</v>
      </c>
      <c r="B49" s="46">
        <f t="shared" si="2"/>
        <v>31</v>
      </c>
      <c r="C49" s="47">
        <f t="shared" si="8"/>
        <v>67462</v>
      </c>
      <c r="D49" s="48">
        <f t="shared" si="7"/>
        <v>64947.44</v>
      </c>
      <c r="E49" s="68">
        <f t="shared" si="9"/>
        <v>2514.56</v>
      </c>
      <c r="F49" s="47">
        <f t="shared" si="5"/>
        <v>197379.53999999983</v>
      </c>
      <c r="G49" s="47">
        <f t="shared" si="6"/>
        <v>132432.09999999983</v>
      </c>
    </row>
    <row r="50" spans="1:7" x14ac:dyDescent="0.25">
      <c r="A50" s="54">
        <v>42556</v>
      </c>
      <c r="B50" s="46">
        <f t="shared" si="2"/>
        <v>30</v>
      </c>
      <c r="C50" s="47">
        <f t="shared" si="8"/>
        <v>67462</v>
      </c>
      <c r="D50" s="48">
        <f t="shared" si="7"/>
        <v>65829.279999999999</v>
      </c>
      <c r="E50" s="68">
        <f t="shared" si="9"/>
        <v>1632.72</v>
      </c>
      <c r="F50" s="47">
        <f t="shared" si="5"/>
        <v>132432.09999999983</v>
      </c>
      <c r="G50" s="47">
        <f t="shared" si="6"/>
        <v>66602.819999999832</v>
      </c>
    </row>
    <row r="51" spans="1:7" x14ac:dyDescent="0.25">
      <c r="A51" s="54">
        <v>42587</v>
      </c>
      <c r="B51" s="46">
        <f t="shared" si="2"/>
        <v>31</v>
      </c>
      <c r="C51" s="47">
        <f t="shared" si="8"/>
        <v>67462</v>
      </c>
      <c r="D51" s="48">
        <f t="shared" si="7"/>
        <v>66602.819999999832</v>
      </c>
      <c r="E51" s="68">
        <v>859.18000000016764</v>
      </c>
      <c r="F51" s="47">
        <f t="shared" si="5"/>
        <v>66602.819999999832</v>
      </c>
      <c r="G51" s="47">
        <f t="shared" si="6"/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C96ED-C5CB-452A-846E-A8A0EDAA2337}">
  <dimension ref="A1:J51"/>
  <sheetViews>
    <sheetView zoomScale="80" zoomScaleNormal="80" workbookViewId="0">
      <pane ySplit="3" topLeftCell="A34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ROUNDUP(34665.3286111111,0)</f>
        <v>34666</v>
      </c>
      <c r="E1" s="69" t="s">
        <v>106</v>
      </c>
      <c r="F1" s="37">
        <f>ROUNDUP(67451.6742504374,0)</f>
        <v>67452</v>
      </c>
      <c r="G1" s="28" t="s">
        <v>52</v>
      </c>
      <c r="H1" s="26">
        <v>41917</v>
      </c>
      <c r="I1" s="69" t="s">
        <v>102</v>
      </c>
      <c r="J1" s="69">
        <v>24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 t="shared" ref="E5:E38" si="2"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39" si="3">DAYS360(A5,A6,TRUE)</f>
        <v>30</v>
      </c>
      <c r="C6" s="47">
        <f t="shared" ref="C6:C40" si="4">$D$1</f>
        <v>34666</v>
      </c>
      <c r="D6" s="48">
        <f t="shared" si="0"/>
        <v>22723.61</v>
      </c>
      <c r="E6" s="68">
        <f t="shared" si="2"/>
        <v>11942.39</v>
      </c>
      <c r="F6" s="47">
        <f t="shared" ref="F6:F39" si="5">G5</f>
        <v>955390.93</v>
      </c>
      <c r="G6" s="47">
        <f t="shared" ref="G6:G51" si="6">F6-D6</f>
        <v>932667.32000000007</v>
      </c>
    </row>
    <row r="7" spans="1:10" x14ac:dyDescent="0.25">
      <c r="A7" s="36">
        <v>41978</v>
      </c>
      <c r="B7" s="46">
        <f t="shared" si="3"/>
        <v>30</v>
      </c>
      <c r="C7" s="47">
        <f t="shared" si="4"/>
        <v>34666</v>
      </c>
      <c r="D7" s="48">
        <f t="shared" si="0"/>
        <v>23007.66</v>
      </c>
      <c r="E7" s="68">
        <f t="shared" si="2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3"/>
        <v>30</v>
      </c>
      <c r="C8" s="47">
        <f t="shared" si="4"/>
        <v>34666</v>
      </c>
      <c r="D8" s="48">
        <f t="shared" si="0"/>
        <v>23295.25</v>
      </c>
      <c r="E8" s="68">
        <f t="shared" si="2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3"/>
        <v>30</v>
      </c>
      <c r="C9" s="47">
        <f t="shared" si="4"/>
        <v>34666</v>
      </c>
      <c r="D9" s="48">
        <f t="shared" si="0"/>
        <v>23586.440000000002</v>
      </c>
      <c r="E9" s="68">
        <f t="shared" si="2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3"/>
        <v>30</v>
      </c>
      <c r="C10" s="47">
        <f t="shared" si="4"/>
        <v>34666</v>
      </c>
      <c r="D10" s="48">
        <f t="shared" si="0"/>
        <v>23881.279999999999</v>
      </c>
      <c r="E10" s="68">
        <f t="shared" si="2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3"/>
        <v>30</v>
      </c>
      <c r="C11" s="47">
        <f t="shared" si="4"/>
        <v>34666</v>
      </c>
      <c r="D11" s="48">
        <f t="shared" si="0"/>
        <v>24179.79</v>
      </c>
      <c r="E11" s="68">
        <f t="shared" si="2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3"/>
        <v>30</v>
      </c>
      <c r="C12" s="47">
        <f t="shared" si="4"/>
        <v>34666</v>
      </c>
      <c r="D12" s="48">
        <f t="shared" si="0"/>
        <v>24482.04</v>
      </c>
      <c r="E12" s="68">
        <f t="shared" si="2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3"/>
        <v>30</v>
      </c>
      <c r="C13" s="47">
        <f t="shared" si="4"/>
        <v>34666</v>
      </c>
      <c r="D13" s="48">
        <f t="shared" si="0"/>
        <v>24788.059999999998</v>
      </c>
      <c r="E13" s="68">
        <f t="shared" si="2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3"/>
        <v>30</v>
      </c>
      <c r="C14" s="47">
        <f t="shared" si="4"/>
        <v>34666</v>
      </c>
      <c r="D14" s="48">
        <f t="shared" si="0"/>
        <v>25097.91</v>
      </c>
      <c r="E14" s="68">
        <f t="shared" si="2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3"/>
        <v>30</v>
      </c>
      <c r="C15" s="47">
        <f t="shared" si="4"/>
        <v>34666</v>
      </c>
      <c r="D15" s="48">
        <f t="shared" si="0"/>
        <v>25411.64</v>
      </c>
      <c r="E15" s="68">
        <f t="shared" si="2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3"/>
        <v>30</v>
      </c>
      <c r="C16" s="47">
        <f t="shared" si="4"/>
        <v>34666</v>
      </c>
      <c r="D16" s="48">
        <f t="shared" si="0"/>
        <v>25729.279999999999</v>
      </c>
      <c r="E16" s="68">
        <f t="shared" si="2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34666</v>
      </c>
      <c r="D17" s="48">
        <f t="shared" si="0"/>
        <v>26050.9</v>
      </c>
      <c r="E17" s="68">
        <f t="shared" si="2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3"/>
        <v>30</v>
      </c>
      <c r="C18" s="47">
        <f t="shared" si="4"/>
        <v>34666</v>
      </c>
      <c r="D18" s="48">
        <f t="shared" si="0"/>
        <v>26376.54</v>
      </c>
      <c r="E18" s="68">
        <f t="shared" si="2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54">
        <v>42343</v>
      </c>
      <c r="B19" s="46">
        <f t="shared" si="3"/>
        <v>30</v>
      </c>
      <c r="C19" s="47">
        <f t="shared" si="4"/>
        <v>34666</v>
      </c>
      <c r="D19" s="48">
        <f t="shared" si="0"/>
        <v>26706.239999999998</v>
      </c>
      <c r="E19" s="68">
        <f t="shared" si="2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54">
        <v>42374</v>
      </c>
      <c r="B20" s="46">
        <f t="shared" si="3"/>
        <v>30</v>
      </c>
      <c r="C20" s="47">
        <f t="shared" si="4"/>
        <v>34666</v>
      </c>
      <c r="D20" s="48">
        <f t="shared" si="0"/>
        <v>27040.07</v>
      </c>
      <c r="E20" s="68">
        <f t="shared" si="2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54">
        <v>42405</v>
      </c>
      <c r="B21" s="46">
        <f t="shared" si="3"/>
        <v>30</v>
      </c>
      <c r="C21" s="47">
        <f t="shared" si="4"/>
        <v>34666</v>
      </c>
      <c r="D21" s="48">
        <f t="shared" si="0"/>
        <v>27378.07</v>
      </c>
      <c r="E21" s="68">
        <f t="shared" si="2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54">
        <v>42434</v>
      </c>
      <c r="B22" s="46">
        <f t="shared" si="3"/>
        <v>30</v>
      </c>
      <c r="C22" s="47">
        <f t="shared" si="4"/>
        <v>34666</v>
      </c>
      <c r="D22" s="48">
        <f t="shared" si="0"/>
        <v>27720.3</v>
      </c>
      <c r="E22" s="68">
        <f t="shared" si="2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54">
        <v>42465</v>
      </c>
      <c r="B23" s="46">
        <f t="shared" si="3"/>
        <v>30</v>
      </c>
      <c r="C23" s="47">
        <f t="shared" si="4"/>
        <v>34666</v>
      </c>
      <c r="D23" s="48">
        <f t="shared" si="0"/>
        <v>28066.799999999999</v>
      </c>
      <c r="E23" s="68">
        <f t="shared" si="2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54">
        <v>42495</v>
      </c>
      <c r="B24" s="46">
        <f t="shared" si="3"/>
        <v>30</v>
      </c>
      <c r="C24" s="47">
        <f t="shared" si="4"/>
        <v>34666</v>
      </c>
      <c r="D24" s="48">
        <f t="shared" si="0"/>
        <v>28417.64</v>
      </c>
      <c r="E24" s="68">
        <f t="shared" si="2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54">
        <v>42526</v>
      </c>
      <c r="B25" s="46">
        <f t="shared" si="3"/>
        <v>30</v>
      </c>
      <c r="C25" s="47">
        <f t="shared" si="4"/>
        <v>34666</v>
      </c>
      <c r="D25" s="48">
        <f t="shared" si="0"/>
        <v>28772.86</v>
      </c>
      <c r="E25" s="68">
        <f t="shared" si="2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54">
        <v>42556</v>
      </c>
      <c r="B26" s="46">
        <f t="shared" si="3"/>
        <v>30</v>
      </c>
      <c r="C26" s="47">
        <f t="shared" si="4"/>
        <v>34666</v>
      </c>
      <c r="D26" s="48">
        <f t="shared" si="0"/>
        <v>29132.52</v>
      </c>
      <c r="E26" s="68">
        <f t="shared" si="2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54">
        <v>42587</v>
      </c>
      <c r="B27" s="46">
        <f t="shared" si="3"/>
        <v>30</v>
      </c>
      <c r="C27" s="47">
        <f t="shared" si="4"/>
        <v>34666</v>
      </c>
      <c r="D27" s="48">
        <f t="shared" si="0"/>
        <v>29496.67</v>
      </c>
      <c r="E27" s="68">
        <f t="shared" si="2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54">
        <v>42618</v>
      </c>
      <c r="B28" s="46">
        <f t="shared" si="3"/>
        <v>30</v>
      </c>
      <c r="C28" s="47">
        <f t="shared" si="4"/>
        <v>34666</v>
      </c>
      <c r="D28" s="48">
        <f t="shared" si="0"/>
        <v>29865.38</v>
      </c>
      <c r="E28" s="68">
        <f t="shared" si="2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54">
        <v>42648</v>
      </c>
      <c r="B29" s="46">
        <f t="shared" si="3"/>
        <v>30</v>
      </c>
      <c r="C29" s="47">
        <f t="shared" si="4"/>
        <v>34666</v>
      </c>
      <c r="D29" s="48">
        <f t="shared" si="0"/>
        <v>30238.7</v>
      </c>
      <c r="E29" s="68">
        <f t="shared" si="2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54">
        <v>42679</v>
      </c>
      <c r="B30" s="46">
        <f t="shared" si="3"/>
        <v>30</v>
      </c>
      <c r="C30" s="47">
        <f t="shared" si="4"/>
        <v>34666</v>
      </c>
      <c r="D30" s="48">
        <f t="shared" si="0"/>
        <v>30616.68</v>
      </c>
      <c r="E30" s="68">
        <f t="shared" si="2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54">
        <v>42709</v>
      </c>
      <c r="B31" s="46">
        <f t="shared" si="3"/>
        <v>30</v>
      </c>
      <c r="C31" s="47">
        <f t="shared" si="4"/>
        <v>34666</v>
      </c>
      <c r="D31" s="48">
        <f t="shared" si="0"/>
        <v>30999.39</v>
      </c>
      <c r="E31" s="68">
        <f t="shared" si="2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54">
        <v>42740</v>
      </c>
      <c r="B32" s="46">
        <f t="shared" si="3"/>
        <v>30</v>
      </c>
      <c r="C32" s="47">
        <f t="shared" si="4"/>
        <v>34666</v>
      </c>
      <c r="D32" s="48">
        <f t="shared" si="0"/>
        <v>31386.880000000001</v>
      </c>
      <c r="E32" s="68">
        <f t="shared" si="2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54">
        <v>42771</v>
      </c>
      <c r="B33" s="46">
        <f t="shared" si="3"/>
        <v>30</v>
      </c>
      <c r="C33" s="47">
        <f t="shared" si="4"/>
        <v>34666</v>
      </c>
      <c r="D33" s="48">
        <f t="shared" si="0"/>
        <v>31779.22</v>
      </c>
      <c r="E33" s="68">
        <f t="shared" si="2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54">
        <v>42799</v>
      </c>
      <c r="B34" s="46">
        <f t="shared" si="3"/>
        <v>30</v>
      </c>
      <c r="C34" s="47">
        <f t="shared" si="4"/>
        <v>34666</v>
      </c>
      <c r="D34" s="48">
        <f t="shared" si="0"/>
        <v>32176.46</v>
      </c>
      <c r="E34" s="68">
        <f t="shared" si="2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54">
        <v>42830</v>
      </c>
      <c r="B35" s="46">
        <f t="shared" si="3"/>
        <v>30</v>
      </c>
      <c r="C35" s="47">
        <f t="shared" si="4"/>
        <v>34666</v>
      </c>
      <c r="D35" s="48">
        <f t="shared" si="0"/>
        <v>32578.67</v>
      </c>
      <c r="E35" s="68">
        <f t="shared" si="2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54">
        <v>42860</v>
      </c>
      <c r="B36" s="46">
        <f t="shared" si="3"/>
        <v>30</v>
      </c>
      <c r="C36" s="47">
        <f t="shared" si="4"/>
        <v>34666</v>
      </c>
      <c r="D36" s="48">
        <f t="shared" si="0"/>
        <v>32985.9</v>
      </c>
      <c r="E36" s="68">
        <f t="shared" si="2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54">
        <v>42891</v>
      </c>
      <c r="B37" s="46">
        <f t="shared" si="3"/>
        <v>30</v>
      </c>
      <c r="C37" s="47">
        <f t="shared" si="4"/>
        <v>34666</v>
      </c>
      <c r="D37" s="48">
        <f t="shared" si="0"/>
        <v>33398.22</v>
      </c>
      <c r="E37" s="68">
        <f t="shared" si="2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54">
        <v>42921</v>
      </c>
      <c r="B38" s="46">
        <f t="shared" si="3"/>
        <v>30</v>
      </c>
      <c r="C38" s="47">
        <f t="shared" si="4"/>
        <v>34666</v>
      </c>
      <c r="D38" s="48">
        <f t="shared" si="0"/>
        <v>33815.699999999997</v>
      </c>
      <c r="E38" s="68">
        <f t="shared" si="2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54">
        <v>42952</v>
      </c>
      <c r="B39" s="46">
        <f t="shared" si="3"/>
        <v>30</v>
      </c>
      <c r="C39" s="47">
        <f t="shared" si="4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36">
        <v>42252</v>
      </c>
      <c r="B40" s="46">
        <f>DAYS360(B1,A4,TRUE)</f>
        <v>30</v>
      </c>
      <c r="C40" s="47">
        <f t="shared" si="4"/>
        <v>34666</v>
      </c>
      <c r="D40" s="48">
        <f>C40-E40</f>
        <v>25729.279999999999</v>
      </c>
      <c r="E40" s="68">
        <f>ROUND(F16*$B$2*B16/360,2)</f>
        <v>8936.7199999999993</v>
      </c>
      <c r="F40" s="47">
        <f>G15</f>
        <v>714937.24999999977</v>
      </c>
      <c r="G40" s="47">
        <f t="shared" si="6"/>
        <v>689207.96999999974</v>
      </c>
    </row>
    <row r="41" spans="1:7" x14ac:dyDescent="0.25">
      <c r="A41" s="36">
        <v>42282</v>
      </c>
      <c r="B41" s="46">
        <f>DAYS360(A40,A41,TRUE)</f>
        <v>30</v>
      </c>
      <c r="C41" s="47">
        <f>$F$1</f>
        <v>67452</v>
      </c>
      <c r="D41" s="48">
        <f t="shared" ref="D41:D51" si="7">C41-E41</f>
        <v>58836.9</v>
      </c>
      <c r="E41" s="68">
        <f>ROUND(F41*$B$2*B41/360,2)</f>
        <v>8615.1</v>
      </c>
      <c r="F41" s="47">
        <f t="shared" ref="F41:F51" si="8">G40</f>
        <v>689207.96999999974</v>
      </c>
      <c r="G41" s="47">
        <f t="shared" si="6"/>
        <v>630371.06999999972</v>
      </c>
    </row>
    <row r="42" spans="1:7" x14ac:dyDescent="0.25">
      <c r="A42" s="36">
        <v>42313</v>
      </c>
      <c r="B42" s="46">
        <f t="shared" ref="B42:B51" si="9">DAYS360(A41,A42,TRUE)</f>
        <v>30</v>
      </c>
      <c r="C42" s="47">
        <f t="shared" ref="C42:C51" si="10">$F$1</f>
        <v>67452</v>
      </c>
      <c r="D42" s="48">
        <f t="shared" si="7"/>
        <v>59572.36</v>
      </c>
      <c r="E42" s="68">
        <f t="shared" ref="E42:E50" si="11">ROUND(F42*$B$2*B42/360,2)</f>
        <v>7879.64</v>
      </c>
      <c r="F42" s="47">
        <f t="shared" si="8"/>
        <v>630371.06999999972</v>
      </c>
      <c r="G42" s="47">
        <f t="shared" si="6"/>
        <v>570798.70999999973</v>
      </c>
    </row>
    <row r="43" spans="1:7" x14ac:dyDescent="0.25">
      <c r="A43" s="54">
        <v>42343</v>
      </c>
      <c r="B43" s="46">
        <f t="shared" si="9"/>
        <v>30</v>
      </c>
      <c r="C43" s="47">
        <f t="shared" si="10"/>
        <v>67452</v>
      </c>
      <c r="D43" s="48">
        <f t="shared" si="7"/>
        <v>60317.020000000004</v>
      </c>
      <c r="E43" s="68">
        <f t="shared" si="11"/>
        <v>7134.98</v>
      </c>
      <c r="F43" s="47">
        <f t="shared" si="8"/>
        <v>570798.70999999973</v>
      </c>
      <c r="G43" s="47">
        <f t="shared" si="6"/>
        <v>510481.68999999971</v>
      </c>
    </row>
    <row r="44" spans="1:7" x14ac:dyDescent="0.25">
      <c r="A44" s="54">
        <v>42374</v>
      </c>
      <c r="B44" s="46">
        <f t="shared" si="9"/>
        <v>30</v>
      </c>
      <c r="C44" s="47">
        <f t="shared" si="10"/>
        <v>67452</v>
      </c>
      <c r="D44" s="48">
        <f t="shared" si="7"/>
        <v>61070.979999999996</v>
      </c>
      <c r="E44" s="68">
        <f t="shared" si="11"/>
        <v>6381.02</v>
      </c>
      <c r="F44" s="47">
        <f t="shared" si="8"/>
        <v>510481.68999999971</v>
      </c>
      <c r="G44" s="47">
        <f t="shared" si="6"/>
        <v>449410.70999999973</v>
      </c>
    </row>
    <row r="45" spans="1:7" x14ac:dyDescent="0.25">
      <c r="A45" s="54">
        <v>42405</v>
      </c>
      <c r="B45" s="46">
        <f t="shared" si="9"/>
        <v>30</v>
      </c>
      <c r="C45" s="47">
        <f t="shared" si="10"/>
        <v>67452</v>
      </c>
      <c r="D45" s="48">
        <f t="shared" si="7"/>
        <v>61834.37</v>
      </c>
      <c r="E45" s="68">
        <f t="shared" si="11"/>
        <v>5617.63</v>
      </c>
      <c r="F45" s="47">
        <f t="shared" si="8"/>
        <v>449410.70999999973</v>
      </c>
      <c r="G45" s="47">
        <f t="shared" si="6"/>
        <v>387576.33999999973</v>
      </c>
    </row>
    <row r="46" spans="1:7" x14ac:dyDescent="0.25">
      <c r="A46" s="54">
        <v>42434</v>
      </c>
      <c r="B46" s="46">
        <f t="shared" si="9"/>
        <v>30</v>
      </c>
      <c r="C46" s="47">
        <f t="shared" si="10"/>
        <v>67452</v>
      </c>
      <c r="D46" s="48">
        <f t="shared" si="7"/>
        <v>62607.3</v>
      </c>
      <c r="E46" s="68">
        <f t="shared" si="11"/>
        <v>4844.7</v>
      </c>
      <c r="F46" s="47">
        <f t="shared" si="8"/>
        <v>387576.33999999973</v>
      </c>
      <c r="G46" s="47">
        <f t="shared" si="6"/>
        <v>324969.03999999975</v>
      </c>
    </row>
    <row r="47" spans="1:7" x14ac:dyDescent="0.25">
      <c r="A47" s="54">
        <v>42465</v>
      </c>
      <c r="B47" s="46">
        <f t="shared" si="9"/>
        <v>30</v>
      </c>
      <c r="C47" s="47">
        <f t="shared" si="10"/>
        <v>67452</v>
      </c>
      <c r="D47" s="48">
        <f t="shared" si="7"/>
        <v>63389.89</v>
      </c>
      <c r="E47" s="68">
        <f t="shared" si="11"/>
        <v>4062.11</v>
      </c>
      <c r="F47" s="47">
        <f t="shared" si="8"/>
        <v>324969.03999999975</v>
      </c>
      <c r="G47" s="47">
        <f t="shared" si="6"/>
        <v>261579.14999999973</v>
      </c>
    </row>
    <row r="48" spans="1:7" x14ac:dyDescent="0.25">
      <c r="A48" s="54">
        <v>42495</v>
      </c>
      <c r="B48" s="46">
        <f t="shared" si="9"/>
        <v>30</v>
      </c>
      <c r="C48" s="47">
        <f t="shared" si="10"/>
        <v>67452</v>
      </c>
      <c r="D48" s="48">
        <f t="shared" si="7"/>
        <v>64182.26</v>
      </c>
      <c r="E48" s="68">
        <f t="shared" si="11"/>
        <v>3269.74</v>
      </c>
      <c r="F48" s="47">
        <f t="shared" si="8"/>
        <v>261579.14999999973</v>
      </c>
      <c r="G48" s="47">
        <f t="shared" si="6"/>
        <v>197396.88999999972</v>
      </c>
    </row>
    <row r="49" spans="1:7" x14ac:dyDescent="0.25">
      <c r="A49" s="54">
        <v>42526</v>
      </c>
      <c r="B49" s="46">
        <f t="shared" si="9"/>
        <v>30</v>
      </c>
      <c r="C49" s="47">
        <f t="shared" si="10"/>
        <v>67452</v>
      </c>
      <c r="D49" s="48">
        <f t="shared" si="7"/>
        <v>64984.54</v>
      </c>
      <c r="E49" s="68">
        <f t="shared" si="11"/>
        <v>2467.46</v>
      </c>
      <c r="F49" s="47">
        <f t="shared" si="8"/>
        <v>197396.88999999972</v>
      </c>
      <c r="G49" s="47">
        <f t="shared" si="6"/>
        <v>132412.34999999971</v>
      </c>
    </row>
    <row r="50" spans="1:7" x14ac:dyDescent="0.25">
      <c r="A50" s="54">
        <v>42556</v>
      </c>
      <c r="B50" s="46">
        <f t="shared" si="9"/>
        <v>30</v>
      </c>
      <c r="C50" s="47">
        <f t="shared" si="10"/>
        <v>67452</v>
      </c>
      <c r="D50" s="48">
        <f t="shared" si="7"/>
        <v>65796.850000000006</v>
      </c>
      <c r="E50" s="68">
        <f t="shared" si="11"/>
        <v>1655.15</v>
      </c>
      <c r="F50" s="47">
        <f t="shared" si="8"/>
        <v>132412.34999999971</v>
      </c>
      <c r="G50" s="47">
        <f t="shared" si="6"/>
        <v>66615.499999999709</v>
      </c>
    </row>
    <row r="51" spans="1:7" x14ac:dyDescent="0.25">
      <c r="A51" s="54">
        <v>42587</v>
      </c>
      <c r="B51" s="46">
        <f t="shared" si="9"/>
        <v>30</v>
      </c>
      <c r="C51" s="47">
        <f t="shared" si="10"/>
        <v>67452</v>
      </c>
      <c r="D51" s="48">
        <f t="shared" si="7"/>
        <v>66615.499999999709</v>
      </c>
      <c r="E51" s="68">
        <v>836.50000000028876</v>
      </c>
      <c r="F51" s="47">
        <f t="shared" si="8"/>
        <v>66615.499999999709</v>
      </c>
      <c r="G51" s="47">
        <f t="shared" si="6"/>
        <v>0</v>
      </c>
    </row>
  </sheetData>
  <pageMargins left="0.7" right="0.7" top="0.75" bottom="0.75" header="0.3" footer="0.3"/>
  <pageSetup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25AA8-BCFA-43A3-AC56-6F1D87A3FDCA}">
  <dimension ref="A1:R3"/>
  <sheetViews>
    <sheetView workbookViewId="0">
      <selection activeCell="R2" sqref="R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78.285156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103</v>
      </c>
      <c r="P2" s="20" t="s">
        <v>104</v>
      </c>
      <c r="Q2" s="20" t="s">
        <v>107</v>
      </c>
      <c r="R2" s="20" t="s">
        <v>116</v>
      </c>
    </row>
    <row r="3" spans="1:18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103</v>
      </c>
      <c r="P3" s="20" t="s">
        <v>104</v>
      </c>
      <c r="Q3" s="20" t="s">
        <v>107</v>
      </c>
      <c r="R3" s="20" t="s">
        <v>117</v>
      </c>
    </row>
  </sheetData>
  <pageMargins left="0.7" right="0.7" top="0.75" bottom="0.75" header="0.3" footer="0.3"/>
  <pageSetup orientation="portrait" r:id="rId1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E95C5A-EF77-4B55-9A59-C017260F25FF}">
  <dimension ref="A1:J67"/>
  <sheetViews>
    <sheetView zoomScale="90" zoomScaleNormal="90" workbookViewId="0">
      <pane ySplit="3" topLeftCell="A49" activePane="bottomLeft" state="frozen"/>
      <selection activeCell="R2" sqref="R2"/>
      <selection pane="bottomLeft" activeCell="R2" sqref="R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25.1406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140625" bestFit="1" customWidth="1"/>
    <col min="10" max="10" width="3.4257812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ROUNDUP(34673.5343079289,0)</f>
        <v>34674</v>
      </c>
      <c r="E1" s="69" t="s">
        <v>106</v>
      </c>
      <c r="F1" s="37">
        <f>ROUNDUP(30241.5197652715,0)</f>
        <v>30242</v>
      </c>
      <c r="G1" s="28" t="s">
        <v>52</v>
      </c>
      <c r="H1" s="26">
        <v>41887</v>
      </c>
      <c r="I1" s="69" t="s">
        <v>102</v>
      </c>
      <c r="J1" s="69">
        <v>40</v>
      </c>
    </row>
    <row r="2" spans="1:10" x14ac:dyDescent="0.25">
      <c r="A2" s="17" t="s">
        <v>34</v>
      </c>
      <c r="B2" s="18">
        <v>0.15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39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67" si="2">A6-A5</f>
        <v>31</v>
      </c>
      <c r="C6" s="47">
        <f t="shared" ref="C6:C40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51" si="5">G5</f>
        <v>955450.07</v>
      </c>
      <c r="G6" s="47">
        <f t="shared" ref="G6:G51" si="6">F6-D6</f>
        <v>932948.24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0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0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0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0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0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0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0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29">
        <v>42252</v>
      </c>
      <c r="B40" s="46">
        <f>A4-B1</f>
        <v>31</v>
      </c>
      <c r="C40" s="47">
        <f t="shared" si="3"/>
        <v>34674</v>
      </c>
      <c r="D40" s="48">
        <f>C40-E40</f>
        <v>25566.89</v>
      </c>
      <c r="E40" s="68">
        <f>ROUND(F16*$B$2*B16/365,2)</f>
        <v>9107.11</v>
      </c>
      <c r="F40" s="47">
        <f>G15</f>
        <v>714859.15999999992</v>
      </c>
      <c r="G40" s="47">
        <f t="shared" si="6"/>
        <v>689292.2699999999</v>
      </c>
    </row>
    <row r="41" spans="1:7" x14ac:dyDescent="0.25">
      <c r="A41" s="70">
        <v>42282</v>
      </c>
      <c r="B41" s="46">
        <f t="shared" si="2"/>
        <v>30</v>
      </c>
      <c r="C41" s="47">
        <f>$F$1</f>
        <v>30242</v>
      </c>
      <c r="D41" s="48">
        <f t="shared" ref="D41:D51" si="7">C41-E41</f>
        <v>21743.879999999997</v>
      </c>
      <c r="E41" s="68">
        <f>ROUND(F41*$B$2*B41/365,2)</f>
        <v>8498.1200000000008</v>
      </c>
      <c r="F41" s="47">
        <f t="shared" si="5"/>
        <v>689292.2699999999</v>
      </c>
      <c r="G41" s="47">
        <f t="shared" si="6"/>
        <v>667548.3899999999</v>
      </c>
    </row>
    <row r="42" spans="1:7" x14ac:dyDescent="0.25">
      <c r="A42" s="70">
        <v>42313</v>
      </c>
      <c r="B42" s="46">
        <f t="shared" si="2"/>
        <v>31</v>
      </c>
      <c r="C42" s="47">
        <f t="shared" ref="C42:C67" si="8">$F$1</f>
        <v>30242</v>
      </c>
      <c r="D42" s="48">
        <f t="shared" si="7"/>
        <v>21737.620000000003</v>
      </c>
      <c r="E42" s="68">
        <f t="shared" ref="E42:E66" si="9">ROUND(F42*$B$2*B42/365,2)</f>
        <v>8504.3799999999992</v>
      </c>
      <c r="F42" s="47">
        <f t="shared" si="5"/>
        <v>667548.3899999999</v>
      </c>
      <c r="G42" s="47">
        <f t="shared" si="6"/>
        <v>645810.7699999999</v>
      </c>
    </row>
    <row r="43" spans="1:7" x14ac:dyDescent="0.25">
      <c r="A43" s="70">
        <v>42343</v>
      </c>
      <c r="B43" s="46">
        <f t="shared" si="2"/>
        <v>30</v>
      </c>
      <c r="C43" s="47">
        <f t="shared" si="8"/>
        <v>30242</v>
      </c>
      <c r="D43" s="48">
        <f t="shared" si="7"/>
        <v>22279.95</v>
      </c>
      <c r="E43" s="68">
        <f t="shared" si="9"/>
        <v>7962.05</v>
      </c>
      <c r="F43" s="47">
        <f t="shared" si="5"/>
        <v>645810.7699999999</v>
      </c>
      <c r="G43" s="47">
        <f t="shared" si="6"/>
        <v>623530.81999999995</v>
      </c>
    </row>
    <row r="44" spans="1:7" x14ac:dyDescent="0.25">
      <c r="A44" s="70">
        <v>42374</v>
      </c>
      <c r="B44" s="46">
        <f t="shared" si="2"/>
        <v>31</v>
      </c>
      <c r="C44" s="47">
        <f t="shared" si="8"/>
        <v>30242</v>
      </c>
      <c r="D44" s="48">
        <f t="shared" si="7"/>
        <v>22298.39</v>
      </c>
      <c r="E44" s="68">
        <f t="shared" si="9"/>
        <v>7943.61</v>
      </c>
      <c r="F44" s="47">
        <f t="shared" si="5"/>
        <v>623530.81999999995</v>
      </c>
      <c r="G44" s="47">
        <f t="shared" si="6"/>
        <v>601232.42999999993</v>
      </c>
    </row>
    <row r="45" spans="1:7" x14ac:dyDescent="0.25">
      <c r="A45" s="70">
        <v>42405</v>
      </c>
      <c r="B45" s="46">
        <f t="shared" si="2"/>
        <v>31</v>
      </c>
      <c r="C45" s="47">
        <f t="shared" si="8"/>
        <v>30242</v>
      </c>
      <c r="D45" s="48">
        <f t="shared" si="7"/>
        <v>22582.46</v>
      </c>
      <c r="E45" s="68">
        <f t="shared" si="9"/>
        <v>7659.54</v>
      </c>
      <c r="F45" s="47">
        <f t="shared" si="5"/>
        <v>601232.42999999993</v>
      </c>
      <c r="G45" s="47">
        <f t="shared" si="6"/>
        <v>578649.97</v>
      </c>
    </row>
    <row r="46" spans="1:7" x14ac:dyDescent="0.25">
      <c r="A46" s="70">
        <v>42434</v>
      </c>
      <c r="B46" s="46">
        <f t="shared" si="2"/>
        <v>29</v>
      </c>
      <c r="C46" s="47">
        <f t="shared" si="8"/>
        <v>30242</v>
      </c>
      <c r="D46" s="48">
        <f t="shared" si="7"/>
        <v>23345.760000000002</v>
      </c>
      <c r="E46" s="68">
        <f t="shared" si="9"/>
        <v>6896.24</v>
      </c>
      <c r="F46" s="47">
        <f t="shared" si="5"/>
        <v>578649.97</v>
      </c>
      <c r="G46" s="47">
        <f t="shared" si="6"/>
        <v>555304.21</v>
      </c>
    </row>
    <row r="47" spans="1:7" x14ac:dyDescent="0.25">
      <c r="A47" s="70">
        <v>42465</v>
      </c>
      <c r="B47" s="46">
        <f t="shared" si="2"/>
        <v>31</v>
      </c>
      <c r="C47" s="47">
        <f t="shared" si="8"/>
        <v>30242</v>
      </c>
      <c r="D47" s="48">
        <f t="shared" si="7"/>
        <v>23167.58</v>
      </c>
      <c r="E47" s="68">
        <f t="shared" si="9"/>
        <v>7074.42</v>
      </c>
      <c r="F47" s="47">
        <f t="shared" si="5"/>
        <v>555304.21</v>
      </c>
      <c r="G47" s="47">
        <f t="shared" si="6"/>
        <v>532136.63</v>
      </c>
    </row>
    <row r="48" spans="1:7" x14ac:dyDescent="0.25">
      <c r="A48" s="70">
        <v>42495</v>
      </c>
      <c r="B48" s="46">
        <f t="shared" si="2"/>
        <v>30</v>
      </c>
      <c r="C48" s="47">
        <f t="shared" si="8"/>
        <v>30242</v>
      </c>
      <c r="D48" s="48">
        <f t="shared" si="7"/>
        <v>23681.41</v>
      </c>
      <c r="E48" s="68">
        <f t="shared" si="9"/>
        <v>6560.59</v>
      </c>
      <c r="F48" s="47">
        <f t="shared" si="5"/>
        <v>532136.63</v>
      </c>
      <c r="G48" s="47">
        <f t="shared" si="6"/>
        <v>508455.22000000003</v>
      </c>
    </row>
    <row r="49" spans="1:7" x14ac:dyDescent="0.25">
      <c r="A49" s="70">
        <v>42526</v>
      </c>
      <c r="B49" s="46">
        <f t="shared" si="2"/>
        <v>31</v>
      </c>
      <c r="C49" s="47">
        <f t="shared" si="8"/>
        <v>30242</v>
      </c>
      <c r="D49" s="48">
        <f t="shared" si="7"/>
        <v>23764.42</v>
      </c>
      <c r="E49" s="68">
        <f t="shared" si="9"/>
        <v>6477.58</v>
      </c>
      <c r="F49" s="47">
        <f t="shared" si="5"/>
        <v>508455.22000000003</v>
      </c>
      <c r="G49" s="47">
        <f t="shared" si="6"/>
        <v>484690.80000000005</v>
      </c>
    </row>
    <row r="50" spans="1:7" x14ac:dyDescent="0.25">
      <c r="A50" s="70">
        <v>42556</v>
      </c>
      <c r="B50" s="46">
        <f t="shared" si="2"/>
        <v>30</v>
      </c>
      <c r="C50" s="47">
        <f t="shared" si="8"/>
        <v>30242</v>
      </c>
      <c r="D50" s="48">
        <f t="shared" si="7"/>
        <v>24266.36</v>
      </c>
      <c r="E50" s="68">
        <f t="shared" si="9"/>
        <v>5975.64</v>
      </c>
      <c r="F50" s="47">
        <f t="shared" si="5"/>
        <v>484690.80000000005</v>
      </c>
      <c r="G50" s="47">
        <f t="shared" si="6"/>
        <v>460424.44000000006</v>
      </c>
    </row>
    <row r="51" spans="1:7" x14ac:dyDescent="0.25">
      <c r="A51" s="70">
        <v>42587</v>
      </c>
      <c r="B51" s="46">
        <f t="shared" si="2"/>
        <v>31</v>
      </c>
      <c r="C51" s="47">
        <f t="shared" si="8"/>
        <v>30242</v>
      </c>
      <c r="D51" s="48">
        <f t="shared" si="7"/>
        <v>24376.32</v>
      </c>
      <c r="E51" s="68">
        <f t="shared" si="9"/>
        <v>5865.68</v>
      </c>
      <c r="F51" s="47">
        <f t="shared" si="5"/>
        <v>460424.44000000006</v>
      </c>
      <c r="G51" s="47">
        <f t="shared" si="6"/>
        <v>436048.12000000005</v>
      </c>
    </row>
    <row r="52" spans="1:7" x14ac:dyDescent="0.25">
      <c r="A52" s="70">
        <v>42618</v>
      </c>
      <c r="B52" s="46">
        <f t="shared" si="2"/>
        <v>31</v>
      </c>
      <c r="C52" s="47">
        <f t="shared" si="8"/>
        <v>30242</v>
      </c>
      <c r="D52" s="48">
        <f t="shared" ref="D52:D67" si="10">C52-E52</f>
        <v>24686.87</v>
      </c>
      <c r="E52" s="68">
        <f t="shared" si="9"/>
        <v>5555.13</v>
      </c>
      <c r="F52" s="47">
        <f t="shared" ref="F52:F67" si="11">G51</f>
        <v>436048.12000000005</v>
      </c>
      <c r="G52" s="47">
        <f t="shared" ref="G52:G67" si="12">F52-D52</f>
        <v>411361.25000000006</v>
      </c>
    </row>
    <row r="53" spans="1:7" x14ac:dyDescent="0.25">
      <c r="A53" s="70">
        <v>42648</v>
      </c>
      <c r="B53" s="46">
        <f t="shared" si="2"/>
        <v>30</v>
      </c>
      <c r="C53" s="47">
        <f t="shared" si="8"/>
        <v>30242</v>
      </c>
      <c r="D53" s="48">
        <f t="shared" si="10"/>
        <v>25170.42</v>
      </c>
      <c r="E53" s="68">
        <f t="shared" si="9"/>
        <v>5071.58</v>
      </c>
      <c r="F53" s="47">
        <f t="shared" si="11"/>
        <v>411361.25000000006</v>
      </c>
      <c r="G53" s="47">
        <f t="shared" si="12"/>
        <v>386190.83000000007</v>
      </c>
    </row>
    <row r="54" spans="1:7" x14ac:dyDescent="0.25">
      <c r="A54" s="70">
        <v>42679</v>
      </c>
      <c r="B54" s="46">
        <f t="shared" si="2"/>
        <v>31</v>
      </c>
      <c r="C54" s="47">
        <f t="shared" si="8"/>
        <v>30242</v>
      </c>
      <c r="D54" s="48">
        <f t="shared" si="10"/>
        <v>25322.03</v>
      </c>
      <c r="E54" s="68">
        <f t="shared" si="9"/>
        <v>4919.97</v>
      </c>
      <c r="F54" s="47">
        <f t="shared" si="11"/>
        <v>386190.83000000007</v>
      </c>
      <c r="G54" s="47">
        <f t="shared" si="12"/>
        <v>360868.80000000005</v>
      </c>
    </row>
    <row r="55" spans="1:7" x14ac:dyDescent="0.25">
      <c r="A55" s="70">
        <v>42709</v>
      </c>
      <c r="B55" s="46">
        <f t="shared" si="2"/>
        <v>30</v>
      </c>
      <c r="C55" s="47">
        <f t="shared" si="8"/>
        <v>30242</v>
      </c>
      <c r="D55" s="48">
        <f t="shared" si="10"/>
        <v>25792.93</v>
      </c>
      <c r="E55" s="68">
        <f t="shared" si="9"/>
        <v>4449.07</v>
      </c>
      <c r="F55" s="47">
        <f t="shared" si="11"/>
        <v>360868.80000000005</v>
      </c>
      <c r="G55" s="47">
        <f t="shared" si="12"/>
        <v>335075.87000000005</v>
      </c>
    </row>
    <row r="56" spans="1:7" x14ac:dyDescent="0.25">
      <c r="A56" s="70">
        <v>42740</v>
      </c>
      <c r="B56" s="46">
        <f t="shared" si="2"/>
        <v>31</v>
      </c>
      <c r="C56" s="47">
        <f t="shared" si="8"/>
        <v>30242</v>
      </c>
      <c r="D56" s="48">
        <f t="shared" si="10"/>
        <v>25973.23</v>
      </c>
      <c r="E56" s="68">
        <f t="shared" si="9"/>
        <v>4268.7700000000004</v>
      </c>
      <c r="F56" s="47">
        <f t="shared" si="11"/>
        <v>335075.87000000005</v>
      </c>
      <c r="G56" s="47">
        <f t="shared" si="12"/>
        <v>309102.64000000007</v>
      </c>
    </row>
    <row r="57" spans="1:7" x14ac:dyDescent="0.25">
      <c r="A57" s="70">
        <v>42771</v>
      </c>
      <c r="B57" s="46">
        <f t="shared" si="2"/>
        <v>31</v>
      </c>
      <c r="C57" s="47">
        <f t="shared" si="8"/>
        <v>30242</v>
      </c>
      <c r="D57" s="48">
        <f t="shared" si="10"/>
        <v>26304.12</v>
      </c>
      <c r="E57" s="68">
        <f t="shared" si="9"/>
        <v>3937.88</v>
      </c>
      <c r="F57" s="47">
        <f t="shared" si="11"/>
        <v>309102.64000000007</v>
      </c>
      <c r="G57" s="47">
        <f t="shared" si="12"/>
        <v>282798.52000000008</v>
      </c>
    </row>
    <row r="58" spans="1:7" x14ac:dyDescent="0.25">
      <c r="A58" s="70">
        <v>42799</v>
      </c>
      <c r="B58" s="46">
        <f t="shared" si="2"/>
        <v>28</v>
      </c>
      <c r="C58" s="47">
        <f t="shared" si="8"/>
        <v>30242</v>
      </c>
      <c r="D58" s="48">
        <f t="shared" si="10"/>
        <v>26987.88</v>
      </c>
      <c r="E58" s="68">
        <f t="shared" si="9"/>
        <v>3254.12</v>
      </c>
      <c r="F58" s="47">
        <f t="shared" si="11"/>
        <v>282798.52000000008</v>
      </c>
      <c r="G58" s="47">
        <f t="shared" si="12"/>
        <v>255810.64000000007</v>
      </c>
    </row>
    <row r="59" spans="1:7" x14ac:dyDescent="0.25">
      <c r="A59" s="70">
        <v>42830</v>
      </c>
      <c r="B59" s="46">
        <f t="shared" si="2"/>
        <v>31</v>
      </c>
      <c r="C59" s="47">
        <f t="shared" si="8"/>
        <v>30242</v>
      </c>
      <c r="D59" s="48">
        <f t="shared" si="10"/>
        <v>26983.040000000001</v>
      </c>
      <c r="E59" s="68">
        <f t="shared" si="9"/>
        <v>3258.96</v>
      </c>
      <c r="F59" s="47">
        <f t="shared" si="11"/>
        <v>255810.64000000007</v>
      </c>
      <c r="G59" s="47">
        <f t="shared" si="12"/>
        <v>228827.60000000006</v>
      </c>
    </row>
    <row r="60" spans="1:7" x14ac:dyDescent="0.25">
      <c r="A60" s="70">
        <v>42860</v>
      </c>
      <c r="B60" s="46">
        <f t="shared" si="2"/>
        <v>30</v>
      </c>
      <c r="C60" s="47">
        <f t="shared" si="8"/>
        <v>30242</v>
      </c>
      <c r="D60" s="48">
        <f t="shared" si="10"/>
        <v>27420.84</v>
      </c>
      <c r="E60" s="68">
        <f t="shared" si="9"/>
        <v>2821.16</v>
      </c>
      <c r="F60" s="47">
        <f t="shared" si="11"/>
        <v>228827.60000000006</v>
      </c>
      <c r="G60" s="47">
        <f t="shared" si="12"/>
        <v>201406.76000000007</v>
      </c>
    </row>
    <row r="61" spans="1:7" x14ac:dyDescent="0.25">
      <c r="A61" s="70">
        <v>42891</v>
      </c>
      <c r="B61" s="46">
        <f t="shared" si="2"/>
        <v>31</v>
      </c>
      <c r="C61" s="47">
        <f t="shared" si="8"/>
        <v>30242</v>
      </c>
      <c r="D61" s="48">
        <f t="shared" si="10"/>
        <v>27676.13</v>
      </c>
      <c r="E61" s="68">
        <f t="shared" si="9"/>
        <v>2565.87</v>
      </c>
      <c r="F61" s="47">
        <f t="shared" si="11"/>
        <v>201406.76000000007</v>
      </c>
      <c r="G61" s="47">
        <f t="shared" si="12"/>
        <v>173730.63000000006</v>
      </c>
    </row>
    <row r="62" spans="1:7" x14ac:dyDescent="0.25">
      <c r="A62" s="70">
        <v>42921</v>
      </c>
      <c r="B62" s="46">
        <f t="shared" si="2"/>
        <v>30</v>
      </c>
      <c r="C62" s="47">
        <f t="shared" si="8"/>
        <v>30242</v>
      </c>
      <c r="D62" s="48">
        <f t="shared" si="10"/>
        <v>28100.12</v>
      </c>
      <c r="E62" s="68">
        <f t="shared" si="9"/>
        <v>2141.88</v>
      </c>
      <c r="F62" s="47">
        <f t="shared" si="11"/>
        <v>173730.63000000006</v>
      </c>
      <c r="G62" s="47">
        <f t="shared" si="12"/>
        <v>145630.51000000007</v>
      </c>
    </row>
    <row r="63" spans="1:7" x14ac:dyDescent="0.25">
      <c r="A63" s="70">
        <v>42952</v>
      </c>
      <c r="B63" s="46">
        <f t="shared" si="2"/>
        <v>31</v>
      </c>
      <c r="C63" s="47">
        <f t="shared" si="8"/>
        <v>30242</v>
      </c>
      <c r="D63" s="48">
        <f t="shared" si="10"/>
        <v>28386.71</v>
      </c>
      <c r="E63" s="68">
        <f t="shared" si="9"/>
        <v>1855.29</v>
      </c>
      <c r="F63" s="47">
        <f t="shared" si="11"/>
        <v>145630.51000000007</v>
      </c>
      <c r="G63" s="47">
        <f t="shared" si="12"/>
        <v>117243.80000000008</v>
      </c>
    </row>
    <row r="64" spans="1:7" x14ac:dyDescent="0.25">
      <c r="A64" s="70">
        <v>42983</v>
      </c>
      <c r="B64" s="46">
        <f t="shared" si="2"/>
        <v>31</v>
      </c>
      <c r="C64" s="47">
        <f t="shared" si="8"/>
        <v>30242</v>
      </c>
      <c r="D64" s="48">
        <f t="shared" si="10"/>
        <v>28748.35</v>
      </c>
      <c r="E64" s="68">
        <f t="shared" si="9"/>
        <v>1493.65</v>
      </c>
      <c r="F64" s="47">
        <f t="shared" si="11"/>
        <v>117243.80000000008</v>
      </c>
      <c r="G64" s="47">
        <f t="shared" si="12"/>
        <v>88495.45000000007</v>
      </c>
    </row>
    <row r="65" spans="1:7" x14ac:dyDescent="0.25">
      <c r="A65" s="70">
        <v>43013</v>
      </c>
      <c r="B65" s="46">
        <f t="shared" si="2"/>
        <v>30</v>
      </c>
      <c r="C65" s="47">
        <f t="shared" si="8"/>
        <v>30242</v>
      </c>
      <c r="D65" s="48">
        <f t="shared" si="10"/>
        <v>29150.959999999999</v>
      </c>
      <c r="E65" s="68">
        <f t="shared" si="9"/>
        <v>1091.04</v>
      </c>
      <c r="F65" s="47">
        <f t="shared" si="11"/>
        <v>88495.45000000007</v>
      </c>
      <c r="G65" s="47">
        <f t="shared" si="12"/>
        <v>59344.490000000071</v>
      </c>
    </row>
    <row r="66" spans="1:7" x14ac:dyDescent="0.25">
      <c r="A66" s="70">
        <v>43044</v>
      </c>
      <c r="B66" s="46">
        <f t="shared" si="2"/>
        <v>31</v>
      </c>
      <c r="C66" s="47">
        <f t="shared" si="8"/>
        <v>30242</v>
      </c>
      <c r="D66" s="48">
        <f t="shared" si="10"/>
        <v>29485.97</v>
      </c>
      <c r="E66" s="68">
        <f t="shared" si="9"/>
        <v>756.03</v>
      </c>
      <c r="F66" s="47">
        <f t="shared" si="11"/>
        <v>59344.490000000071</v>
      </c>
      <c r="G66" s="47">
        <f t="shared" si="12"/>
        <v>29858.52000000007</v>
      </c>
    </row>
    <row r="67" spans="1:7" x14ac:dyDescent="0.25">
      <c r="A67" s="70">
        <v>43074</v>
      </c>
      <c r="B67" s="46">
        <f t="shared" si="2"/>
        <v>30</v>
      </c>
      <c r="C67" s="47">
        <f t="shared" si="8"/>
        <v>30242</v>
      </c>
      <c r="D67" s="48">
        <f t="shared" si="10"/>
        <v>29858.52000000007</v>
      </c>
      <c r="E67" s="68">
        <v>383.47999999993147</v>
      </c>
      <c r="F67" s="47">
        <f t="shared" si="11"/>
        <v>29858.52000000007</v>
      </c>
      <c r="G67" s="47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49619D-D663-4612-9A6D-F961557AEDBD}">
  <dimension ref="A1:J67"/>
  <sheetViews>
    <sheetView zoomScaleNormal="100" workbookViewId="0">
      <pane ySplit="3" topLeftCell="A53" activePane="bottomLeft" state="frozen"/>
      <selection activeCell="R2" sqref="R2"/>
      <selection pane="bottomLeft" activeCell="R2" sqref="R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140625" bestFit="1" customWidth="1"/>
    <col min="10" max="10" width="3.4257812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ROUNDUP(34665.3286111111,0)</f>
        <v>34666</v>
      </c>
      <c r="E1" s="69" t="s">
        <v>106</v>
      </c>
      <c r="F1" s="37">
        <f>ROUNDUP(30233.3258834036,0)</f>
        <v>30234</v>
      </c>
      <c r="G1" s="28" t="s">
        <v>52</v>
      </c>
      <c r="H1" s="26">
        <v>41917</v>
      </c>
      <c r="I1" s="69" t="s">
        <v>102</v>
      </c>
      <c r="J1" s="69">
        <v>40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 t="shared" ref="E5:E38" si="2"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39" si="3">DAYS360(A5,A6,TRUE)</f>
        <v>30</v>
      </c>
      <c r="C6" s="47">
        <f t="shared" ref="C6:C40" si="4">$D$1</f>
        <v>34666</v>
      </c>
      <c r="D6" s="48">
        <f t="shared" si="0"/>
        <v>22723.61</v>
      </c>
      <c r="E6" s="68">
        <f t="shared" si="2"/>
        <v>11942.39</v>
      </c>
      <c r="F6" s="47">
        <f t="shared" ref="F6:F39" si="5">G5</f>
        <v>955390.93</v>
      </c>
      <c r="G6" s="47">
        <f t="shared" ref="G6:G50" si="6">F6-D6</f>
        <v>932667.32000000007</v>
      </c>
    </row>
    <row r="7" spans="1:10" x14ac:dyDescent="0.25">
      <c r="A7" s="36">
        <v>41978</v>
      </c>
      <c r="B7" s="46">
        <f t="shared" si="3"/>
        <v>30</v>
      </c>
      <c r="C7" s="47">
        <f t="shared" si="4"/>
        <v>34666</v>
      </c>
      <c r="D7" s="48">
        <f t="shared" si="0"/>
        <v>23007.66</v>
      </c>
      <c r="E7" s="68">
        <f t="shared" si="2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3"/>
        <v>30</v>
      </c>
      <c r="C8" s="47">
        <f t="shared" si="4"/>
        <v>34666</v>
      </c>
      <c r="D8" s="48">
        <f t="shared" si="0"/>
        <v>23295.25</v>
      </c>
      <c r="E8" s="68">
        <f t="shared" si="2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3"/>
        <v>30</v>
      </c>
      <c r="C9" s="47">
        <f t="shared" si="4"/>
        <v>34666</v>
      </c>
      <c r="D9" s="48">
        <f t="shared" si="0"/>
        <v>23586.440000000002</v>
      </c>
      <c r="E9" s="68">
        <f t="shared" si="2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3"/>
        <v>30</v>
      </c>
      <c r="C10" s="47">
        <f t="shared" si="4"/>
        <v>34666</v>
      </c>
      <c r="D10" s="48">
        <f t="shared" si="0"/>
        <v>23881.279999999999</v>
      </c>
      <c r="E10" s="68">
        <f t="shared" si="2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3"/>
        <v>30</v>
      </c>
      <c r="C11" s="47">
        <f t="shared" si="4"/>
        <v>34666</v>
      </c>
      <c r="D11" s="48">
        <f t="shared" si="0"/>
        <v>24179.79</v>
      </c>
      <c r="E11" s="68">
        <f t="shared" si="2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3"/>
        <v>30</v>
      </c>
      <c r="C12" s="47">
        <f t="shared" si="4"/>
        <v>34666</v>
      </c>
      <c r="D12" s="48">
        <f t="shared" si="0"/>
        <v>24482.04</v>
      </c>
      <c r="E12" s="68">
        <f t="shared" si="2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3"/>
        <v>30</v>
      </c>
      <c r="C13" s="47">
        <f t="shared" si="4"/>
        <v>34666</v>
      </c>
      <c r="D13" s="48">
        <f t="shared" si="0"/>
        <v>24788.059999999998</v>
      </c>
      <c r="E13" s="68">
        <f t="shared" si="2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3"/>
        <v>30</v>
      </c>
      <c r="C14" s="47">
        <f t="shared" si="4"/>
        <v>34666</v>
      </c>
      <c r="D14" s="48">
        <f t="shared" si="0"/>
        <v>25097.91</v>
      </c>
      <c r="E14" s="68">
        <f t="shared" si="2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3"/>
        <v>30</v>
      </c>
      <c r="C15" s="47">
        <f t="shared" si="4"/>
        <v>34666</v>
      </c>
      <c r="D15" s="48">
        <f t="shared" si="0"/>
        <v>25411.64</v>
      </c>
      <c r="E15" s="68">
        <f t="shared" si="2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3"/>
        <v>30</v>
      </c>
      <c r="C16" s="47">
        <f t="shared" si="4"/>
        <v>34666</v>
      </c>
      <c r="D16" s="48">
        <f t="shared" si="0"/>
        <v>25729.279999999999</v>
      </c>
      <c r="E16" s="68">
        <f t="shared" si="2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34666</v>
      </c>
      <c r="D17" s="48">
        <f t="shared" si="0"/>
        <v>26050.9</v>
      </c>
      <c r="E17" s="68">
        <f t="shared" si="2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3"/>
        <v>30</v>
      </c>
      <c r="C18" s="47">
        <f t="shared" si="4"/>
        <v>34666</v>
      </c>
      <c r="D18" s="48">
        <f t="shared" si="0"/>
        <v>26376.54</v>
      </c>
      <c r="E18" s="68">
        <f t="shared" si="2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54">
        <v>42343</v>
      </c>
      <c r="B19" s="46">
        <f t="shared" si="3"/>
        <v>30</v>
      </c>
      <c r="C19" s="47">
        <f t="shared" si="4"/>
        <v>34666</v>
      </c>
      <c r="D19" s="48">
        <f t="shared" si="0"/>
        <v>26706.239999999998</v>
      </c>
      <c r="E19" s="68">
        <f t="shared" si="2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54">
        <v>42374</v>
      </c>
      <c r="B20" s="46">
        <f t="shared" si="3"/>
        <v>30</v>
      </c>
      <c r="C20" s="47">
        <f t="shared" si="4"/>
        <v>34666</v>
      </c>
      <c r="D20" s="48">
        <f t="shared" si="0"/>
        <v>27040.07</v>
      </c>
      <c r="E20" s="68">
        <f t="shared" si="2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54">
        <v>42405</v>
      </c>
      <c r="B21" s="46">
        <f t="shared" si="3"/>
        <v>30</v>
      </c>
      <c r="C21" s="47">
        <f t="shared" si="4"/>
        <v>34666</v>
      </c>
      <c r="D21" s="48">
        <f t="shared" si="0"/>
        <v>27378.07</v>
      </c>
      <c r="E21" s="68">
        <f t="shared" si="2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54">
        <v>42434</v>
      </c>
      <c r="B22" s="46">
        <f t="shared" si="3"/>
        <v>30</v>
      </c>
      <c r="C22" s="47">
        <f t="shared" si="4"/>
        <v>34666</v>
      </c>
      <c r="D22" s="48">
        <f t="shared" si="0"/>
        <v>27720.3</v>
      </c>
      <c r="E22" s="68">
        <f t="shared" si="2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54">
        <v>42465</v>
      </c>
      <c r="B23" s="46">
        <f t="shared" si="3"/>
        <v>30</v>
      </c>
      <c r="C23" s="47">
        <f t="shared" si="4"/>
        <v>34666</v>
      </c>
      <c r="D23" s="48">
        <f t="shared" si="0"/>
        <v>28066.799999999999</v>
      </c>
      <c r="E23" s="68">
        <f t="shared" si="2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54">
        <v>42495</v>
      </c>
      <c r="B24" s="46">
        <f t="shared" si="3"/>
        <v>30</v>
      </c>
      <c r="C24" s="47">
        <f t="shared" si="4"/>
        <v>34666</v>
      </c>
      <c r="D24" s="48">
        <f t="shared" si="0"/>
        <v>28417.64</v>
      </c>
      <c r="E24" s="68">
        <f t="shared" si="2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54">
        <v>42526</v>
      </c>
      <c r="B25" s="46">
        <f t="shared" si="3"/>
        <v>30</v>
      </c>
      <c r="C25" s="47">
        <f t="shared" si="4"/>
        <v>34666</v>
      </c>
      <c r="D25" s="48">
        <f t="shared" si="0"/>
        <v>28772.86</v>
      </c>
      <c r="E25" s="68">
        <f t="shared" si="2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54">
        <v>42556</v>
      </c>
      <c r="B26" s="46">
        <f t="shared" si="3"/>
        <v>30</v>
      </c>
      <c r="C26" s="47">
        <f t="shared" si="4"/>
        <v>34666</v>
      </c>
      <c r="D26" s="48">
        <f t="shared" si="0"/>
        <v>29132.52</v>
      </c>
      <c r="E26" s="68">
        <f t="shared" si="2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54">
        <v>42587</v>
      </c>
      <c r="B27" s="46">
        <f t="shared" si="3"/>
        <v>30</v>
      </c>
      <c r="C27" s="47">
        <f t="shared" si="4"/>
        <v>34666</v>
      </c>
      <c r="D27" s="48">
        <f t="shared" si="0"/>
        <v>29496.67</v>
      </c>
      <c r="E27" s="68">
        <f t="shared" si="2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54">
        <v>42618</v>
      </c>
      <c r="B28" s="46">
        <f t="shared" si="3"/>
        <v>30</v>
      </c>
      <c r="C28" s="47">
        <f t="shared" si="4"/>
        <v>34666</v>
      </c>
      <c r="D28" s="48">
        <f t="shared" si="0"/>
        <v>29865.38</v>
      </c>
      <c r="E28" s="68">
        <f t="shared" si="2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54">
        <v>42648</v>
      </c>
      <c r="B29" s="46">
        <f t="shared" si="3"/>
        <v>30</v>
      </c>
      <c r="C29" s="47">
        <f t="shared" si="4"/>
        <v>34666</v>
      </c>
      <c r="D29" s="48">
        <f t="shared" si="0"/>
        <v>30238.7</v>
      </c>
      <c r="E29" s="68">
        <f t="shared" si="2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54">
        <v>42679</v>
      </c>
      <c r="B30" s="46">
        <f t="shared" si="3"/>
        <v>30</v>
      </c>
      <c r="C30" s="47">
        <f t="shared" si="4"/>
        <v>34666</v>
      </c>
      <c r="D30" s="48">
        <f t="shared" si="0"/>
        <v>30616.68</v>
      </c>
      <c r="E30" s="68">
        <f t="shared" si="2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54">
        <v>42709</v>
      </c>
      <c r="B31" s="46">
        <f t="shared" si="3"/>
        <v>30</v>
      </c>
      <c r="C31" s="47">
        <f t="shared" si="4"/>
        <v>34666</v>
      </c>
      <c r="D31" s="48">
        <f t="shared" si="0"/>
        <v>30999.39</v>
      </c>
      <c r="E31" s="68">
        <f t="shared" si="2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54">
        <v>42740</v>
      </c>
      <c r="B32" s="46">
        <f t="shared" si="3"/>
        <v>30</v>
      </c>
      <c r="C32" s="47">
        <f t="shared" si="4"/>
        <v>34666</v>
      </c>
      <c r="D32" s="48">
        <f t="shared" si="0"/>
        <v>31386.880000000001</v>
      </c>
      <c r="E32" s="68">
        <f t="shared" si="2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54">
        <v>42771</v>
      </c>
      <c r="B33" s="46">
        <f t="shared" si="3"/>
        <v>30</v>
      </c>
      <c r="C33" s="47">
        <f t="shared" si="4"/>
        <v>34666</v>
      </c>
      <c r="D33" s="48">
        <f t="shared" si="0"/>
        <v>31779.22</v>
      </c>
      <c r="E33" s="68">
        <f t="shared" si="2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54">
        <v>42799</v>
      </c>
      <c r="B34" s="46">
        <f t="shared" si="3"/>
        <v>30</v>
      </c>
      <c r="C34" s="47">
        <f t="shared" si="4"/>
        <v>34666</v>
      </c>
      <c r="D34" s="48">
        <f t="shared" si="0"/>
        <v>32176.46</v>
      </c>
      <c r="E34" s="68">
        <f t="shared" si="2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54">
        <v>42830</v>
      </c>
      <c r="B35" s="46">
        <f t="shared" si="3"/>
        <v>30</v>
      </c>
      <c r="C35" s="47">
        <f t="shared" si="4"/>
        <v>34666</v>
      </c>
      <c r="D35" s="48">
        <f t="shared" si="0"/>
        <v>32578.67</v>
      </c>
      <c r="E35" s="68">
        <f t="shared" si="2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54">
        <v>42860</v>
      </c>
      <c r="B36" s="46">
        <f t="shared" si="3"/>
        <v>30</v>
      </c>
      <c r="C36" s="47">
        <f t="shared" si="4"/>
        <v>34666</v>
      </c>
      <c r="D36" s="48">
        <f t="shared" si="0"/>
        <v>32985.9</v>
      </c>
      <c r="E36" s="68">
        <f t="shared" si="2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54">
        <v>42891</v>
      </c>
      <c r="B37" s="46">
        <f t="shared" si="3"/>
        <v>30</v>
      </c>
      <c r="C37" s="47">
        <f t="shared" si="4"/>
        <v>34666</v>
      </c>
      <c r="D37" s="48">
        <f t="shared" si="0"/>
        <v>33398.22</v>
      </c>
      <c r="E37" s="68">
        <f t="shared" si="2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54">
        <v>42921</v>
      </c>
      <c r="B38" s="46">
        <f t="shared" si="3"/>
        <v>30</v>
      </c>
      <c r="C38" s="47">
        <f t="shared" si="4"/>
        <v>34666</v>
      </c>
      <c r="D38" s="48">
        <f t="shared" si="0"/>
        <v>33815.699999999997</v>
      </c>
      <c r="E38" s="68">
        <f t="shared" si="2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54">
        <v>42952</v>
      </c>
      <c r="B39" s="46">
        <f t="shared" si="3"/>
        <v>30</v>
      </c>
      <c r="C39" s="47">
        <f t="shared" si="4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70">
        <v>42252</v>
      </c>
      <c r="B40" s="46">
        <f>DAYS360(B1,A4,TRUE)</f>
        <v>30</v>
      </c>
      <c r="C40" s="47">
        <f t="shared" si="4"/>
        <v>34666</v>
      </c>
      <c r="D40" s="48">
        <f>C40-E40</f>
        <v>25729.279999999999</v>
      </c>
      <c r="E40" s="68">
        <f>ROUND(F16*$B$2*B16/360,2)</f>
        <v>8936.7199999999993</v>
      </c>
      <c r="F40" s="47">
        <f>G15</f>
        <v>714937.24999999977</v>
      </c>
      <c r="G40" s="47">
        <f t="shared" si="6"/>
        <v>689207.96999999974</v>
      </c>
    </row>
    <row r="41" spans="1:7" x14ac:dyDescent="0.25">
      <c r="A41" s="70">
        <v>42282</v>
      </c>
      <c r="B41" s="46">
        <f>DAYS360(A40,A41,TRUE)</f>
        <v>30</v>
      </c>
      <c r="C41" s="47">
        <f>$F$1</f>
        <v>30234</v>
      </c>
      <c r="D41" s="48">
        <f t="shared" ref="D41:D50" si="7">C41-E41</f>
        <v>21618.9</v>
      </c>
      <c r="E41" s="68">
        <f>ROUND(F41*$B$2*B41/360,2)</f>
        <v>8615.1</v>
      </c>
      <c r="F41" s="47">
        <f t="shared" ref="F41:F50" si="8">G40</f>
        <v>689207.96999999974</v>
      </c>
      <c r="G41" s="47">
        <f t="shared" si="6"/>
        <v>667589.06999999972</v>
      </c>
    </row>
    <row r="42" spans="1:7" x14ac:dyDescent="0.25">
      <c r="A42" s="70">
        <v>42313</v>
      </c>
      <c r="B42" s="46">
        <f t="shared" ref="B42:B67" si="9">DAYS360(A41,A42,TRUE)</f>
        <v>30</v>
      </c>
      <c r="C42" s="47">
        <f t="shared" ref="C42:C67" si="10">$F$1</f>
        <v>30234</v>
      </c>
      <c r="D42" s="48">
        <f t="shared" si="7"/>
        <v>21889.14</v>
      </c>
      <c r="E42" s="68">
        <f t="shared" ref="E42:E50" si="11">ROUND(F42*$B$2*B42/360,2)</f>
        <v>8344.86</v>
      </c>
      <c r="F42" s="47">
        <f t="shared" si="8"/>
        <v>667589.06999999972</v>
      </c>
      <c r="G42" s="47">
        <f t="shared" si="6"/>
        <v>645699.9299999997</v>
      </c>
    </row>
    <row r="43" spans="1:7" x14ac:dyDescent="0.25">
      <c r="A43" s="70">
        <v>42343</v>
      </c>
      <c r="B43" s="46">
        <f t="shared" si="9"/>
        <v>30</v>
      </c>
      <c r="C43" s="47">
        <f t="shared" si="10"/>
        <v>30234</v>
      </c>
      <c r="D43" s="48">
        <f t="shared" si="7"/>
        <v>22162.75</v>
      </c>
      <c r="E43" s="68">
        <f t="shared" si="11"/>
        <v>8071.25</v>
      </c>
      <c r="F43" s="47">
        <f t="shared" si="8"/>
        <v>645699.9299999997</v>
      </c>
      <c r="G43" s="47">
        <f t="shared" si="6"/>
        <v>623537.1799999997</v>
      </c>
    </row>
    <row r="44" spans="1:7" x14ac:dyDescent="0.25">
      <c r="A44" s="70">
        <v>42374</v>
      </c>
      <c r="B44" s="46">
        <f t="shared" si="9"/>
        <v>30</v>
      </c>
      <c r="C44" s="47">
        <f t="shared" si="10"/>
        <v>30234</v>
      </c>
      <c r="D44" s="48">
        <f t="shared" si="7"/>
        <v>22439.79</v>
      </c>
      <c r="E44" s="68">
        <f t="shared" si="11"/>
        <v>7794.21</v>
      </c>
      <c r="F44" s="47">
        <f t="shared" si="8"/>
        <v>623537.1799999997</v>
      </c>
      <c r="G44" s="47">
        <f t="shared" si="6"/>
        <v>601097.38999999966</v>
      </c>
    </row>
    <row r="45" spans="1:7" x14ac:dyDescent="0.25">
      <c r="A45" s="70">
        <v>42405</v>
      </c>
      <c r="B45" s="46">
        <f t="shared" si="9"/>
        <v>30</v>
      </c>
      <c r="C45" s="47">
        <f t="shared" si="10"/>
        <v>30234</v>
      </c>
      <c r="D45" s="48">
        <f t="shared" si="7"/>
        <v>22720.28</v>
      </c>
      <c r="E45" s="68">
        <f t="shared" si="11"/>
        <v>7513.72</v>
      </c>
      <c r="F45" s="47">
        <f t="shared" si="8"/>
        <v>601097.38999999966</v>
      </c>
      <c r="G45" s="47">
        <f t="shared" si="6"/>
        <v>578377.10999999964</v>
      </c>
    </row>
    <row r="46" spans="1:7" x14ac:dyDescent="0.25">
      <c r="A46" s="70">
        <v>42434</v>
      </c>
      <c r="B46" s="46">
        <f t="shared" si="9"/>
        <v>30</v>
      </c>
      <c r="C46" s="47">
        <f t="shared" si="10"/>
        <v>30234</v>
      </c>
      <c r="D46" s="48">
        <f t="shared" si="7"/>
        <v>23004.29</v>
      </c>
      <c r="E46" s="68">
        <f t="shared" si="11"/>
        <v>7229.71</v>
      </c>
      <c r="F46" s="47">
        <f t="shared" si="8"/>
        <v>578377.10999999964</v>
      </c>
      <c r="G46" s="47">
        <f t="shared" si="6"/>
        <v>555372.8199999996</v>
      </c>
    </row>
    <row r="47" spans="1:7" x14ac:dyDescent="0.25">
      <c r="A47" s="70">
        <v>42465</v>
      </c>
      <c r="B47" s="46">
        <f t="shared" si="9"/>
        <v>30</v>
      </c>
      <c r="C47" s="47">
        <f t="shared" si="10"/>
        <v>30234</v>
      </c>
      <c r="D47" s="48">
        <f t="shared" si="7"/>
        <v>23291.84</v>
      </c>
      <c r="E47" s="68">
        <f t="shared" si="11"/>
        <v>6942.16</v>
      </c>
      <c r="F47" s="47">
        <f t="shared" si="8"/>
        <v>555372.8199999996</v>
      </c>
      <c r="G47" s="47">
        <f t="shared" si="6"/>
        <v>532080.97999999963</v>
      </c>
    </row>
    <row r="48" spans="1:7" x14ac:dyDescent="0.25">
      <c r="A48" s="70">
        <v>42495</v>
      </c>
      <c r="B48" s="46">
        <f t="shared" si="9"/>
        <v>30</v>
      </c>
      <c r="C48" s="47">
        <f t="shared" si="10"/>
        <v>30234</v>
      </c>
      <c r="D48" s="48">
        <f t="shared" si="7"/>
        <v>23582.989999999998</v>
      </c>
      <c r="E48" s="68">
        <f t="shared" si="11"/>
        <v>6651.01</v>
      </c>
      <c r="F48" s="47">
        <f t="shared" si="8"/>
        <v>532080.97999999963</v>
      </c>
      <c r="G48" s="47">
        <f t="shared" si="6"/>
        <v>508497.98999999964</v>
      </c>
    </row>
    <row r="49" spans="1:7" x14ac:dyDescent="0.25">
      <c r="A49" s="70">
        <v>42526</v>
      </c>
      <c r="B49" s="46">
        <f t="shared" si="9"/>
        <v>30</v>
      </c>
      <c r="C49" s="47">
        <f t="shared" si="10"/>
        <v>30234</v>
      </c>
      <c r="D49" s="48">
        <f t="shared" si="7"/>
        <v>23877.78</v>
      </c>
      <c r="E49" s="68">
        <f t="shared" si="11"/>
        <v>6356.22</v>
      </c>
      <c r="F49" s="47">
        <f t="shared" si="8"/>
        <v>508497.98999999964</v>
      </c>
      <c r="G49" s="47">
        <f t="shared" si="6"/>
        <v>484620.20999999961</v>
      </c>
    </row>
    <row r="50" spans="1:7" x14ac:dyDescent="0.25">
      <c r="A50" s="70">
        <v>42556</v>
      </c>
      <c r="B50" s="46">
        <f t="shared" si="9"/>
        <v>30</v>
      </c>
      <c r="C50" s="47">
        <f t="shared" si="10"/>
        <v>30234</v>
      </c>
      <c r="D50" s="48">
        <f t="shared" si="7"/>
        <v>24176.25</v>
      </c>
      <c r="E50" s="68">
        <f t="shared" si="11"/>
        <v>6057.75</v>
      </c>
      <c r="F50" s="47">
        <f t="shared" si="8"/>
        <v>484620.20999999961</v>
      </c>
      <c r="G50" s="47">
        <f t="shared" si="6"/>
        <v>460443.95999999961</v>
      </c>
    </row>
    <row r="51" spans="1:7" x14ac:dyDescent="0.25">
      <c r="A51" s="70">
        <v>42587</v>
      </c>
      <c r="B51" s="46">
        <f t="shared" si="9"/>
        <v>30</v>
      </c>
      <c r="C51" s="47">
        <f t="shared" si="10"/>
        <v>30234</v>
      </c>
      <c r="D51" s="48">
        <f t="shared" ref="D51:D52" si="12">C51-E51</f>
        <v>24478.45</v>
      </c>
      <c r="E51" s="68">
        <f t="shared" ref="E51:E52" si="13">ROUND(F51*$B$2*B51/360,2)</f>
        <v>5755.55</v>
      </c>
      <c r="F51" s="47">
        <f t="shared" ref="F51:F52" si="14">G50</f>
        <v>460443.95999999961</v>
      </c>
      <c r="G51" s="47">
        <f t="shared" ref="G51:G52" si="15">F51-D51</f>
        <v>435965.5099999996</v>
      </c>
    </row>
    <row r="52" spans="1:7" x14ac:dyDescent="0.25">
      <c r="A52" s="70">
        <v>42618</v>
      </c>
      <c r="B52" s="46">
        <f t="shared" si="9"/>
        <v>30</v>
      </c>
      <c r="C52" s="47">
        <f t="shared" si="10"/>
        <v>30234</v>
      </c>
      <c r="D52" s="48">
        <f t="shared" si="12"/>
        <v>24784.43</v>
      </c>
      <c r="E52" s="68">
        <f t="shared" si="13"/>
        <v>5449.57</v>
      </c>
      <c r="F52" s="47">
        <f t="shared" si="14"/>
        <v>435965.5099999996</v>
      </c>
      <c r="G52" s="47">
        <f t="shared" si="15"/>
        <v>411181.07999999961</v>
      </c>
    </row>
    <row r="53" spans="1:7" x14ac:dyDescent="0.25">
      <c r="A53" s="70">
        <v>42648</v>
      </c>
      <c r="B53" s="46">
        <f t="shared" si="9"/>
        <v>30</v>
      </c>
      <c r="C53" s="47">
        <f t="shared" si="10"/>
        <v>30234</v>
      </c>
      <c r="D53" s="48">
        <f t="shared" ref="D53:D67" si="16">C53-E53</f>
        <v>25094.239999999998</v>
      </c>
      <c r="E53" s="68">
        <f t="shared" ref="E53:E66" si="17">ROUND(F53*$B$2*B53/360,2)</f>
        <v>5139.76</v>
      </c>
      <c r="F53" s="47">
        <f t="shared" ref="F53:F67" si="18">G52</f>
        <v>411181.07999999961</v>
      </c>
      <c r="G53" s="47">
        <f t="shared" ref="G53:G67" si="19">F53-D53</f>
        <v>386086.83999999962</v>
      </c>
    </row>
    <row r="54" spans="1:7" x14ac:dyDescent="0.25">
      <c r="A54" s="70">
        <v>42679</v>
      </c>
      <c r="B54" s="46">
        <f t="shared" si="9"/>
        <v>30</v>
      </c>
      <c r="C54" s="47">
        <f t="shared" si="10"/>
        <v>30234</v>
      </c>
      <c r="D54" s="48">
        <f t="shared" si="16"/>
        <v>25407.91</v>
      </c>
      <c r="E54" s="68">
        <f t="shared" si="17"/>
        <v>4826.09</v>
      </c>
      <c r="F54" s="47">
        <f t="shared" si="18"/>
        <v>386086.83999999962</v>
      </c>
      <c r="G54" s="47">
        <f t="shared" si="19"/>
        <v>360678.92999999964</v>
      </c>
    </row>
    <row r="55" spans="1:7" x14ac:dyDescent="0.25">
      <c r="A55" s="70">
        <v>42709</v>
      </c>
      <c r="B55" s="46">
        <f t="shared" si="9"/>
        <v>30</v>
      </c>
      <c r="C55" s="47">
        <f t="shared" si="10"/>
        <v>30234</v>
      </c>
      <c r="D55" s="48">
        <f t="shared" si="16"/>
        <v>25725.510000000002</v>
      </c>
      <c r="E55" s="68">
        <f t="shared" si="17"/>
        <v>4508.49</v>
      </c>
      <c r="F55" s="47">
        <f t="shared" si="18"/>
        <v>360678.92999999964</v>
      </c>
      <c r="G55" s="47">
        <f t="shared" si="19"/>
        <v>334953.41999999963</v>
      </c>
    </row>
    <row r="56" spans="1:7" x14ac:dyDescent="0.25">
      <c r="A56" s="70">
        <v>42740</v>
      </c>
      <c r="B56" s="46">
        <f t="shared" si="9"/>
        <v>30</v>
      </c>
      <c r="C56" s="47">
        <f t="shared" si="10"/>
        <v>30234</v>
      </c>
      <c r="D56" s="48">
        <f t="shared" si="16"/>
        <v>26047.08</v>
      </c>
      <c r="E56" s="68">
        <f t="shared" si="17"/>
        <v>4186.92</v>
      </c>
      <c r="F56" s="47">
        <f t="shared" si="18"/>
        <v>334953.41999999963</v>
      </c>
      <c r="G56" s="47">
        <f t="shared" si="19"/>
        <v>308906.33999999962</v>
      </c>
    </row>
    <row r="57" spans="1:7" x14ac:dyDescent="0.25">
      <c r="A57" s="70">
        <v>42771</v>
      </c>
      <c r="B57" s="46">
        <f t="shared" si="9"/>
        <v>30</v>
      </c>
      <c r="C57" s="47">
        <f t="shared" si="10"/>
        <v>30234</v>
      </c>
      <c r="D57" s="48">
        <f t="shared" si="16"/>
        <v>26372.67</v>
      </c>
      <c r="E57" s="68">
        <f t="shared" si="17"/>
        <v>3861.33</v>
      </c>
      <c r="F57" s="47">
        <f t="shared" si="18"/>
        <v>308906.33999999962</v>
      </c>
      <c r="G57" s="47">
        <f t="shared" si="19"/>
        <v>282533.66999999963</v>
      </c>
    </row>
    <row r="58" spans="1:7" x14ac:dyDescent="0.25">
      <c r="A58" s="70">
        <v>42799</v>
      </c>
      <c r="B58" s="46">
        <f t="shared" si="9"/>
        <v>30</v>
      </c>
      <c r="C58" s="47">
        <f t="shared" si="10"/>
        <v>30234</v>
      </c>
      <c r="D58" s="48">
        <f t="shared" si="16"/>
        <v>26702.33</v>
      </c>
      <c r="E58" s="68">
        <f t="shared" si="17"/>
        <v>3531.67</v>
      </c>
      <c r="F58" s="47">
        <f t="shared" si="18"/>
        <v>282533.66999999963</v>
      </c>
      <c r="G58" s="47">
        <f t="shared" si="19"/>
        <v>255831.33999999962</v>
      </c>
    </row>
    <row r="59" spans="1:7" x14ac:dyDescent="0.25">
      <c r="A59" s="70">
        <v>42830</v>
      </c>
      <c r="B59" s="46">
        <f t="shared" si="9"/>
        <v>30</v>
      </c>
      <c r="C59" s="47">
        <f t="shared" si="10"/>
        <v>30234</v>
      </c>
      <c r="D59" s="48">
        <f t="shared" si="16"/>
        <v>27036.11</v>
      </c>
      <c r="E59" s="68">
        <f t="shared" si="17"/>
        <v>3197.89</v>
      </c>
      <c r="F59" s="47">
        <f t="shared" si="18"/>
        <v>255831.33999999962</v>
      </c>
      <c r="G59" s="47">
        <f t="shared" si="19"/>
        <v>228795.22999999963</v>
      </c>
    </row>
    <row r="60" spans="1:7" x14ac:dyDescent="0.25">
      <c r="A60" s="70">
        <v>42860</v>
      </c>
      <c r="B60" s="46">
        <f t="shared" si="9"/>
        <v>30</v>
      </c>
      <c r="C60" s="47">
        <f t="shared" si="10"/>
        <v>30234</v>
      </c>
      <c r="D60" s="48">
        <f t="shared" si="16"/>
        <v>27374.06</v>
      </c>
      <c r="E60" s="68">
        <f t="shared" si="17"/>
        <v>2859.94</v>
      </c>
      <c r="F60" s="47">
        <f t="shared" si="18"/>
        <v>228795.22999999963</v>
      </c>
      <c r="G60" s="47">
        <f t="shared" si="19"/>
        <v>201421.16999999963</v>
      </c>
    </row>
    <row r="61" spans="1:7" x14ac:dyDescent="0.25">
      <c r="A61" s="70">
        <v>42891</v>
      </c>
      <c r="B61" s="46">
        <f t="shared" si="9"/>
        <v>30</v>
      </c>
      <c r="C61" s="47">
        <f t="shared" si="10"/>
        <v>30234</v>
      </c>
      <c r="D61" s="48">
        <f t="shared" si="16"/>
        <v>27716.239999999998</v>
      </c>
      <c r="E61" s="68">
        <f t="shared" si="17"/>
        <v>2517.7600000000002</v>
      </c>
      <c r="F61" s="47">
        <f t="shared" si="18"/>
        <v>201421.16999999963</v>
      </c>
      <c r="G61" s="47">
        <f t="shared" si="19"/>
        <v>173704.92999999964</v>
      </c>
    </row>
    <row r="62" spans="1:7" x14ac:dyDescent="0.25">
      <c r="A62" s="70">
        <v>42921</v>
      </c>
      <c r="B62" s="46">
        <f t="shared" si="9"/>
        <v>30</v>
      </c>
      <c r="C62" s="47">
        <f t="shared" si="10"/>
        <v>30234</v>
      </c>
      <c r="D62" s="48">
        <f t="shared" si="16"/>
        <v>28062.69</v>
      </c>
      <c r="E62" s="68">
        <f t="shared" si="17"/>
        <v>2171.31</v>
      </c>
      <c r="F62" s="47">
        <f t="shared" si="18"/>
        <v>173704.92999999964</v>
      </c>
      <c r="G62" s="47">
        <f t="shared" si="19"/>
        <v>145642.23999999964</v>
      </c>
    </row>
    <row r="63" spans="1:7" x14ac:dyDescent="0.25">
      <c r="A63" s="70">
        <v>42952</v>
      </c>
      <c r="B63" s="46">
        <f t="shared" si="9"/>
        <v>30</v>
      </c>
      <c r="C63" s="47">
        <f t="shared" si="10"/>
        <v>30234</v>
      </c>
      <c r="D63" s="48">
        <f t="shared" si="16"/>
        <v>28413.47</v>
      </c>
      <c r="E63" s="68">
        <f t="shared" si="17"/>
        <v>1820.53</v>
      </c>
      <c r="F63" s="47">
        <f t="shared" si="18"/>
        <v>145642.23999999964</v>
      </c>
      <c r="G63" s="47">
        <f t="shared" si="19"/>
        <v>117228.76999999964</v>
      </c>
    </row>
    <row r="64" spans="1:7" x14ac:dyDescent="0.25">
      <c r="A64" s="70">
        <v>42983</v>
      </c>
      <c r="B64" s="46">
        <f t="shared" si="9"/>
        <v>30</v>
      </c>
      <c r="C64" s="47">
        <f t="shared" si="10"/>
        <v>30234</v>
      </c>
      <c r="D64" s="48">
        <f t="shared" si="16"/>
        <v>28768.639999999999</v>
      </c>
      <c r="E64" s="68">
        <f t="shared" si="17"/>
        <v>1465.36</v>
      </c>
      <c r="F64" s="47">
        <f t="shared" si="18"/>
        <v>117228.76999999964</v>
      </c>
      <c r="G64" s="47">
        <f t="shared" si="19"/>
        <v>88460.129999999641</v>
      </c>
    </row>
    <row r="65" spans="1:7" x14ac:dyDescent="0.25">
      <c r="A65" s="70">
        <v>43013</v>
      </c>
      <c r="B65" s="46">
        <f t="shared" si="9"/>
        <v>30</v>
      </c>
      <c r="C65" s="47">
        <f t="shared" si="10"/>
        <v>30234</v>
      </c>
      <c r="D65" s="48">
        <f t="shared" si="16"/>
        <v>29128.25</v>
      </c>
      <c r="E65" s="68">
        <f t="shared" si="17"/>
        <v>1105.75</v>
      </c>
      <c r="F65" s="47">
        <f t="shared" si="18"/>
        <v>88460.129999999641</v>
      </c>
      <c r="G65" s="47">
        <f t="shared" si="19"/>
        <v>59331.879999999641</v>
      </c>
    </row>
    <row r="66" spans="1:7" x14ac:dyDescent="0.25">
      <c r="A66" s="70">
        <v>43044</v>
      </c>
      <c r="B66" s="46">
        <f t="shared" si="9"/>
        <v>30</v>
      </c>
      <c r="C66" s="47">
        <f t="shared" si="10"/>
        <v>30234</v>
      </c>
      <c r="D66" s="48">
        <f t="shared" si="16"/>
        <v>29492.35</v>
      </c>
      <c r="E66" s="68">
        <f t="shared" si="17"/>
        <v>741.65</v>
      </c>
      <c r="F66" s="47">
        <f t="shared" si="18"/>
        <v>59331.879999999641</v>
      </c>
      <c r="G66" s="47">
        <f t="shared" si="19"/>
        <v>29839.529999999642</v>
      </c>
    </row>
    <row r="67" spans="1:7" x14ac:dyDescent="0.25">
      <c r="A67" s="70">
        <v>43074</v>
      </c>
      <c r="B67" s="46">
        <f t="shared" si="9"/>
        <v>30</v>
      </c>
      <c r="C67" s="47">
        <f t="shared" si="10"/>
        <v>30234</v>
      </c>
      <c r="D67" s="48">
        <f t="shared" si="16"/>
        <v>29839.529999999642</v>
      </c>
      <c r="E67" s="68">
        <v>394.47000000035609</v>
      </c>
      <c r="F67" s="47">
        <f t="shared" si="18"/>
        <v>29839.529999999642</v>
      </c>
      <c r="G67" s="47">
        <f t="shared" si="19"/>
        <v>0</v>
      </c>
    </row>
  </sheetData>
  <pageMargins left="0.7" right="0.7" top="0.75" bottom="0.75" header="0.3" footer="0.3"/>
  <pageSetup orientation="portrait" r:id="rId1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9B04F4-D814-4A13-8305-F00FCCA480F9}">
  <dimension ref="A1:R5"/>
  <sheetViews>
    <sheetView workbookViewId="0">
      <selection activeCell="R3" sqref="R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76.425781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70</v>
      </c>
      <c r="D2" s="8" t="s">
        <v>71</v>
      </c>
      <c r="E2" s="8" t="s">
        <v>23</v>
      </c>
      <c r="F2" s="8" t="s">
        <v>41</v>
      </c>
      <c r="G2" s="9" t="s">
        <v>24</v>
      </c>
      <c r="H2" s="9" t="s">
        <v>72</v>
      </c>
      <c r="I2" s="9" t="s">
        <v>0</v>
      </c>
      <c r="J2" s="9" t="s">
        <v>9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44</v>
      </c>
      <c r="P2" s="20" t="s">
        <v>104</v>
      </c>
      <c r="Q2" s="20" t="s">
        <v>109</v>
      </c>
      <c r="R2" s="20" t="s">
        <v>112</v>
      </c>
    </row>
    <row r="3" spans="1:18" x14ac:dyDescent="0.25">
      <c r="A3" s="12" t="s">
        <v>0</v>
      </c>
      <c r="B3" s="7" t="s">
        <v>9</v>
      </c>
      <c r="C3" s="7" t="s">
        <v>70</v>
      </c>
      <c r="D3" s="8" t="s">
        <v>71</v>
      </c>
      <c r="E3" s="8" t="s">
        <v>23</v>
      </c>
      <c r="F3" s="8" t="s">
        <v>41</v>
      </c>
      <c r="G3" s="9" t="s">
        <v>24</v>
      </c>
      <c r="H3" s="9" t="s">
        <v>72</v>
      </c>
      <c r="I3" s="9" t="s">
        <v>0</v>
      </c>
      <c r="J3" s="9" t="s">
        <v>9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44</v>
      </c>
      <c r="P3" s="20" t="s">
        <v>104</v>
      </c>
      <c r="Q3" s="20" t="s">
        <v>109</v>
      </c>
      <c r="R3" s="20" t="s">
        <v>111</v>
      </c>
    </row>
    <row r="4" spans="1:18" x14ac:dyDescent="0.25">
      <c r="A4" s="12" t="s">
        <v>0</v>
      </c>
      <c r="B4" s="7" t="s">
        <v>9</v>
      </c>
      <c r="C4" s="7" t="s">
        <v>73</v>
      </c>
      <c r="D4" s="8" t="s">
        <v>71</v>
      </c>
      <c r="E4" s="8" t="s">
        <v>23</v>
      </c>
      <c r="F4" s="8" t="s">
        <v>41</v>
      </c>
      <c r="G4" s="9" t="s">
        <v>24</v>
      </c>
      <c r="H4" s="9" t="s">
        <v>42</v>
      </c>
      <c r="I4" s="9" t="s">
        <v>0</v>
      </c>
      <c r="J4" s="9" t="s">
        <v>9</v>
      </c>
      <c r="K4" s="9" t="s">
        <v>25</v>
      </c>
      <c r="L4" s="9" t="s">
        <v>26</v>
      </c>
      <c r="M4" s="9" t="s">
        <v>27</v>
      </c>
      <c r="N4" s="20" t="s">
        <v>29</v>
      </c>
      <c r="O4" s="20" t="s">
        <v>95</v>
      </c>
      <c r="P4" s="20" t="s">
        <v>104</v>
      </c>
      <c r="Q4" s="20" t="s">
        <v>110</v>
      </c>
      <c r="R4" s="20" t="s">
        <v>114</v>
      </c>
    </row>
    <row r="5" spans="1:18" x14ac:dyDescent="0.25">
      <c r="A5" s="12" t="s">
        <v>0</v>
      </c>
      <c r="B5" s="7" t="s">
        <v>9</v>
      </c>
      <c r="C5" s="7" t="s">
        <v>73</v>
      </c>
      <c r="D5" s="8" t="s">
        <v>71</v>
      </c>
      <c r="E5" s="8" t="s">
        <v>23</v>
      </c>
      <c r="F5" s="8" t="s">
        <v>41</v>
      </c>
      <c r="G5" s="9" t="s">
        <v>24</v>
      </c>
      <c r="H5" s="9" t="s">
        <v>42</v>
      </c>
      <c r="I5" s="9" t="s">
        <v>0</v>
      </c>
      <c r="J5" s="9" t="s">
        <v>9</v>
      </c>
      <c r="K5" s="9" t="s">
        <v>31</v>
      </c>
      <c r="L5" s="9" t="s">
        <v>26</v>
      </c>
      <c r="M5" s="9" t="s">
        <v>27</v>
      </c>
      <c r="N5" s="20" t="s">
        <v>29</v>
      </c>
      <c r="O5" s="20" t="s">
        <v>95</v>
      </c>
      <c r="P5" s="20" t="s">
        <v>104</v>
      </c>
      <c r="Q5" s="20" t="s">
        <v>110</v>
      </c>
      <c r="R5" s="20" t="s">
        <v>113</v>
      </c>
    </row>
  </sheetData>
  <pageMargins left="0.7" right="0.7" top="0.75" bottom="0.75" header="0.3" footer="0.3"/>
  <pageSetup orientation="portrait" r:id="rId1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255DAD-CC7B-4253-ABAB-EE11CCDB4C36}">
  <dimension ref="A1:J485"/>
  <sheetViews>
    <sheetView zoomScale="90" zoomScaleNormal="90" workbookViewId="0">
      <pane ySplit="3" topLeftCell="A464" activePane="bottomLeft" state="frozen"/>
      <selection activeCell="R2" sqref="R2:R5"/>
      <selection pane="bottomLeft" activeCell="E485" sqref="E485"/>
    </sheetView>
  </sheetViews>
  <sheetFormatPr defaultRowHeight="15" x14ac:dyDescent="0.25"/>
  <cols>
    <col min="1" max="1" width="15.42578125" bestFit="1" customWidth="1"/>
    <col min="2" max="2" width="12.42578125" bestFit="1" customWidth="1"/>
    <col min="3" max="3" width="23.28515625" bestFit="1" customWidth="1"/>
    <col min="4" max="4" width="17.28515625" bestFit="1" customWidth="1"/>
    <col min="5" max="5" width="31.5703125" bestFit="1" customWidth="1"/>
    <col min="6" max="6" width="18.5703125" bestFit="1" customWidth="1"/>
    <col min="7" max="7" width="24.7109375" bestFit="1" customWidth="1"/>
    <col min="8" max="8" width="16.85546875" bestFit="1" customWidth="1"/>
    <col min="9" max="9" width="28.28515625" bestFit="1" customWidth="1"/>
    <col min="10" max="10" width="7.855468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ROUNDUP(13176689.9488057,0)</f>
        <v>13176690</v>
      </c>
      <c r="E1" s="25" t="s">
        <v>51</v>
      </c>
      <c r="F1" s="37">
        <f>ROUNDUP(13083690,0)</f>
        <v>13083690</v>
      </c>
      <c r="G1" s="28" t="s">
        <v>52</v>
      </c>
      <c r="H1" s="26">
        <v>41917</v>
      </c>
      <c r="I1" s="28" t="s">
        <v>53</v>
      </c>
      <c r="J1" s="52">
        <v>1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41856</v>
      </c>
      <c r="B4" s="71">
        <f>_xlfn.DAYS(A4,B1)</f>
        <v>3</v>
      </c>
      <c r="C4" s="10" t="s">
        <v>28</v>
      </c>
      <c r="D4" s="48">
        <v>0</v>
      </c>
      <c r="E4" s="47">
        <f>ROUNDUP(F4*$B$2*B4/365,0)</f>
        <v>1232877</v>
      </c>
      <c r="F4" s="47">
        <v>999999999</v>
      </c>
      <c r="G4" s="47">
        <f>F4-D4</f>
        <v>999999999</v>
      </c>
      <c r="H4" s="14">
        <f>F4*$B$2*B4/365</f>
        <v>1232876.7110958903</v>
      </c>
      <c r="I4" s="16">
        <f>H4-E4</f>
        <v>-0.2889041097369045</v>
      </c>
    </row>
    <row r="5" spans="1:10" x14ac:dyDescent="0.25">
      <c r="A5" s="36">
        <v>41887</v>
      </c>
      <c r="B5" s="71">
        <f>_xlfn.DAYS(A5,A4)</f>
        <v>31</v>
      </c>
      <c r="C5" s="33">
        <f>$D$1</f>
        <v>13176690</v>
      </c>
      <c r="D5" s="48">
        <f>C5-E5</f>
        <v>436963.99000000022</v>
      </c>
      <c r="E5" s="47">
        <f>ROUND(F5*$B$2*B5/365,2)</f>
        <v>12739726.01</v>
      </c>
      <c r="F5" s="47">
        <v>999999999</v>
      </c>
      <c r="G5" s="47">
        <f>F5-D5</f>
        <v>999563035.00999999</v>
      </c>
      <c r="H5" s="14">
        <f t="shared" ref="H5:H68" si="0">F5*$B$2*B5/365</f>
        <v>12739726.014657533</v>
      </c>
      <c r="I5" s="16">
        <f t="shared" ref="I5:I68" si="1">H5-E5</f>
        <v>4.6575330197811127E-3</v>
      </c>
    </row>
    <row r="6" spans="1:10" x14ac:dyDescent="0.25">
      <c r="A6" s="36">
        <v>41917</v>
      </c>
      <c r="B6" s="71">
        <f>_xlfn.DAYS(A6,A5)</f>
        <v>30</v>
      </c>
      <c r="C6" s="33">
        <f>$D$1</f>
        <v>13176690</v>
      </c>
      <c r="D6" s="48">
        <f>C6-E6</f>
        <v>853310.11999999918</v>
      </c>
      <c r="E6" s="47">
        <f>ROUND(F6*$B$2*B6/365,2)</f>
        <v>12323379.880000001</v>
      </c>
      <c r="F6" s="33">
        <f>G5</f>
        <v>999563035.00999999</v>
      </c>
      <c r="G6" s="47">
        <f>F6-D6</f>
        <v>998709724.88999999</v>
      </c>
      <c r="H6" s="14">
        <f t="shared" si="0"/>
        <v>12323379.883684929</v>
      </c>
      <c r="I6" s="16">
        <f t="shared" si="1"/>
        <v>3.6849286407232285E-3</v>
      </c>
    </row>
    <row r="7" spans="1:10" x14ac:dyDescent="0.25">
      <c r="A7" s="36">
        <v>41948</v>
      </c>
      <c r="B7" s="71">
        <f t="shared" ref="B7:B70" si="2">_xlfn.DAYS(A7,A6)</f>
        <v>31</v>
      </c>
      <c r="C7" s="33">
        <f t="shared" ref="C7:C70" si="3">$D$1</f>
        <v>13176690</v>
      </c>
      <c r="D7" s="48">
        <f t="shared" ref="D7:D70" si="4">C7-E7</f>
        <v>453401.72000000067</v>
      </c>
      <c r="E7" s="47">
        <f t="shared" ref="E7:E70" si="5">ROUND(F7*$B$2*B7/365,2)</f>
        <v>12723288.279999999</v>
      </c>
      <c r="F7" s="33">
        <f t="shared" ref="F7:F70" si="6">G6</f>
        <v>998709724.88999999</v>
      </c>
      <c r="G7" s="47">
        <f t="shared" ref="G7:G70" si="7">F7-D7</f>
        <v>998256323.16999996</v>
      </c>
      <c r="H7" s="14">
        <f t="shared" si="0"/>
        <v>12723288.275995892</v>
      </c>
      <c r="I7" s="16">
        <f t="shared" si="1"/>
        <v>-4.0041077882051468E-3</v>
      </c>
    </row>
    <row r="8" spans="1:10" x14ac:dyDescent="0.25">
      <c r="A8" s="36">
        <v>41978</v>
      </c>
      <c r="B8" s="71">
        <f t="shared" si="2"/>
        <v>30</v>
      </c>
      <c r="C8" s="33">
        <f t="shared" si="3"/>
        <v>13176690</v>
      </c>
      <c r="D8" s="48">
        <f t="shared" si="4"/>
        <v>869420.25999999978</v>
      </c>
      <c r="E8" s="47">
        <f t="shared" si="5"/>
        <v>12307269.74</v>
      </c>
      <c r="F8" s="33">
        <f t="shared" si="6"/>
        <v>998256323.16999996</v>
      </c>
      <c r="G8" s="47">
        <f t="shared" si="7"/>
        <v>997386902.90999997</v>
      </c>
      <c r="H8" s="14">
        <f t="shared" si="0"/>
        <v>12307269.737712327</v>
      </c>
      <c r="I8" s="16">
        <f t="shared" si="1"/>
        <v>-2.287672832608223E-3</v>
      </c>
    </row>
    <row r="9" spans="1:10" x14ac:dyDescent="0.25">
      <c r="A9" s="36">
        <v>42009</v>
      </c>
      <c r="B9" s="71">
        <f t="shared" si="2"/>
        <v>31</v>
      </c>
      <c r="C9" s="33">
        <f t="shared" si="3"/>
        <v>13176690</v>
      </c>
      <c r="D9" s="48">
        <f t="shared" si="4"/>
        <v>470254.1099999994</v>
      </c>
      <c r="E9" s="47">
        <f t="shared" si="5"/>
        <v>12706435.890000001</v>
      </c>
      <c r="F9" s="33">
        <f t="shared" si="6"/>
        <v>997386902.90999997</v>
      </c>
      <c r="G9" s="47">
        <f t="shared" si="7"/>
        <v>996916648.79999995</v>
      </c>
      <c r="H9" s="14">
        <f t="shared" si="0"/>
        <v>12706435.88638767</v>
      </c>
      <c r="I9" s="16">
        <f t="shared" si="1"/>
        <v>-3.6123301833868027E-3</v>
      </c>
    </row>
    <row r="10" spans="1:10" x14ac:dyDescent="0.25">
      <c r="A10" s="36">
        <v>42040</v>
      </c>
      <c r="B10" s="71">
        <f t="shared" si="2"/>
        <v>31</v>
      </c>
      <c r="C10" s="33">
        <f t="shared" si="3"/>
        <v>13176690</v>
      </c>
      <c r="D10" s="48">
        <f t="shared" si="4"/>
        <v>476245.01999999955</v>
      </c>
      <c r="E10" s="47">
        <f t="shared" si="5"/>
        <v>12700444.98</v>
      </c>
      <c r="F10" s="33">
        <f t="shared" si="6"/>
        <v>996916648.79999995</v>
      </c>
      <c r="G10" s="47">
        <f t="shared" si="7"/>
        <v>996440403.77999997</v>
      </c>
      <c r="H10" s="14">
        <f t="shared" si="0"/>
        <v>12700444.977863014</v>
      </c>
      <c r="I10" s="16">
        <f t="shared" si="1"/>
        <v>-2.1369867026805878E-3</v>
      </c>
    </row>
    <row r="11" spans="1:10" x14ac:dyDescent="0.25">
      <c r="A11" s="36">
        <v>42068</v>
      </c>
      <c r="B11" s="71">
        <f t="shared" si="2"/>
        <v>28</v>
      </c>
      <c r="C11" s="33">
        <f t="shared" si="3"/>
        <v>13176690</v>
      </c>
      <c r="D11" s="48">
        <f t="shared" si="4"/>
        <v>1710800.42</v>
      </c>
      <c r="E11" s="47">
        <f t="shared" si="5"/>
        <v>11465889.58</v>
      </c>
      <c r="F11" s="33">
        <f t="shared" si="6"/>
        <v>996440403.77999997</v>
      </c>
      <c r="G11" s="47">
        <f t="shared" si="7"/>
        <v>994729603.36000001</v>
      </c>
      <c r="H11" s="14">
        <f t="shared" si="0"/>
        <v>11465889.577742465</v>
      </c>
      <c r="I11" s="16">
        <f t="shared" si="1"/>
        <v>-2.2575352340936661E-3</v>
      </c>
    </row>
    <row r="12" spans="1:10" x14ac:dyDescent="0.25">
      <c r="A12" s="36">
        <v>42099</v>
      </c>
      <c r="B12" s="71">
        <f t="shared" si="2"/>
        <v>31</v>
      </c>
      <c r="C12" s="33">
        <f t="shared" si="3"/>
        <v>13176690</v>
      </c>
      <c r="D12" s="48">
        <f t="shared" si="4"/>
        <v>504107.38000000082</v>
      </c>
      <c r="E12" s="47">
        <f t="shared" si="5"/>
        <v>12672582.619999999</v>
      </c>
      <c r="F12" s="33">
        <f t="shared" si="6"/>
        <v>994729603.36000001</v>
      </c>
      <c r="G12" s="47">
        <f t="shared" si="7"/>
        <v>994225495.98000002</v>
      </c>
      <c r="H12" s="14">
        <f t="shared" si="0"/>
        <v>12672582.618147947</v>
      </c>
      <c r="I12" s="16">
        <f t="shared" si="1"/>
        <v>-1.8520522862672806E-3</v>
      </c>
    </row>
    <row r="13" spans="1:10" x14ac:dyDescent="0.25">
      <c r="A13" s="36">
        <v>42129</v>
      </c>
      <c r="B13" s="71">
        <f t="shared" si="2"/>
        <v>30</v>
      </c>
      <c r="C13" s="33">
        <f t="shared" si="3"/>
        <v>13176690</v>
      </c>
      <c r="D13" s="48">
        <f t="shared" si="4"/>
        <v>919115.3900000006</v>
      </c>
      <c r="E13" s="47">
        <f t="shared" si="5"/>
        <v>12257574.609999999</v>
      </c>
      <c r="F13" s="33">
        <f t="shared" si="6"/>
        <v>994225495.98000002</v>
      </c>
      <c r="G13" s="47">
        <f t="shared" si="7"/>
        <v>993306380.59000003</v>
      </c>
      <c r="H13" s="14">
        <f t="shared" si="0"/>
        <v>12257574.607972601</v>
      </c>
      <c r="I13" s="16">
        <f t="shared" si="1"/>
        <v>-2.0273979753255844E-3</v>
      </c>
    </row>
    <row r="14" spans="1:10" x14ac:dyDescent="0.25">
      <c r="A14" s="36">
        <v>42160</v>
      </c>
      <c r="B14" s="71">
        <f t="shared" si="2"/>
        <v>31</v>
      </c>
      <c r="C14" s="33">
        <f t="shared" si="3"/>
        <v>13176690</v>
      </c>
      <c r="D14" s="48">
        <f t="shared" si="4"/>
        <v>522238.84999999963</v>
      </c>
      <c r="E14" s="47">
        <f t="shared" si="5"/>
        <v>12654451.15</v>
      </c>
      <c r="F14" s="33">
        <f t="shared" si="6"/>
        <v>993306380.59000003</v>
      </c>
      <c r="G14" s="47">
        <f t="shared" si="7"/>
        <v>992784141.74000001</v>
      </c>
      <c r="H14" s="14">
        <f t="shared" si="0"/>
        <v>12654451.149982192</v>
      </c>
      <c r="I14" s="16">
        <f t="shared" si="1"/>
        <v>-1.780875027179718E-5</v>
      </c>
    </row>
    <row r="15" spans="1:10" x14ac:dyDescent="0.25">
      <c r="A15" s="36">
        <v>42190</v>
      </c>
      <c r="B15" s="71">
        <f t="shared" si="2"/>
        <v>30</v>
      </c>
      <c r="C15" s="33">
        <f t="shared" si="3"/>
        <v>13176690</v>
      </c>
      <c r="D15" s="48">
        <f t="shared" si="4"/>
        <v>936885.50999999978</v>
      </c>
      <c r="E15" s="47">
        <f t="shared" si="5"/>
        <v>12239804.49</v>
      </c>
      <c r="F15" s="33">
        <f t="shared" si="6"/>
        <v>992784141.74000001</v>
      </c>
      <c r="G15" s="47">
        <f t="shared" si="7"/>
        <v>991847256.23000002</v>
      </c>
      <c r="H15" s="14">
        <f t="shared" si="0"/>
        <v>12239804.487205479</v>
      </c>
      <c r="I15" s="16">
        <f t="shared" si="1"/>
        <v>-2.7945209294557571E-3</v>
      </c>
    </row>
    <row r="16" spans="1:10" x14ac:dyDescent="0.25">
      <c r="A16" s="36">
        <v>42221</v>
      </c>
      <c r="B16" s="71">
        <f t="shared" si="2"/>
        <v>31</v>
      </c>
      <c r="C16" s="33">
        <f t="shared" si="3"/>
        <v>13176690</v>
      </c>
      <c r="D16" s="48">
        <f t="shared" si="4"/>
        <v>540827.68999999948</v>
      </c>
      <c r="E16" s="47">
        <f t="shared" si="5"/>
        <v>12635862.310000001</v>
      </c>
      <c r="F16" s="33">
        <f t="shared" si="6"/>
        <v>991847256.23000002</v>
      </c>
      <c r="G16" s="47">
        <f t="shared" si="7"/>
        <v>991306428.53999996</v>
      </c>
      <c r="H16" s="14">
        <f t="shared" si="0"/>
        <v>12635862.305395892</v>
      </c>
      <c r="I16" s="16">
        <f t="shared" si="1"/>
        <v>-4.6041086316108704E-3</v>
      </c>
    </row>
    <row r="17" spans="1:9" x14ac:dyDescent="0.25">
      <c r="A17" s="36">
        <v>42252</v>
      </c>
      <c r="B17" s="71">
        <f t="shared" si="2"/>
        <v>31</v>
      </c>
      <c r="C17" s="33">
        <f t="shared" si="3"/>
        <v>13176690</v>
      </c>
      <c r="D17" s="48">
        <f t="shared" si="4"/>
        <v>547717.68999999948</v>
      </c>
      <c r="E17" s="47">
        <f t="shared" si="5"/>
        <v>12628972.310000001</v>
      </c>
      <c r="F17" s="33">
        <f t="shared" si="6"/>
        <v>991306428.53999996</v>
      </c>
      <c r="G17" s="47">
        <f t="shared" si="7"/>
        <v>990758710.8499999</v>
      </c>
      <c r="H17" s="14">
        <f t="shared" si="0"/>
        <v>12628972.308797259</v>
      </c>
      <c r="I17" s="16">
        <f t="shared" si="1"/>
        <v>-1.2027416378259659E-3</v>
      </c>
    </row>
    <row r="18" spans="1:9" x14ac:dyDescent="0.25">
      <c r="A18" s="36">
        <v>42282</v>
      </c>
      <c r="B18" s="71">
        <f t="shared" si="2"/>
        <v>30</v>
      </c>
      <c r="C18" s="33">
        <f t="shared" si="3"/>
        <v>13176690</v>
      </c>
      <c r="D18" s="48">
        <f t="shared" si="4"/>
        <v>961856.58000000007</v>
      </c>
      <c r="E18" s="47">
        <f t="shared" si="5"/>
        <v>12214833.42</v>
      </c>
      <c r="F18" s="33">
        <f t="shared" si="6"/>
        <v>990758710.8499999</v>
      </c>
      <c r="G18" s="47">
        <f t="shared" si="7"/>
        <v>989796854.26999986</v>
      </c>
      <c r="H18" s="14">
        <f t="shared" si="0"/>
        <v>12214833.421438353</v>
      </c>
      <c r="I18" s="16">
        <f t="shared" si="1"/>
        <v>1.4383532106876373E-3</v>
      </c>
    </row>
    <row r="19" spans="1:9" x14ac:dyDescent="0.25">
      <c r="A19" s="36">
        <v>42313</v>
      </c>
      <c r="B19" s="71">
        <f t="shared" si="2"/>
        <v>31</v>
      </c>
      <c r="C19" s="33">
        <f t="shared" si="3"/>
        <v>13176690</v>
      </c>
      <c r="D19" s="48">
        <f t="shared" si="4"/>
        <v>566949.25</v>
      </c>
      <c r="E19" s="47">
        <f t="shared" si="5"/>
        <v>12609740.75</v>
      </c>
      <c r="F19" s="33">
        <f t="shared" si="6"/>
        <v>989796854.26999986</v>
      </c>
      <c r="G19" s="47">
        <f t="shared" si="7"/>
        <v>989229905.01999986</v>
      </c>
      <c r="H19" s="14">
        <f t="shared" si="0"/>
        <v>12609740.74617945</v>
      </c>
      <c r="I19" s="16">
        <f t="shared" si="1"/>
        <v>-3.8205496966838837E-3</v>
      </c>
    </row>
    <row r="20" spans="1:9" x14ac:dyDescent="0.25">
      <c r="A20" s="36">
        <v>42343</v>
      </c>
      <c r="B20" s="71">
        <f t="shared" si="2"/>
        <v>30</v>
      </c>
      <c r="C20" s="33">
        <f t="shared" si="3"/>
        <v>13176690</v>
      </c>
      <c r="D20" s="48">
        <f t="shared" si="4"/>
        <v>980704.86999999918</v>
      </c>
      <c r="E20" s="47">
        <f t="shared" si="5"/>
        <v>12195985.130000001</v>
      </c>
      <c r="F20" s="33">
        <f t="shared" si="6"/>
        <v>989229905.01999986</v>
      </c>
      <c r="G20" s="47">
        <f t="shared" si="7"/>
        <v>988249200.14999986</v>
      </c>
      <c r="H20" s="14">
        <f t="shared" si="0"/>
        <v>12195985.130383559</v>
      </c>
      <c r="I20" s="16">
        <f t="shared" si="1"/>
        <v>3.835577517747879E-4</v>
      </c>
    </row>
    <row r="21" spans="1:9" x14ac:dyDescent="0.25">
      <c r="A21" s="36">
        <v>42374</v>
      </c>
      <c r="B21" s="71">
        <f t="shared" si="2"/>
        <v>31</v>
      </c>
      <c r="C21" s="33">
        <f t="shared" si="3"/>
        <v>13176690</v>
      </c>
      <c r="D21" s="48">
        <f t="shared" si="4"/>
        <v>586665.93999999948</v>
      </c>
      <c r="E21" s="47">
        <f t="shared" si="5"/>
        <v>12590024.060000001</v>
      </c>
      <c r="F21" s="33">
        <f t="shared" si="6"/>
        <v>988249200.14999986</v>
      </c>
      <c r="G21" s="47">
        <f t="shared" si="7"/>
        <v>987662534.2099998</v>
      </c>
      <c r="H21" s="14">
        <f t="shared" si="0"/>
        <v>12590024.056705477</v>
      </c>
      <c r="I21" s="16">
        <f t="shared" si="1"/>
        <v>-3.2945238053798676E-3</v>
      </c>
    </row>
    <row r="22" spans="1:9" x14ac:dyDescent="0.25">
      <c r="A22" s="36">
        <v>42405</v>
      </c>
      <c r="B22" s="71">
        <f t="shared" si="2"/>
        <v>31</v>
      </c>
      <c r="C22" s="33">
        <f t="shared" si="3"/>
        <v>13176690</v>
      </c>
      <c r="D22" s="48">
        <f t="shared" si="4"/>
        <v>594139.91000000015</v>
      </c>
      <c r="E22" s="47">
        <f t="shared" si="5"/>
        <v>12582550.09</v>
      </c>
      <c r="F22" s="33">
        <f t="shared" si="6"/>
        <v>987662534.2099998</v>
      </c>
      <c r="G22" s="47">
        <f t="shared" si="7"/>
        <v>987068394.29999983</v>
      </c>
      <c r="H22" s="14">
        <f t="shared" si="0"/>
        <v>12582550.093360271</v>
      </c>
      <c r="I22" s="16">
        <f t="shared" si="1"/>
        <v>3.3602714538574219E-3</v>
      </c>
    </row>
    <row r="23" spans="1:9" x14ac:dyDescent="0.25">
      <c r="A23" s="36">
        <v>42434</v>
      </c>
      <c r="B23" s="71">
        <f t="shared" si="2"/>
        <v>29</v>
      </c>
      <c r="C23" s="33">
        <f t="shared" si="3"/>
        <v>13176690</v>
      </c>
      <c r="D23" s="48">
        <f t="shared" si="4"/>
        <v>1412998.1799999997</v>
      </c>
      <c r="E23" s="47">
        <f t="shared" si="5"/>
        <v>11763691.82</v>
      </c>
      <c r="F23" s="33">
        <f t="shared" si="6"/>
        <v>987068394.29999983</v>
      </c>
      <c r="G23" s="47">
        <f t="shared" si="7"/>
        <v>985655396.11999989</v>
      </c>
      <c r="H23" s="14">
        <f t="shared" si="0"/>
        <v>11763691.822479451</v>
      </c>
      <c r="I23" s="16">
        <f t="shared" si="1"/>
        <v>2.4794507771730423E-3</v>
      </c>
    </row>
    <row r="24" spans="1:9" x14ac:dyDescent="0.25">
      <c r="A24" s="36">
        <v>42465</v>
      </c>
      <c r="B24" s="71">
        <f t="shared" si="2"/>
        <v>31</v>
      </c>
      <c r="C24" s="33">
        <f t="shared" si="3"/>
        <v>13176690</v>
      </c>
      <c r="D24" s="48">
        <f t="shared" si="4"/>
        <v>619710.30000000075</v>
      </c>
      <c r="E24" s="47">
        <f t="shared" si="5"/>
        <v>12556979.699999999</v>
      </c>
      <c r="F24" s="33">
        <f t="shared" si="6"/>
        <v>985655396.11999989</v>
      </c>
      <c r="G24" s="47">
        <f t="shared" si="7"/>
        <v>985035685.81999993</v>
      </c>
      <c r="H24" s="14">
        <f t="shared" si="0"/>
        <v>12556979.703994518</v>
      </c>
      <c r="I24" s="16">
        <f t="shared" si="1"/>
        <v>3.9945188909769058E-3</v>
      </c>
    </row>
    <row r="25" spans="1:9" x14ac:dyDescent="0.25">
      <c r="A25" s="36">
        <v>42495</v>
      </c>
      <c r="B25" s="71">
        <f t="shared" si="2"/>
        <v>30</v>
      </c>
      <c r="C25" s="33">
        <f t="shared" si="3"/>
        <v>13176690</v>
      </c>
      <c r="D25" s="48">
        <f t="shared" si="4"/>
        <v>1032414.4199999999</v>
      </c>
      <c r="E25" s="47">
        <f t="shared" si="5"/>
        <v>12144275.58</v>
      </c>
      <c r="F25" s="33">
        <f t="shared" si="6"/>
        <v>985035685.81999993</v>
      </c>
      <c r="G25" s="47">
        <f t="shared" si="7"/>
        <v>984003271.39999998</v>
      </c>
      <c r="H25" s="14">
        <f t="shared" si="0"/>
        <v>12144275.578602739</v>
      </c>
      <c r="I25" s="16">
        <f t="shared" si="1"/>
        <v>-1.3972613960504532E-3</v>
      </c>
    </row>
    <row r="26" spans="1:9" x14ac:dyDescent="0.25">
      <c r="A26" s="36">
        <v>42526</v>
      </c>
      <c r="B26" s="71">
        <f t="shared" si="2"/>
        <v>31</v>
      </c>
      <c r="C26" s="33">
        <f t="shared" si="3"/>
        <v>13176690</v>
      </c>
      <c r="D26" s="48">
        <f t="shared" si="4"/>
        <v>640757.91000000015</v>
      </c>
      <c r="E26" s="47">
        <f t="shared" si="5"/>
        <v>12535932.09</v>
      </c>
      <c r="F26" s="33">
        <f t="shared" si="6"/>
        <v>984003271.39999998</v>
      </c>
      <c r="G26" s="47">
        <f t="shared" si="7"/>
        <v>983362513.49000001</v>
      </c>
      <c r="H26" s="14">
        <f t="shared" si="0"/>
        <v>12535932.087698627</v>
      </c>
      <c r="I26" s="16">
        <f t="shared" si="1"/>
        <v>-2.3013725876808167E-3</v>
      </c>
    </row>
    <row r="27" spans="1:9" x14ac:dyDescent="0.25">
      <c r="A27" s="36">
        <v>42556</v>
      </c>
      <c r="B27" s="71">
        <f t="shared" si="2"/>
        <v>30</v>
      </c>
      <c r="C27" s="33">
        <f t="shared" si="3"/>
        <v>13176690</v>
      </c>
      <c r="D27" s="48">
        <f t="shared" si="4"/>
        <v>1053042.5700000003</v>
      </c>
      <c r="E27" s="47">
        <f t="shared" si="5"/>
        <v>12123647.43</v>
      </c>
      <c r="F27" s="33">
        <f t="shared" si="6"/>
        <v>983362513.49000001</v>
      </c>
      <c r="G27" s="47">
        <f t="shared" si="7"/>
        <v>982309470.91999996</v>
      </c>
      <c r="H27" s="14">
        <f t="shared" si="0"/>
        <v>12123647.42658904</v>
      </c>
      <c r="I27" s="16">
        <f t="shared" si="1"/>
        <v>-3.4109596163034439E-3</v>
      </c>
    </row>
    <row r="28" spans="1:9" x14ac:dyDescent="0.25">
      <c r="A28" s="36">
        <v>42587</v>
      </c>
      <c r="B28" s="71">
        <f t="shared" si="2"/>
        <v>31</v>
      </c>
      <c r="C28" s="33">
        <f t="shared" si="3"/>
        <v>13176690</v>
      </c>
      <c r="D28" s="48">
        <f t="shared" si="4"/>
        <v>662336.47000000067</v>
      </c>
      <c r="E28" s="47">
        <f t="shared" si="5"/>
        <v>12514353.529999999</v>
      </c>
      <c r="F28" s="33">
        <f t="shared" si="6"/>
        <v>982309470.91999996</v>
      </c>
      <c r="G28" s="47">
        <f t="shared" si="7"/>
        <v>981647134.44999993</v>
      </c>
      <c r="H28" s="14">
        <f t="shared" si="0"/>
        <v>12514353.533638356</v>
      </c>
      <c r="I28" s="16">
        <f t="shared" si="1"/>
        <v>3.6383569240570068E-3</v>
      </c>
    </row>
    <row r="29" spans="1:9" x14ac:dyDescent="0.25">
      <c r="A29" s="36">
        <v>42618</v>
      </c>
      <c r="B29" s="71">
        <f t="shared" si="2"/>
        <v>31</v>
      </c>
      <c r="C29" s="33">
        <f t="shared" si="3"/>
        <v>13176690</v>
      </c>
      <c r="D29" s="48">
        <f t="shared" si="4"/>
        <v>670774.44999999925</v>
      </c>
      <c r="E29" s="47">
        <f t="shared" si="5"/>
        <v>12505915.550000001</v>
      </c>
      <c r="F29" s="33">
        <f t="shared" si="6"/>
        <v>981647134.44999993</v>
      </c>
      <c r="G29" s="47">
        <f t="shared" si="7"/>
        <v>980976359.99999988</v>
      </c>
      <c r="H29" s="14">
        <f t="shared" si="0"/>
        <v>12505915.548472604</v>
      </c>
      <c r="I29" s="16">
        <f t="shared" si="1"/>
        <v>-1.5273969620466232E-3</v>
      </c>
    </row>
    <row r="30" spans="1:9" x14ac:dyDescent="0.25">
      <c r="A30" s="36">
        <v>42648</v>
      </c>
      <c r="B30" s="71">
        <f t="shared" si="2"/>
        <v>30</v>
      </c>
      <c r="C30" s="33">
        <f t="shared" si="3"/>
        <v>13176690</v>
      </c>
      <c r="D30" s="48">
        <f t="shared" si="4"/>
        <v>1082460.9000000004</v>
      </c>
      <c r="E30" s="47">
        <f t="shared" si="5"/>
        <v>12094229.1</v>
      </c>
      <c r="F30" s="33">
        <f t="shared" si="6"/>
        <v>980976359.99999988</v>
      </c>
      <c r="G30" s="47">
        <f t="shared" si="7"/>
        <v>979893899.0999999</v>
      </c>
      <c r="H30" s="14">
        <f t="shared" si="0"/>
        <v>12094229.095890408</v>
      </c>
      <c r="I30" s="16">
        <f t="shared" si="1"/>
        <v>-4.1095912456512451E-3</v>
      </c>
    </row>
    <row r="31" spans="1:9" x14ac:dyDescent="0.25">
      <c r="A31" s="36">
        <v>42679</v>
      </c>
      <c r="B31" s="71">
        <f t="shared" si="2"/>
        <v>31</v>
      </c>
      <c r="C31" s="33">
        <f t="shared" si="3"/>
        <v>13176690</v>
      </c>
      <c r="D31" s="48">
        <f t="shared" si="4"/>
        <v>693110.18999999948</v>
      </c>
      <c r="E31" s="47">
        <f t="shared" si="5"/>
        <v>12483579.810000001</v>
      </c>
      <c r="F31" s="33">
        <f t="shared" si="6"/>
        <v>979893899.0999999</v>
      </c>
      <c r="G31" s="47">
        <f t="shared" si="7"/>
        <v>979200788.90999985</v>
      </c>
      <c r="H31" s="14">
        <f t="shared" si="0"/>
        <v>12483579.810452053</v>
      </c>
      <c r="I31" s="16">
        <f t="shared" si="1"/>
        <v>4.5205280184745789E-4</v>
      </c>
    </row>
    <row r="32" spans="1:9" x14ac:dyDescent="0.25">
      <c r="A32" s="36">
        <v>42709</v>
      </c>
      <c r="B32" s="71">
        <f t="shared" si="2"/>
        <v>30</v>
      </c>
      <c r="C32" s="33">
        <f t="shared" si="3"/>
        <v>13176690</v>
      </c>
      <c r="D32" s="48">
        <f t="shared" si="4"/>
        <v>1104351.5099999998</v>
      </c>
      <c r="E32" s="47">
        <f t="shared" si="5"/>
        <v>12072338.49</v>
      </c>
      <c r="F32" s="33">
        <f t="shared" si="6"/>
        <v>979200788.90999985</v>
      </c>
      <c r="G32" s="47">
        <f t="shared" si="7"/>
        <v>978096437.39999986</v>
      </c>
      <c r="H32" s="14">
        <f t="shared" si="0"/>
        <v>12072338.493410954</v>
      </c>
      <c r="I32" s="16">
        <f t="shared" si="1"/>
        <v>3.4109540283679962E-3</v>
      </c>
    </row>
    <row r="33" spans="1:9" x14ac:dyDescent="0.25">
      <c r="A33" s="36">
        <v>42740</v>
      </c>
      <c r="B33" s="71">
        <f t="shared" si="2"/>
        <v>31</v>
      </c>
      <c r="C33" s="33">
        <f t="shared" si="3"/>
        <v>13176690</v>
      </c>
      <c r="D33" s="48">
        <f t="shared" si="4"/>
        <v>716009.3599999994</v>
      </c>
      <c r="E33" s="47">
        <f t="shared" si="5"/>
        <v>12460680.640000001</v>
      </c>
      <c r="F33" s="33">
        <f t="shared" si="6"/>
        <v>978096437.39999986</v>
      </c>
      <c r="G33" s="47">
        <f t="shared" si="7"/>
        <v>977380428.03999984</v>
      </c>
      <c r="H33" s="14">
        <f t="shared" si="0"/>
        <v>12460680.640849315</v>
      </c>
      <c r="I33" s="16">
        <f t="shared" si="1"/>
        <v>8.4931403398513794E-4</v>
      </c>
    </row>
    <row r="34" spans="1:9" x14ac:dyDescent="0.25">
      <c r="A34" s="36">
        <v>42771</v>
      </c>
      <c r="B34" s="71">
        <f t="shared" si="2"/>
        <v>31</v>
      </c>
      <c r="C34" s="33">
        <f t="shared" si="3"/>
        <v>13176690</v>
      </c>
      <c r="D34" s="48">
        <f t="shared" si="4"/>
        <v>725131.11999999918</v>
      </c>
      <c r="E34" s="47">
        <f t="shared" si="5"/>
        <v>12451558.880000001</v>
      </c>
      <c r="F34" s="33">
        <f t="shared" si="6"/>
        <v>977380428.03999984</v>
      </c>
      <c r="G34" s="47">
        <f t="shared" si="7"/>
        <v>976655296.91999984</v>
      </c>
      <c r="H34" s="14">
        <f t="shared" si="0"/>
        <v>12451558.87776986</v>
      </c>
      <c r="I34" s="16">
        <f t="shared" si="1"/>
        <v>-2.2301413118839264E-3</v>
      </c>
    </row>
    <row r="35" spans="1:9" x14ac:dyDescent="0.25">
      <c r="A35" s="36">
        <v>42799</v>
      </c>
      <c r="B35" s="71">
        <f t="shared" si="2"/>
        <v>28</v>
      </c>
      <c r="C35" s="33">
        <f t="shared" si="3"/>
        <v>13176690</v>
      </c>
      <c r="D35" s="48">
        <f t="shared" si="4"/>
        <v>1938464.67</v>
      </c>
      <c r="E35" s="47">
        <f t="shared" si="5"/>
        <v>11238225.33</v>
      </c>
      <c r="F35" s="33">
        <f t="shared" si="6"/>
        <v>976655296.91999984</v>
      </c>
      <c r="G35" s="47">
        <f t="shared" si="7"/>
        <v>974716832.24999988</v>
      </c>
      <c r="H35" s="14">
        <f t="shared" si="0"/>
        <v>11238225.334421914</v>
      </c>
      <c r="I35" s="16">
        <f t="shared" si="1"/>
        <v>4.4219139963388443E-3</v>
      </c>
    </row>
    <row r="36" spans="1:9" x14ac:dyDescent="0.25">
      <c r="A36" s="36">
        <v>42830</v>
      </c>
      <c r="B36" s="71">
        <f t="shared" si="2"/>
        <v>31</v>
      </c>
      <c r="C36" s="33">
        <f t="shared" si="3"/>
        <v>13176690</v>
      </c>
      <c r="D36" s="48">
        <f t="shared" si="4"/>
        <v>759064.59999999963</v>
      </c>
      <c r="E36" s="47">
        <f t="shared" si="5"/>
        <v>12417625.4</v>
      </c>
      <c r="F36" s="33">
        <f t="shared" si="6"/>
        <v>974716832.24999988</v>
      </c>
      <c r="G36" s="47">
        <f t="shared" si="7"/>
        <v>973957767.64999986</v>
      </c>
      <c r="H36" s="14">
        <f t="shared" si="0"/>
        <v>12417625.397157533</v>
      </c>
      <c r="I36" s="16">
        <f t="shared" si="1"/>
        <v>-2.8424672782421112E-3</v>
      </c>
    </row>
    <row r="37" spans="1:9" x14ac:dyDescent="0.25">
      <c r="A37" s="36">
        <v>42860</v>
      </c>
      <c r="B37" s="71">
        <f t="shared" si="2"/>
        <v>30</v>
      </c>
      <c r="C37" s="33">
        <f t="shared" si="3"/>
        <v>13176690</v>
      </c>
      <c r="D37" s="48">
        <f t="shared" si="4"/>
        <v>1168991.4900000002</v>
      </c>
      <c r="E37" s="47">
        <f t="shared" si="5"/>
        <v>12007698.51</v>
      </c>
      <c r="F37" s="33">
        <f t="shared" si="6"/>
        <v>973957767.64999986</v>
      </c>
      <c r="G37" s="47">
        <f t="shared" si="7"/>
        <v>972788776.15999985</v>
      </c>
      <c r="H37" s="14">
        <f t="shared" si="0"/>
        <v>12007698.50527397</v>
      </c>
      <c r="I37" s="16">
        <f t="shared" si="1"/>
        <v>-4.7260299324989319E-3</v>
      </c>
    </row>
    <row r="38" spans="1:9" x14ac:dyDescent="0.25">
      <c r="A38" s="36">
        <v>42891</v>
      </c>
      <c r="B38" s="71">
        <f t="shared" si="2"/>
        <v>31</v>
      </c>
      <c r="C38" s="33">
        <f t="shared" si="3"/>
        <v>13176690</v>
      </c>
      <c r="D38" s="48">
        <f t="shared" si="4"/>
        <v>783627.50999999978</v>
      </c>
      <c r="E38" s="47">
        <f t="shared" si="5"/>
        <v>12393062.49</v>
      </c>
      <c r="F38" s="33">
        <f t="shared" si="6"/>
        <v>972788776.15999985</v>
      </c>
      <c r="G38" s="47">
        <f t="shared" si="7"/>
        <v>972005148.64999986</v>
      </c>
      <c r="H38" s="14">
        <f t="shared" si="0"/>
        <v>12393062.490805477</v>
      </c>
      <c r="I38" s="16">
        <f t="shared" si="1"/>
        <v>8.0547668039798737E-4</v>
      </c>
    </row>
    <row r="39" spans="1:9" x14ac:dyDescent="0.25">
      <c r="A39" s="36">
        <v>42921</v>
      </c>
      <c r="B39" s="71">
        <f t="shared" si="2"/>
        <v>30</v>
      </c>
      <c r="C39" s="33">
        <f t="shared" si="3"/>
        <v>13176690</v>
      </c>
      <c r="D39" s="48">
        <f t="shared" si="4"/>
        <v>1193064.8800000008</v>
      </c>
      <c r="E39" s="47">
        <f t="shared" si="5"/>
        <v>11983625.119999999</v>
      </c>
      <c r="F39" s="33">
        <f t="shared" si="6"/>
        <v>972005148.64999986</v>
      </c>
      <c r="G39" s="47">
        <f t="shared" si="7"/>
        <v>970812083.76999986</v>
      </c>
      <c r="H39" s="14">
        <f t="shared" si="0"/>
        <v>11983625.120342463</v>
      </c>
      <c r="I39" s="16">
        <f t="shared" si="1"/>
        <v>3.4246407449245453E-4</v>
      </c>
    </row>
    <row r="40" spans="1:9" x14ac:dyDescent="0.25">
      <c r="A40" s="36">
        <v>42952</v>
      </c>
      <c r="B40" s="71">
        <f t="shared" si="2"/>
        <v>31</v>
      </c>
      <c r="C40" s="33">
        <f t="shared" si="3"/>
        <v>13176690</v>
      </c>
      <c r="D40" s="48">
        <f t="shared" si="4"/>
        <v>808810.02999999933</v>
      </c>
      <c r="E40" s="47">
        <f t="shared" si="5"/>
        <v>12367879.970000001</v>
      </c>
      <c r="F40" s="33">
        <f t="shared" si="6"/>
        <v>970812083.76999986</v>
      </c>
      <c r="G40" s="47">
        <f t="shared" si="7"/>
        <v>970003273.73999989</v>
      </c>
      <c r="H40" s="14">
        <f t="shared" si="0"/>
        <v>12367879.971316434</v>
      </c>
      <c r="I40" s="16">
        <f t="shared" si="1"/>
        <v>1.316433772444725E-3</v>
      </c>
    </row>
    <row r="41" spans="1:9" x14ac:dyDescent="0.25">
      <c r="A41" s="36">
        <v>42983</v>
      </c>
      <c r="B41" s="71">
        <f t="shared" si="2"/>
        <v>31</v>
      </c>
      <c r="C41" s="33">
        <f t="shared" si="3"/>
        <v>13176690</v>
      </c>
      <c r="D41" s="48">
        <f t="shared" si="4"/>
        <v>819114.05000000075</v>
      </c>
      <c r="E41" s="47">
        <f t="shared" si="5"/>
        <v>12357575.949999999</v>
      </c>
      <c r="F41" s="33">
        <f t="shared" si="6"/>
        <v>970003273.73999989</v>
      </c>
      <c r="G41" s="47">
        <f t="shared" si="7"/>
        <v>969184159.68999994</v>
      </c>
      <c r="H41" s="14">
        <f t="shared" si="0"/>
        <v>12357575.953126026</v>
      </c>
      <c r="I41" s="16">
        <f t="shared" si="1"/>
        <v>3.1260270625352859E-3</v>
      </c>
    </row>
    <row r="42" spans="1:9" x14ac:dyDescent="0.25">
      <c r="A42" s="36">
        <v>43013</v>
      </c>
      <c r="B42" s="71">
        <f t="shared" si="2"/>
        <v>30</v>
      </c>
      <c r="C42" s="33">
        <f t="shared" si="3"/>
        <v>13176690</v>
      </c>
      <c r="D42" s="48">
        <f t="shared" si="4"/>
        <v>1227844.1999999993</v>
      </c>
      <c r="E42" s="47">
        <f t="shared" si="5"/>
        <v>11948845.800000001</v>
      </c>
      <c r="F42" s="33">
        <f t="shared" si="6"/>
        <v>969184159.68999994</v>
      </c>
      <c r="G42" s="47">
        <f t="shared" si="7"/>
        <v>967956315.48999989</v>
      </c>
      <c r="H42" s="14">
        <f t="shared" si="0"/>
        <v>11948845.804397259</v>
      </c>
      <c r="I42" s="16">
        <f t="shared" si="1"/>
        <v>4.3972581624984741E-3</v>
      </c>
    </row>
    <row r="43" spans="1:9" x14ac:dyDescent="0.25">
      <c r="A43" s="36">
        <v>43044</v>
      </c>
      <c r="B43" s="71">
        <f t="shared" si="2"/>
        <v>31</v>
      </c>
      <c r="C43" s="33">
        <f t="shared" si="3"/>
        <v>13176690</v>
      </c>
      <c r="D43" s="48">
        <f t="shared" si="4"/>
        <v>845191.73000000045</v>
      </c>
      <c r="E43" s="47">
        <f t="shared" si="5"/>
        <v>12331498.27</v>
      </c>
      <c r="F43" s="33">
        <f t="shared" si="6"/>
        <v>967956315.48999989</v>
      </c>
      <c r="G43" s="47">
        <f t="shared" si="7"/>
        <v>967111123.75999987</v>
      </c>
      <c r="H43" s="14">
        <f t="shared" si="0"/>
        <v>12331498.265831506</v>
      </c>
      <c r="I43" s="16">
        <f t="shared" si="1"/>
        <v>-4.1684936732053757E-3</v>
      </c>
    </row>
    <row r="44" spans="1:9" x14ac:dyDescent="0.25">
      <c r="A44" s="36">
        <v>43074</v>
      </c>
      <c r="B44" s="71">
        <f t="shared" si="2"/>
        <v>30</v>
      </c>
      <c r="C44" s="33">
        <f t="shared" si="3"/>
        <v>13176690</v>
      </c>
      <c r="D44" s="48">
        <f t="shared" si="4"/>
        <v>1253402.17</v>
      </c>
      <c r="E44" s="47">
        <f t="shared" si="5"/>
        <v>11923287.83</v>
      </c>
      <c r="F44" s="33">
        <f t="shared" si="6"/>
        <v>967111123.75999987</v>
      </c>
      <c r="G44" s="47">
        <f t="shared" si="7"/>
        <v>965857721.58999991</v>
      </c>
      <c r="H44" s="14">
        <f t="shared" si="0"/>
        <v>11923287.82717808</v>
      </c>
      <c r="I44" s="16">
        <f t="shared" si="1"/>
        <v>-2.8219204396009445E-3</v>
      </c>
    </row>
    <row r="45" spans="1:9" x14ac:dyDescent="0.25">
      <c r="A45" s="36">
        <v>43105</v>
      </c>
      <c r="B45" s="71">
        <f t="shared" si="2"/>
        <v>31</v>
      </c>
      <c r="C45" s="33">
        <f t="shared" si="3"/>
        <v>13176690</v>
      </c>
      <c r="D45" s="48">
        <f t="shared" si="4"/>
        <v>871927.25</v>
      </c>
      <c r="E45" s="47">
        <f t="shared" si="5"/>
        <v>12304762.75</v>
      </c>
      <c r="F45" s="33">
        <f t="shared" si="6"/>
        <v>965857721.58999991</v>
      </c>
      <c r="G45" s="47">
        <f t="shared" si="7"/>
        <v>964985794.33999991</v>
      </c>
      <c r="H45" s="14">
        <f t="shared" si="0"/>
        <v>12304762.754502738</v>
      </c>
      <c r="I45" s="16">
        <f t="shared" si="1"/>
        <v>4.502737894654274E-3</v>
      </c>
    </row>
    <row r="46" spans="1:9" x14ac:dyDescent="0.25">
      <c r="A46" s="36">
        <v>43136</v>
      </c>
      <c r="B46" s="71">
        <f t="shared" si="2"/>
        <v>31</v>
      </c>
      <c r="C46" s="33">
        <f t="shared" si="3"/>
        <v>13176690</v>
      </c>
      <c r="D46" s="48">
        <f t="shared" si="4"/>
        <v>883035.3599999994</v>
      </c>
      <c r="E46" s="47">
        <f t="shared" si="5"/>
        <v>12293654.640000001</v>
      </c>
      <c r="F46" s="33">
        <f t="shared" si="6"/>
        <v>964985794.33999991</v>
      </c>
      <c r="G46" s="47">
        <f t="shared" si="7"/>
        <v>964102758.9799999</v>
      </c>
      <c r="H46" s="14">
        <f t="shared" si="0"/>
        <v>12293654.640221918</v>
      </c>
      <c r="I46" s="16">
        <f t="shared" si="1"/>
        <v>2.2191740572452545E-4</v>
      </c>
    </row>
    <row r="47" spans="1:9" x14ac:dyDescent="0.25">
      <c r="A47" s="36">
        <v>43164</v>
      </c>
      <c r="B47" s="71">
        <f t="shared" si="2"/>
        <v>28</v>
      </c>
      <c r="C47" s="33">
        <f t="shared" si="3"/>
        <v>13176690</v>
      </c>
      <c r="D47" s="48">
        <f t="shared" si="4"/>
        <v>2082904.83</v>
      </c>
      <c r="E47" s="47">
        <f t="shared" si="5"/>
        <v>11093785.17</v>
      </c>
      <c r="F47" s="33">
        <f t="shared" si="6"/>
        <v>964102758.9799999</v>
      </c>
      <c r="G47" s="47">
        <f t="shared" si="7"/>
        <v>962019854.14999986</v>
      </c>
      <c r="H47" s="14">
        <f t="shared" si="0"/>
        <v>11093785.171824655</v>
      </c>
      <c r="I47" s="16">
        <f t="shared" si="1"/>
        <v>1.8246546387672424E-3</v>
      </c>
    </row>
    <row r="48" spans="1:9" x14ac:dyDescent="0.25">
      <c r="A48" s="36">
        <v>43195</v>
      </c>
      <c r="B48" s="71">
        <f t="shared" si="2"/>
        <v>31</v>
      </c>
      <c r="C48" s="33">
        <f t="shared" si="3"/>
        <v>13176690</v>
      </c>
      <c r="D48" s="48">
        <f t="shared" si="4"/>
        <v>920820.63000000082</v>
      </c>
      <c r="E48" s="47">
        <f t="shared" si="5"/>
        <v>12255869.369999999</v>
      </c>
      <c r="F48" s="33">
        <f t="shared" si="6"/>
        <v>962019854.14999986</v>
      </c>
      <c r="G48" s="47">
        <f t="shared" si="7"/>
        <v>961099033.51999986</v>
      </c>
      <c r="H48" s="14">
        <f t="shared" si="0"/>
        <v>12255869.374787668</v>
      </c>
      <c r="I48" s="16">
        <f t="shared" si="1"/>
        <v>4.7876685857772827E-3</v>
      </c>
    </row>
    <row r="49" spans="1:9" x14ac:dyDescent="0.25">
      <c r="A49" s="36">
        <v>43225</v>
      </c>
      <c r="B49" s="71">
        <f t="shared" si="2"/>
        <v>30</v>
      </c>
      <c r="C49" s="33">
        <f t="shared" si="3"/>
        <v>13176690</v>
      </c>
      <c r="D49" s="48">
        <f t="shared" si="4"/>
        <v>1327523.83</v>
      </c>
      <c r="E49" s="47">
        <f t="shared" si="5"/>
        <v>11849166.17</v>
      </c>
      <c r="F49" s="33">
        <f t="shared" si="6"/>
        <v>961099033.51999986</v>
      </c>
      <c r="G49" s="47">
        <f t="shared" si="7"/>
        <v>959771509.68999982</v>
      </c>
      <c r="H49" s="14">
        <f t="shared" si="0"/>
        <v>11849166.166684929</v>
      </c>
      <c r="I49" s="16">
        <f t="shared" si="1"/>
        <v>-3.3150706440210342E-3</v>
      </c>
    </row>
    <row r="50" spans="1:9" x14ac:dyDescent="0.25">
      <c r="A50" s="36">
        <v>43256</v>
      </c>
      <c r="B50" s="71">
        <f t="shared" si="2"/>
        <v>31</v>
      </c>
      <c r="C50" s="33">
        <f t="shared" si="3"/>
        <v>13176690</v>
      </c>
      <c r="D50" s="48">
        <f t="shared" si="4"/>
        <v>949463.91999999993</v>
      </c>
      <c r="E50" s="47">
        <f t="shared" si="5"/>
        <v>12227226.08</v>
      </c>
      <c r="F50" s="33">
        <f t="shared" si="6"/>
        <v>959771509.68999982</v>
      </c>
      <c r="G50" s="47">
        <f t="shared" si="7"/>
        <v>958822045.76999986</v>
      </c>
      <c r="H50" s="14">
        <f t="shared" si="0"/>
        <v>12227226.082352053</v>
      </c>
      <c r="I50" s="16">
        <f t="shared" si="1"/>
        <v>2.3520532995462418E-3</v>
      </c>
    </row>
    <row r="51" spans="1:9" x14ac:dyDescent="0.25">
      <c r="A51" s="36">
        <v>43286</v>
      </c>
      <c r="B51" s="71">
        <f t="shared" si="2"/>
        <v>30</v>
      </c>
      <c r="C51" s="33">
        <f t="shared" si="3"/>
        <v>13176690</v>
      </c>
      <c r="D51" s="48">
        <f t="shared" si="4"/>
        <v>1355596.2899999991</v>
      </c>
      <c r="E51" s="47">
        <f t="shared" si="5"/>
        <v>11821093.710000001</v>
      </c>
      <c r="F51" s="33">
        <f t="shared" si="6"/>
        <v>958822045.76999986</v>
      </c>
      <c r="G51" s="47">
        <f t="shared" si="7"/>
        <v>957466449.4799999</v>
      </c>
      <c r="H51" s="14">
        <f t="shared" si="0"/>
        <v>11821093.7149726</v>
      </c>
      <c r="I51" s="16">
        <f t="shared" si="1"/>
        <v>4.9725994467735291E-3</v>
      </c>
    </row>
    <row r="52" spans="1:9" x14ac:dyDescent="0.25">
      <c r="A52" s="36">
        <v>43317</v>
      </c>
      <c r="B52" s="71">
        <f t="shared" si="2"/>
        <v>31</v>
      </c>
      <c r="C52" s="33">
        <f t="shared" si="3"/>
        <v>13176690</v>
      </c>
      <c r="D52" s="48">
        <f t="shared" si="4"/>
        <v>978829.75</v>
      </c>
      <c r="E52" s="47">
        <f t="shared" si="5"/>
        <v>12197860.25</v>
      </c>
      <c r="F52" s="33">
        <f t="shared" si="6"/>
        <v>957466449.4799999</v>
      </c>
      <c r="G52" s="47">
        <f t="shared" si="7"/>
        <v>956487619.7299999</v>
      </c>
      <c r="H52" s="14">
        <f t="shared" si="0"/>
        <v>12197860.2468</v>
      </c>
      <c r="I52" s="16">
        <f t="shared" si="1"/>
        <v>-3.2000001519918442E-3</v>
      </c>
    </row>
    <row r="53" spans="1:9" x14ac:dyDescent="0.25">
      <c r="A53" s="36">
        <v>43348</v>
      </c>
      <c r="B53" s="71">
        <f t="shared" si="2"/>
        <v>31</v>
      </c>
      <c r="C53" s="33">
        <f t="shared" si="3"/>
        <v>13176690</v>
      </c>
      <c r="D53" s="48">
        <f t="shared" si="4"/>
        <v>991299.77999999933</v>
      </c>
      <c r="E53" s="47">
        <f t="shared" si="5"/>
        <v>12185390.220000001</v>
      </c>
      <c r="F53" s="33">
        <f t="shared" si="6"/>
        <v>956487619.7299999</v>
      </c>
      <c r="G53" s="47">
        <f t="shared" si="7"/>
        <v>955496319.94999993</v>
      </c>
      <c r="H53" s="14">
        <f t="shared" si="0"/>
        <v>12185390.223957531</v>
      </c>
      <c r="I53" s="16">
        <f t="shared" si="1"/>
        <v>3.9575304836034775E-3</v>
      </c>
    </row>
    <row r="54" spans="1:9" x14ac:dyDescent="0.25">
      <c r="A54" s="36">
        <v>43378</v>
      </c>
      <c r="B54" s="71">
        <f t="shared" si="2"/>
        <v>30</v>
      </c>
      <c r="C54" s="33">
        <f t="shared" si="3"/>
        <v>13176690</v>
      </c>
      <c r="D54" s="48">
        <f t="shared" si="4"/>
        <v>1396598.3800000008</v>
      </c>
      <c r="E54" s="47">
        <f t="shared" si="5"/>
        <v>11780091.619999999</v>
      </c>
      <c r="F54" s="33">
        <f t="shared" si="6"/>
        <v>955496319.94999993</v>
      </c>
      <c r="G54" s="47">
        <f t="shared" si="7"/>
        <v>954099721.56999993</v>
      </c>
      <c r="H54" s="14">
        <f t="shared" si="0"/>
        <v>11780091.615821917</v>
      </c>
      <c r="I54" s="16">
        <f t="shared" si="1"/>
        <v>-4.1780825704336166E-3</v>
      </c>
    </row>
    <row r="55" spans="1:9" x14ac:dyDescent="0.25">
      <c r="A55" s="36">
        <v>43409</v>
      </c>
      <c r="B55" s="71">
        <f t="shared" si="2"/>
        <v>31</v>
      </c>
      <c r="C55" s="33">
        <f t="shared" si="3"/>
        <v>13176690</v>
      </c>
      <c r="D55" s="48">
        <f t="shared" si="4"/>
        <v>1021720.9399999995</v>
      </c>
      <c r="E55" s="47">
        <f t="shared" si="5"/>
        <v>12154969.060000001</v>
      </c>
      <c r="F55" s="33">
        <f t="shared" si="6"/>
        <v>954099721.56999993</v>
      </c>
      <c r="G55" s="47">
        <f t="shared" si="7"/>
        <v>953078000.62999988</v>
      </c>
      <c r="H55" s="14">
        <f t="shared" si="0"/>
        <v>12154969.055617806</v>
      </c>
      <c r="I55" s="16">
        <f t="shared" si="1"/>
        <v>-4.3821949511766434E-3</v>
      </c>
    </row>
    <row r="56" spans="1:9" x14ac:dyDescent="0.25">
      <c r="A56" s="36">
        <v>43439</v>
      </c>
      <c r="B56" s="71">
        <f t="shared" si="2"/>
        <v>30</v>
      </c>
      <c r="C56" s="33">
        <f t="shared" si="3"/>
        <v>13176690</v>
      </c>
      <c r="D56" s="48">
        <f t="shared" si="4"/>
        <v>1426413.2799999993</v>
      </c>
      <c r="E56" s="47">
        <f t="shared" si="5"/>
        <v>11750276.720000001</v>
      </c>
      <c r="F56" s="33">
        <f t="shared" si="6"/>
        <v>953078000.62999988</v>
      </c>
      <c r="G56" s="47">
        <f t="shared" si="7"/>
        <v>951651587.3499999</v>
      </c>
      <c r="H56" s="14">
        <f t="shared" si="0"/>
        <v>11750276.720095888</v>
      </c>
      <c r="I56" s="16">
        <f t="shared" si="1"/>
        <v>9.5887109637260437E-5</v>
      </c>
    </row>
    <row r="57" spans="1:9" x14ac:dyDescent="0.25">
      <c r="A57" s="36">
        <v>43470</v>
      </c>
      <c r="B57" s="71">
        <f t="shared" si="2"/>
        <v>31</v>
      </c>
      <c r="C57" s="33">
        <f t="shared" si="3"/>
        <v>13176690</v>
      </c>
      <c r="D57" s="48">
        <f t="shared" si="4"/>
        <v>1052909.5</v>
      </c>
      <c r="E57" s="47">
        <f t="shared" si="5"/>
        <v>12123780.5</v>
      </c>
      <c r="F57" s="33">
        <f t="shared" si="6"/>
        <v>951651587.3499999</v>
      </c>
      <c r="G57" s="47">
        <f t="shared" si="7"/>
        <v>950598677.8499999</v>
      </c>
      <c r="H57" s="14">
        <f t="shared" si="0"/>
        <v>12123780.496376712</v>
      </c>
      <c r="I57" s="16">
        <f t="shared" si="1"/>
        <v>-3.6232881247997284E-3</v>
      </c>
    </row>
    <row r="58" spans="1:9" x14ac:dyDescent="0.25">
      <c r="A58" s="36">
        <v>43501</v>
      </c>
      <c r="B58" s="71">
        <f t="shared" si="2"/>
        <v>31</v>
      </c>
      <c r="C58" s="33">
        <f t="shared" si="3"/>
        <v>13176690</v>
      </c>
      <c r="D58" s="48">
        <f t="shared" si="4"/>
        <v>1066323.2799999993</v>
      </c>
      <c r="E58" s="47">
        <f t="shared" si="5"/>
        <v>12110366.720000001</v>
      </c>
      <c r="F58" s="33">
        <f t="shared" si="6"/>
        <v>950598677.8499999</v>
      </c>
      <c r="G58" s="47">
        <f t="shared" si="7"/>
        <v>949532354.56999993</v>
      </c>
      <c r="H58" s="14">
        <f t="shared" si="0"/>
        <v>12110366.717815068</v>
      </c>
      <c r="I58" s="16">
        <f t="shared" si="1"/>
        <v>-2.1849330514669418E-3</v>
      </c>
    </row>
    <row r="59" spans="1:9" x14ac:dyDescent="0.25">
      <c r="A59" s="36">
        <v>43529</v>
      </c>
      <c r="B59" s="71">
        <f t="shared" si="2"/>
        <v>28</v>
      </c>
      <c r="C59" s="33">
        <f t="shared" si="3"/>
        <v>13176690</v>
      </c>
      <c r="D59" s="48">
        <f t="shared" si="4"/>
        <v>2250564.2799999993</v>
      </c>
      <c r="E59" s="47">
        <f t="shared" si="5"/>
        <v>10926125.720000001</v>
      </c>
      <c r="F59" s="33">
        <f t="shared" si="6"/>
        <v>949532354.56999993</v>
      </c>
      <c r="G59" s="47">
        <f t="shared" si="7"/>
        <v>947281790.28999996</v>
      </c>
      <c r="H59" s="14">
        <f t="shared" si="0"/>
        <v>10926125.723819178</v>
      </c>
      <c r="I59" s="16">
        <f t="shared" si="1"/>
        <v>3.8191769272089005E-3</v>
      </c>
    </row>
    <row r="60" spans="1:9" x14ac:dyDescent="0.25">
      <c r="A60" s="36">
        <v>43560</v>
      </c>
      <c r="B60" s="71">
        <f t="shared" si="2"/>
        <v>31</v>
      </c>
      <c r="C60" s="33">
        <f t="shared" si="3"/>
        <v>13176690</v>
      </c>
      <c r="D60" s="48">
        <f t="shared" si="4"/>
        <v>1108579.5199999996</v>
      </c>
      <c r="E60" s="47">
        <f t="shared" si="5"/>
        <v>12068110.48</v>
      </c>
      <c r="F60" s="33">
        <f t="shared" si="6"/>
        <v>947281790.28999996</v>
      </c>
      <c r="G60" s="47">
        <f t="shared" si="7"/>
        <v>946173210.76999998</v>
      </c>
      <c r="H60" s="14">
        <f t="shared" si="0"/>
        <v>12068110.479036985</v>
      </c>
      <c r="I60" s="16">
        <f t="shared" si="1"/>
        <v>-9.6301548182964325E-4</v>
      </c>
    </row>
    <row r="61" spans="1:9" x14ac:dyDescent="0.25">
      <c r="A61" s="36">
        <v>43590</v>
      </c>
      <c r="B61" s="71">
        <f t="shared" si="2"/>
        <v>30</v>
      </c>
      <c r="C61" s="33">
        <f t="shared" si="3"/>
        <v>13176690</v>
      </c>
      <c r="D61" s="48">
        <f t="shared" si="4"/>
        <v>1511540.83</v>
      </c>
      <c r="E61" s="47">
        <f t="shared" si="5"/>
        <v>11665149.17</v>
      </c>
      <c r="F61" s="33">
        <f t="shared" si="6"/>
        <v>946173210.76999998</v>
      </c>
      <c r="G61" s="47">
        <f t="shared" si="7"/>
        <v>944661669.93999994</v>
      </c>
      <c r="H61" s="14">
        <f t="shared" si="0"/>
        <v>11665149.173876712</v>
      </c>
      <c r="I61" s="16">
        <f t="shared" si="1"/>
        <v>3.8767121732234955E-3</v>
      </c>
    </row>
    <row r="62" spans="1:9" x14ac:dyDescent="0.25">
      <c r="A62" s="36">
        <v>43621</v>
      </c>
      <c r="B62" s="71">
        <f t="shared" si="2"/>
        <v>31</v>
      </c>
      <c r="C62" s="33">
        <f t="shared" si="3"/>
        <v>13176690</v>
      </c>
      <c r="D62" s="48">
        <f t="shared" si="4"/>
        <v>1141959.1400000006</v>
      </c>
      <c r="E62" s="47">
        <f t="shared" si="5"/>
        <v>12034730.859999999</v>
      </c>
      <c r="F62" s="33">
        <f t="shared" si="6"/>
        <v>944661669.93999994</v>
      </c>
      <c r="G62" s="47">
        <f t="shared" si="7"/>
        <v>943519710.79999995</v>
      </c>
      <c r="H62" s="14">
        <f t="shared" si="0"/>
        <v>12034730.863619177</v>
      </c>
      <c r="I62" s="16">
        <f t="shared" si="1"/>
        <v>3.6191772669553757E-3</v>
      </c>
    </row>
    <row r="63" spans="1:9" x14ac:dyDescent="0.25">
      <c r="A63" s="36">
        <v>43651</v>
      </c>
      <c r="B63" s="71">
        <f t="shared" si="2"/>
        <v>30</v>
      </c>
      <c r="C63" s="33">
        <f t="shared" si="3"/>
        <v>13176690</v>
      </c>
      <c r="D63" s="48">
        <f t="shared" si="4"/>
        <v>1544255.2100000009</v>
      </c>
      <c r="E63" s="47">
        <f t="shared" si="5"/>
        <v>11632434.789999999</v>
      </c>
      <c r="F63" s="33">
        <f t="shared" si="6"/>
        <v>943519710.79999995</v>
      </c>
      <c r="G63" s="47">
        <f t="shared" si="7"/>
        <v>941975455.58999991</v>
      </c>
      <c r="H63" s="14">
        <f t="shared" si="0"/>
        <v>11632434.790684929</v>
      </c>
      <c r="I63" s="16">
        <f t="shared" si="1"/>
        <v>6.8493001163005829E-4</v>
      </c>
    </row>
    <row r="64" spans="1:9" x14ac:dyDescent="0.25">
      <c r="A64" s="36">
        <v>43682</v>
      </c>
      <c r="B64" s="71">
        <f t="shared" si="2"/>
        <v>31</v>
      </c>
      <c r="C64" s="33">
        <f t="shared" si="3"/>
        <v>13176690</v>
      </c>
      <c r="D64" s="48">
        <f t="shared" si="4"/>
        <v>1176180.7699999996</v>
      </c>
      <c r="E64" s="47">
        <f t="shared" si="5"/>
        <v>12000509.23</v>
      </c>
      <c r="F64" s="33">
        <f t="shared" si="6"/>
        <v>941975455.58999991</v>
      </c>
      <c r="G64" s="47">
        <f t="shared" si="7"/>
        <v>940799274.81999993</v>
      </c>
      <c r="H64" s="14">
        <f t="shared" si="0"/>
        <v>12000509.228749314</v>
      </c>
      <c r="I64" s="16">
        <f t="shared" si="1"/>
        <v>-1.2506861239671707E-3</v>
      </c>
    </row>
    <row r="65" spans="1:9" x14ac:dyDescent="0.25">
      <c r="A65" s="36">
        <v>43713</v>
      </c>
      <c r="B65" s="71">
        <f t="shared" si="2"/>
        <v>31</v>
      </c>
      <c r="C65" s="33">
        <f t="shared" si="3"/>
        <v>13176690</v>
      </c>
      <c r="D65" s="48">
        <f t="shared" si="4"/>
        <v>1191164.9900000002</v>
      </c>
      <c r="E65" s="47">
        <f t="shared" si="5"/>
        <v>11985525.01</v>
      </c>
      <c r="F65" s="33">
        <f t="shared" si="6"/>
        <v>940799274.81999993</v>
      </c>
      <c r="G65" s="47">
        <f t="shared" si="7"/>
        <v>939608109.82999992</v>
      </c>
      <c r="H65" s="14">
        <f t="shared" si="0"/>
        <v>11985525.007980822</v>
      </c>
      <c r="I65" s="16">
        <f t="shared" si="1"/>
        <v>-2.0191781222820282E-3</v>
      </c>
    </row>
    <row r="66" spans="1:9" x14ac:dyDescent="0.25">
      <c r="A66" s="36">
        <v>43743</v>
      </c>
      <c r="B66" s="71">
        <f t="shared" si="2"/>
        <v>30</v>
      </c>
      <c r="C66" s="33">
        <f t="shared" si="3"/>
        <v>13176690</v>
      </c>
      <c r="D66" s="48">
        <f t="shared" si="4"/>
        <v>1592480.4299999997</v>
      </c>
      <c r="E66" s="47">
        <f t="shared" si="5"/>
        <v>11584209.57</v>
      </c>
      <c r="F66" s="33">
        <f t="shared" si="6"/>
        <v>939608109.82999992</v>
      </c>
      <c r="G66" s="47">
        <f t="shared" si="7"/>
        <v>938015629.39999998</v>
      </c>
      <c r="H66" s="14">
        <f t="shared" si="0"/>
        <v>11584209.573246572</v>
      </c>
      <c r="I66" s="16">
        <f t="shared" si="1"/>
        <v>3.2465718686580658E-3</v>
      </c>
    </row>
    <row r="67" spans="1:9" x14ac:dyDescent="0.25">
      <c r="A67" s="36">
        <v>43774</v>
      </c>
      <c r="B67" s="71">
        <f t="shared" si="2"/>
        <v>31</v>
      </c>
      <c r="C67" s="33">
        <f t="shared" si="3"/>
        <v>13176690</v>
      </c>
      <c r="D67" s="48">
        <f t="shared" si="4"/>
        <v>1226627.8699999992</v>
      </c>
      <c r="E67" s="47">
        <f t="shared" si="5"/>
        <v>11950062.130000001</v>
      </c>
      <c r="F67" s="33">
        <f t="shared" si="6"/>
        <v>938015629.39999998</v>
      </c>
      <c r="G67" s="47">
        <f t="shared" si="7"/>
        <v>936789001.52999997</v>
      </c>
      <c r="H67" s="14">
        <f t="shared" si="0"/>
        <v>11950062.127972603</v>
      </c>
      <c r="I67" s="16">
        <f t="shared" si="1"/>
        <v>-2.0273979753255844E-3</v>
      </c>
    </row>
    <row r="68" spans="1:9" x14ac:dyDescent="0.25">
      <c r="A68" s="36">
        <v>43804</v>
      </c>
      <c r="B68" s="71">
        <f t="shared" si="2"/>
        <v>30</v>
      </c>
      <c r="C68" s="33">
        <f t="shared" si="3"/>
        <v>13176690</v>
      </c>
      <c r="D68" s="48">
        <f t="shared" si="4"/>
        <v>1627236.5600000005</v>
      </c>
      <c r="E68" s="47">
        <f t="shared" si="5"/>
        <v>11549453.439999999</v>
      </c>
      <c r="F68" s="33">
        <f t="shared" si="6"/>
        <v>936789001.52999997</v>
      </c>
      <c r="G68" s="47">
        <f t="shared" si="7"/>
        <v>935161764.97000003</v>
      </c>
      <c r="H68" s="14">
        <f t="shared" si="0"/>
        <v>11549453.443520548</v>
      </c>
      <c r="I68" s="16">
        <f t="shared" si="1"/>
        <v>3.5205483436584473E-3</v>
      </c>
    </row>
    <row r="69" spans="1:9" x14ac:dyDescent="0.25">
      <c r="A69" s="36">
        <v>43835</v>
      </c>
      <c r="B69" s="71">
        <f t="shared" si="2"/>
        <v>31</v>
      </c>
      <c r="C69" s="33">
        <f t="shared" si="3"/>
        <v>13176690</v>
      </c>
      <c r="D69" s="48">
        <f t="shared" si="4"/>
        <v>1262985.3200000003</v>
      </c>
      <c r="E69" s="47">
        <f t="shared" si="5"/>
        <v>11913704.68</v>
      </c>
      <c r="F69" s="33">
        <f t="shared" si="6"/>
        <v>935161764.97000003</v>
      </c>
      <c r="G69" s="47">
        <f t="shared" si="7"/>
        <v>933898779.64999998</v>
      </c>
      <c r="H69" s="14">
        <f t="shared" ref="H69:H132" si="8">F69*$B$2*B69/365</f>
        <v>11913704.67701507</v>
      </c>
      <c r="I69" s="16">
        <f t="shared" ref="I69:I132" si="9">H69-E69</f>
        <v>-2.9849298298358917E-3</v>
      </c>
    </row>
    <row r="70" spans="1:9" x14ac:dyDescent="0.25">
      <c r="A70" s="36">
        <v>43866</v>
      </c>
      <c r="B70" s="71">
        <f t="shared" si="2"/>
        <v>31</v>
      </c>
      <c r="C70" s="33">
        <f t="shared" si="3"/>
        <v>13176690</v>
      </c>
      <c r="D70" s="48">
        <f t="shared" si="4"/>
        <v>1279075.4100000001</v>
      </c>
      <c r="E70" s="47">
        <f t="shared" si="5"/>
        <v>11897614.59</v>
      </c>
      <c r="F70" s="33">
        <f t="shared" si="6"/>
        <v>933898779.64999998</v>
      </c>
      <c r="G70" s="47">
        <f t="shared" si="7"/>
        <v>932619704.24000001</v>
      </c>
      <c r="H70" s="14">
        <f t="shared" si="8"/>
        <v>11897614.590061642</v>
      </c>
      <c r="I70" s="16">
        <f t="shared" si="9"/>
        <v>6.1642378568649292E-5</v>
      </c>
    </row>
    <row r="71" spans="1:9" x14ac:dyDescent="0.25">
      <c r="A71" s="36">
        <v>43895</v>
      </c>
      <c r="B71" s="71">
        <f t="shared" ref="B71:B134" si="10">_xlfn.DAYS(A71,A70)</f>
        <v>29</v>
      </c>
      <c r="C71" s="33">
        <f t="shared" ref="C71:C134" si="11">$D$1</f>
        <v>13176690</v>
      </c>
      <c r="D71" s="48">
        <f t="shared" ref="D71:D134" si="12">C71-E71</f>
        <v>2061907.2200000007</v>
      </c>
      <c r="E71" s="47">
        <f t="shared" ref="E71:E134" si="13">ROUND(F71*$B$2*B71/365,2)</f>
        <v>11114782.779999999</v>
      </c>
      <c r="F71" s="33">
        <f t="shared" ref="F71:F134" si="14">G70</f>
        <v>932619704.24000001</v>
      </c>
      <c r="G71" s="47">
        <f t="shared" ref="G71:G134" si="15">F71-D71</f>
        <v>930557797.01999998</v>
      </c>
      <c r="H71" s="14">
        <f t="shared" si="8"/>
        <v>11114782.776558904</v>
      </c>
      <c r="I71" s="16">
        <f t="shared" si="9"/>
        <v>-3.4410953521728516E-3</v>
      </c>
    </row>
    <row r="72" spans="1:9" x14ac:dyDescent="0.25">
      <c r="A72" s="36">
        <v>43926</v>
      </c>
      <c r="B72" s="71">
        <f t="shared" si="10"/>
        <v>31</v>
      </c>
      <c r="C72" s="33">
        <f t="shared" si="11"/>
        <v>13176690</v>
      </c>
      <c r="D72" s="48">
        <f t="shared" si="12"/>
        <v>1321638.6099999994</v>
      </c>
      <c r="E72" s="47">
        <f t="shared" si="13"/>
        <v>11855051.390000001</v>
      </c>
      <c r="F72" s="33">
        <f t="shared" si="14"/>
        <v>930557797.01999998</v>
      </c>
      <c r="G72" s="47">
        <f t="shared" si="15"/>
        <v>929236158.40999997</v>
      </c>
      <c r="H72" s="14">
        <f t="shared" si="8"/>
        <v>11855051.38669315</v>
      </c>
      <c r="I72" s="16">
        <f t="shared" si="9"/>
        <v>-3.306850790977478E-3</v>
      </c>
    </row>
    <row r="73" spans="1:9" x14ac:dyDescent="0.25">
      <c r="A73" s="36">
        <v>43956</v>
      </c>
      <c r="B73" s="71">
        <f t="shared" si="10"/>
        <v>30</v>
      </c>
      <c r="C73" s="33">
        <f t="shared" si="11"/>
        <v>13176690</v>
      </c>
      <c r="D73" s="48">
        <f t="shared" si="12"/>
        <v>1720353.8000000007</v>
      </c>
      <c r="E73" s="47">
        <f t="shared" si="13"/>
        <v>11456336.199999999</v>
      </c>
      <c r="F73" s="33">
        <f t="shared" si="14"/>
        <v>929236158.40999997</v>
      </c>
      <c r="G73" s="47">
        <f t="shared" si="15"/>
        <v>927515804.61000001</v>
      </c>
      <c r="H73" s="14">
        <f t="shared" si="8"/>
        <v>11456336.199575344</v>
      </c>
      <c r="I73" s="16">
        <f t="shared" si="9"/>
        <v>-4.2465515434741974E-4</v>
      </c>
    </row>
    <row r="74" spans="1:9" x14ac:dyDescent="0.25">
      <c r="A74" s="36">
        <v>43987</v>
      </c>
      <c r="B74" s="71">
        <f t="shared" si="10"/>
        <v>31</v>
      </c>
      <c r="C74" s="33">
        <f t="shared" si="11"/>
        <v>13176690</v>
      </c>
      <c r="D74" s="48">
        <f t="shared" si="12"/>
        <v>1360392.7599999998</v>
      </c>
      <c r="E74" s="47">
        <f t="shared" si="13"/>
        <v>11816297.24</v>
      </c>
      <c r="F74" s="33">
        <f t="shared" si="14"/>
        <v>927515804.61000001</v>
      </c>
      <c r="G74" s="47">
        <f t="shared" si="15"/>
        <v>926155411.85000002</v>
      </c>
      <c r="H74" s="14">
        <f t="shared" si="8"/>
        <v>11816297.236812331</v>
      </c>
      <c r="I74" s="16">
        <f t="shared" si="9"/>
        <v>-3.1876694411039352E-3</v>
      </c>
    </row>
    <row r="75" spans="1:9" x14ac:dyDescent="0.25">
      <c r="A75" s="36">
        <v>44017</v>
      </c>
      <c r="B75" s="71">
        <f t="shared" si="10"/>
        <v>30</v>
      </c>
      <c r="C75" s="33">
        <f t="shared" si="11"/>
        <v>13176690</v>
      </c>
      <c r="D75" s="48">
        <f t="shared" si="12"/>
        <v>1758335.6099999994</v>
      </c>
      <c r="E75" s="47">
        <f t="shared" si="13"/>
        <v>11418354.390000001</v>
      </c>
      <c r="F75" s="33">
        <f t="shared" si="14"/>
        <v>926155411.85000002</v>
      </c>
      <c r="G75" s="47">
        <f t="shared" si="15"/>
        <v>924397076.24000001</v>
      </c>
      <c r="H75" s="14">
        <f t="shared" si="8"/>
        <v>11418354.392671233</v>
      </c>
      <c r="I75" s="16">
        <f t="shared" si="9"/>
        <v>2.6712324470281601E-3</v>
      </c>
    </row>
    <row r="76" spans="1:9" x14ac:dyDescent="0.25">
      <c r="A76" s="36">
        <v>44048</v>
      </c>
      <c r="B76" s="71">
        <f t="shared" si="10"/>
        <v>31</v>
      </c>
      <c r="C76" s="33">
        <f t="shared" si="11"/>
        <v>13176690</v>
      </c>
      <c r="D76" s="48">
        <f t="shared" si="12"/>
        <v>1400124.5099999998</v>
      </c>
      <c r="E76" s="47">
        <f t="shared" si="13"/>
        <v>11776565.49</v>
      </c>
      <c r="F76" s="33">
        <f t="shared" si="14"/>
        <v>924397076.24000001</v>
      </c>
      <c r="G76" s="47">
        <f t="shared" si="15"/>
        <v>922996951.73000002</v>
      </c>
      <c r="H76" s="14">
        <f t="shared" si="8"/>
        <v>11776565.491824657</v>
      </c>
      <c r="I76" s="16">
        <f t="shared" si="9"/>
        <v>1.8246565014123917E-3</v>
      </c>
    </row>
    <row r="77" spans="1:9" x14ac:dyDescent="0.25">
      <c r="A77" s="36">
        <v>44079</v>
      </c>
      <c r="B77" s="71">
        <f t="shared" si="10"/>
        <v>31</v>
      </c>
      <c r="C77" s="33">
        <f t="shared" si="11"/>
        <v>13176690</v>
      </c>
      <c r="D77" s="48">
        <f t="shared" si="12"/>
        <v>1417961.7100000009</v>
      </c>
      <c r="E77" s="47">
        <f t="shared" si="13"/>
        <v>11758728.289999999</v>
      </c>
      <c r="F77" s="33">
        <f t="shared" si="14"/>
        <v>922996951.73000002</v>
      </c>
      <c r="G77" s="47">
        <f t="shared" si="15"/>
        <v>921578990.01999998</v>
      </c>
      <c r="H77" s="14">
        <f t="shared" si="8"/>
        <v>11758728.289163014</v>
      </c>
      <c r="I77" s="16">
        <f t="shared" si="9"/>
        <v>-8.3698518574237823E-4</v>
      </c>
    </row>
    <row r="78" spans="1:9" x14ac:dyDescent="0.25">
      <c r="A78" s="36">
        <v>44109</v>
      </c>
      <c r="B78" s="71">
        <f t="shared" si="10"/>
        <v>30</v>
      </c>
      <c r="C78" s="33">
        <f t="shared" si="11"/>
        <v>13176690</v>
      </c>
      <c r="D78" s="48">
        <f t="shared" si="12"/>
        <v>1814757.25</v>
      </c>
      <c r="E78" s="47">
        <f t="shared" si="13"/>
        <v>11361932.75</v>
      </c>
      <c r="F78" s="33">
        <f t="shared" si="14"/>
        <v>921578990.01999998</v>
      </c>
      <c r="G78" s="47">
        <f t="shared" si="15"/>
        <v>919764232.76999998</v>
      </c>
      <c r="H78" s="14">
        <f t="shared" si="8"/>
        <v>11361932.753671233</v>
      </c>
      <c r="I78" s="16">
        <f t="shared" si="9"/>
        <v>3.6712326109409332E-3</v>
      </c>
    </row>
    <row r="79" spans="1:9" x14ac:dyDescent="0.25">
      <c r="A79" s="36">
        <v>44140</v>
      </c>
      <c r="B79" s="71">
        <f t="shared" si="10"/>
        <v>31</v>
      </c>
      <c r="C79" s="33">
        <f t="shared" si="11"/>
        <v>13176690</v>
      </c>
      <c r="D79" s="48">
        <f t="shared" si="12"/>
        <v>1459145.6600000001</v>
      </c>
      <c r="E79" s="47">
        <f t="shared" si="13"/>
        <v>11717544.34</v>
      </c>
      <c r="F79" s="33">
        <f t="shared" si="14"/>
        <v>919764232.76999998</v>
      </c>
      <c r="G79" s="47">
        <f t="shared" si="15"/>
        <v>918305087.11000001</v>
      </c>
      <c r="H79" s="14">
        <f t="shared" si="8"/>
        <v>11717544.335289039</v>
      </c>
      <c r="I79" s="16">
        <f t="shared" si="9"/>
        <v>-4.7109611332416534E-3</v>
      </c>
    </row>
    <row r="80" spans="1:9" x14ac:dyDescent="0.25">
      <c r="A80" s="36">
        <v>44170</v>
      </c>
      <c r="B80" s="71">
        <f t="shared" si="10"/>
        <v>30</v>
      </c>
      <c r="C80" s="33">
        <f t="shared" si="11"/>
        <v>13176690</v>
      </c>
      <c r="D80" s="48">
        <f t="shared" si="12"/>
        <v>1855120.4299999997</v>
      </c>
      <c r="E80" s="47">
        <f t="shared" si="13"/>
        <v>11321569.57</v>
      </c>
      <c r="F80" s="33">
        <f t="shared" si="14"/>
        <v>918305087.11000001</v>
      </c>
      <c r="G80" s="47">
        <f t="shared" si="15"/>
        <v>916449966.68000007</v>
      </c>
      <c r="H80" s="14">
        <f t="shared" si="8"/>
        <v>11321569.56710959</v>
      </c>
      <c r="I80" s="16">
        <f t="shared" si="9"/>
        <v>-2.8904099017381668E-3</v>
      </c>
    </row>
    <row r="81" spans="1:9" x14ac:dyDescent="0.25">
      <c r="A81" s="36">
        <v>44201</v>
      </c>
      <c r="B81" s="71">
        <f t="shared" si="10"/>
        <v>31</v>
      </c>
      <c r="C81" s="33">
        <f t="shared" si="11"/>
        <v>13176690</v>
      </c>
      <c r="D81" s="48">
        <f t="shared" si="12"/>
        <v>1501368.5099999998</v>
      </c>
      <c r="E81" s="47">
        <f t="shared" si="13"/>
        <v>11675321.49</v>
      </c>
      <c r="F81" s="33">
        <f t="shared" si="14"/>
        <v>916449966.68000007</v>
      </c>
      <c r="G81" s="47">
        <f t="shared" si="15"/>
        <v>914948598.17000008</v>
      </c>
      <c r="H81" s="14">
        <f t="shared" si="8"/>
        <v>11675321.493320549</v>
      </c>
      <c r="I81" s="16">
        <f t="shared" si="9"/>
        <v>3.3205486834049225E-3</v>
      </c>
    </row>
    <row r="82" spans="1:9" x14ac:dyDescent="0.25">
      <c r="A82" s="36">
        <v>44232</v>
      </c>
      <c r="B82" s="71">
        <f t="shared" si="10"/>
        <v>31</v>
      </c>
      <c r="C82" s="33">
        <f t="shared" si="11"/>
        <v>13176690</v>
      </c>
      <c r="D82" s="48">
        <f t="shared" si="12"/>
        <v>1520495.5299999993</v>
      </c>
      <c r="E82" s="47">
        <f t="shared" si="13"/>
        <v>11656194.470000001</v>
      </c>
      <c r="F82" s="33">
        <f t="shared" si="14"/>
        <v>914948598.17000008</v>
      </c>
      <c r="G82" s="47">
        <f t="shared" si="15"/>
        <v>913428102.6400001</v>
      </c>
      <c r="H82" s="14">
        <f t="shared" si="8"/>
        <v>11656194.469836988</v>
      </c>
      <c r="I82" s="16">
        <f t="shared" si="9"/>
        <v>-1.6301311552524567E-4</v>
      </c>
    </row>
    <row r="83" spans="1:9" x14ac:dyDescent="0.25">
      <c r="A83" s="36">
        <v>44260</v>
      </c>
      <c r="B83" s="71">
        <f t="shared" si="10"/>
        <v>28</v>
      </c>
      <c r="C83" s="33">
        <f t="shared" si="11"/>
        <v>13176690</v>
      </c>
      <c r="D83" s="48">
        <f t="shared" si="12"/>
        <v>2666010.4600000009</v>
      </c>
      <c r="E83" s="47">
        <f t="shared" si="13"/>
        <v>10510679.539999999</v>
      </c>
      <c r="F83" s="33">
        <f t="shared" si="14"/>
        <v>913428102.6400001</v>
      </c>
      <c r="G83" s="47">
        <f t="shared" si="15"/>
        <v>910762092.18000007</v>
      </c>
      <c r="H83" s="14">
        <f t="shared" si="8"/>
        <v>10510679.537227396</v>
      </c>
      <c r="I83" s="16">
        <f t="shared" si="9"/>
        <v>-2.7726031839847565E-3</v>
      </c>
    </row>
    <row r="84" spans="1:9" x14ac:dyDescent="0.25">
      <c r="A84" s="36">
        <v>44291</v>
      </c>
      <c r="B84" s="71">
        <f t="shared" si="10"/>
        <v>31</v>
      </c>
      <c r="C84" s="33">
        <f t="shared" si="11"/>
        <v>13176690</v>
      </c>
      <c r="D84" s="48">
        <f t="shared" si="12"/>
        <v>1573830.4700000007</v>
      </c>
      <c r="E84" s="47">
        <f t="shared" si="13"/>
        <v>11602859.529999999</v>
      </c>
      <c r="F84" s="33">
        <f t="shared" si="14"/>
        <v>910762092.18000007</v>
      </c>
      <c r="G84" s="47">
        <f t="shared" si="15"/>
        <v>909188261.71000004</v>
      </c>
      <c r="H84" s="14">
        <f t="shared" si="8"/>
        <v>11602859.530512327</v>
      </c>
      <c r="I84" s="16">
        <f t="shared" si="9"/>
        <v>5.1232799887657166E-4</v>
      </c>
    </row>
    <row r="85" spans="1:9" x14ac:dyDescent="0.25">
      <c r="A85" s="36">
        <v>44321</v>
      </c>
      <c r="B85" s="71">
        <f t="shared" si="10"/>
        <v>30</v>
      </c>
      <c r="C85" s="33">
        <f t="shared" si="11"/>
        <v>13176690</v>
      </c>
      <c r="D85" s="48">
        <f t="shared" si="12"/>
        <v>1967519.6500000004</v>
      </c>
      <c r="E85" s="47">
        <f t="shared" si="13"/>
        <v>11209170.35</v>
      </c>
      <c r="F85" s="33">
        <f t="shared" si="14"/>
        <v>909188261.71000004</v>
      </c>
      <c r="G85" s="47">
        <f t="shared" si="15"/>
        <v>907220742.06000006</v>
      </c>
      <c r="H85" s="14">
        <f t="shared" si="8"/>
        <v>11209170.349849315</v>
      </c>
      <c r="I85" s="16">
        <f t="shared" si="9"/>
        <v>-1.5068426728248596E-4</v>
      </c>
    </row>
    <row r="86" spans="1:9" x14ac:dyDescent="0.25">
      <c r="A86" s="36">
        <v>44352</v>
      </c>
      <c r="B86" s="71">
        <f t="shared" si="10"/>
        <v>31</v>
      </c>
      <c r="C86" s="33">
        <f t="shared" si="11"/>
        <v>13176690</v>
      </c>
      <c r="D86" s="48">
        <f t="shared" si="12"/>
        <v>1618946.3000000007</v>
      </c>
      <c r="E86" s="47">
        <f t="shared" si="13"/>
        <v>11557743.699999999</v>
      </c>
      <c r="F86" s="33">
        <f t="shared" si="14"/>
        <v>907220742.06000006</v>
      </c>
      <c r="G86" s="47">
        <f t="shared" si="15"/>
        <v>905601795.76000011</v>
      </c>
      <c r="H86" s="14">
        <f t="shared" si="8"/>
        <v>11557743.70021644</v>
      </c>
      <c r="I86" s="16">
        <f t="shared" si="9"/>
        <v>2.1644122898578644E-4</v>
      </c>
    </row>
    <row r="87" spans="1:9" x14ac:dyDescent="0.25">
      <c r="A87" s="36">
        <v>44382</v>
      </c>
      <c r="B87" s="71">
        <f t="shared" si="10"/>
        <v>30</v>
      </c>
      <c r="C87" s="33">
        <f t="shared" si="11"/>
        <v>13176690</v>
      </c>
      <c r="D87" s="48">
        <f t="shared" si="12"/>
        <v>2011736.3499999996</v>
      </c>
      <c r="E87" s="47">
        <f t="shared" si="13"/>
        <v>11164953.65</v>
      </c>
      <c r="F87" s="33">
        <f t="shared" si="14"/>
        <v>905601795.76000011</v>
      </c>
      <c r="G87" s="47">
        <f t="shared" si="15"/>
        <v>903590059.41000009</v>
      </c>
      <c r="H87" s="14">
        <f t="shared" si="8"/>
        <v>11164953.646356165</v>
      </c>
      <c r="I87" s="16">
        <f t="shared" si="9"/>
        <v>-3.6438349634408951E-3</v>
      </c>
    </row>
    <row r="88" spans="1:9" x14ac:dyDescent="0.25">
      <c r="A88" s="36">
        <v>44413</v>
      </c>
      <c r="B88" s="71">
        <f t="shared" si="10"/>
        <v>31</v>
      </c>
      <c r="C88" s="33">
        <f t="shared" si="11"/>
        <v>13176690</v>
      </c>
      <c r="D88" s="48">
        <f t="shared" si="12"/>
        <v>1665200.1999999993</v>
      </c>
      <c r="E88" s="47">
        <f t="shared" si="13"/>
        <v>11511489.800000001</v>
      </c>
      <c r="F88" s="33">
        <f t="shared" si="14"/>
        <v>903590059.41000009</v>
      </c>
      <c r="G88" s="47">
        <f t="shared" si="15"/>
        <v>901924859.21000004</v>
      </c>
      <c r="H88" s="14">
        <f t="shared" si="8"/>
        <v>11511489.797963014</v>
      </c>
      <c r="I88" s="16">
        <f t="shared" si="9"/>
        <v>-2.0369868725538254E-3</v>
      </c>
    </row>
    <row r="89" spans="1:9" x14ac:dyDescent="0.25">
      <c r="A89" s="36">
        <v>44444</v>
      </c>
      <c r="B89" s="71">
        <f t="shared" si="10"/>
        <v>31</v>
      </c>
      <c r="C89" s="33">
        <f t="shared" si="11"/>
        <v>13176690</v>
      </c>
      <c r="D89" s="48">
        <f t="shared" si="12"/>
        <v>1686414.4000000004</v>
      </c>
      <c r="E89" s="47">
        <f t="shared" si="13"/>
        <v>11490275.6</v>
      </c>
      <c r="F89" s="33">
        <f t="shared" si="14"/>
        <v>901924859.21000004</v>
      </c>
      <c r="G89" s="47">
        <f t="shared" si="15"/>
        <v>900238444.81000006</v>
      </c>
      <c r="H89" s="14">
        <f t="shared" si="8"/>
        <v>11490275.603634246</v>
      </c>
      <c r="I89" s="16">
        <f t="shared" si="9"/>
        <v>3.6342460662126541E-3</v>
      </c>
    </row>
    <row r="90" spans="1:9" x14ac:dyDescent="0.25">
      <c r="A90" s="36">
        <v>44474</v>
      </c>
      <c r="B90" s="71">
        <f t="shared" si="10"/>
        <v>30</v>
      </c>
      <c r="C90" s="33">
        <f t="shared" si="11"/>
        <v>13176690</v>
      </c>
      <c r="D90" s="48">
        <f t="shared" si="12"/>
        <v>2077859.8599999994</v>
      </c>
      <c r="E90" s="47">
        <f t="shared" si="13"/>
        <v>11098830.140000001</v>
      </c>
      <c r="F90" s="33">
        <f t="shared" si="14"/>
        <v>900238444.81000006</v>
      </c>
      <c r="G90" s="47">
        <f t="shared" si="15"/>
        <v>898160584.95000005</v>
      </c>
      <c r="H90" s="14">
        <f t="shared" si="8"/>
        <v>11098830.141493153</v>
      </c>
      <c r="I90" s="16">
        <f t="shared" si="9"/>
        <v>1.4931522309780121E-3</v>
      </c>
    </row>
    <row r="91" spans="1:9" x14ac:dyDescent="0.25">
      <c r="A91" s="36">
        <v>44505</v>
      </c>
      <c r="B91" s="71">
        <f t="shared" si="10"/>
        <v>31</v>
      </c>
      <c r="C91" s="33">
        <f t="shared" si="11"/>
        <v>13176690</v>
      </c>
      <c r="D91" s="48">
        <f t="shared" si="12"/>
        <v>1734370.2200000007</v>
      </c>
      <c r="E91" s="47">
        <f t="shared" si="13"/>
        <v>11442319.779999999</v>
      </c>
      <c r="F91" s="33">
        <f t="shared" si="14"/>
        <v>898160584.95000005</v>
      </c>
      <c r="G91" s="47">
        <f t="shared" si="15"/>
        <v>896426214.73000002</v>
      </c>
      <c r="H91" s="14">
        <f t="shared" si="8"/>
        <v>11442319.780869864</v>
      </c>
      <c r="I91" s="16">
        <f t="shared" si="9"/>
        <v>8.6986459791660309E-4</v>
      </c>
    </row>
    <row r="92" spans="1:9" x14ac:dyDescent="0.25">
      <c r="A92" s="36">
        <v>44535</v>
      </c>
      <c r="B92" s="71">
        <f t="shared" si="10"/>
        <v>30</v>
      </c>
      <c r="C92" s="33">
        <f t="shared" si="11"/>
        <v>13176690</v>
      </c>
      <c r="D92" s="48">
        <f t="shared" si="12"/>
        <v>2124859.9600000009</v>
      </c>
      <c r="E92" s="47">
        <f t="shared" si="13"/>
        <v>11051830.039999999</v>
      </c>
      <c r="F92" s="33">
        <f t="shared" si="14"/>
        <v>896426214.73000002</v>
      </c>
      <c r="G92" s="47">
        <f t="shared" si="15"/>
        <v>894301354.76999998</v>
      </c>
      <c r="H92" s="14">
        <f t="shared" si="8"/>
        <v>11051830.044616437</v>
      </c>
      <c r="I92" s="16">
        <f t="shared" si="9"/>
        <v>4.6164374798536301E-3</v>
      </c>
    </row>
    <row r="93" spans="1:9" x14ac:dyDescent="0.25">
      <c r="A93" s="36">
        <v>44566</v>
      </c>
      <c r="B93" s="71">
        <f t="shared" si="10"/>
        <v>31</v>
      </c>
      <c r="C93" s="33">
        <f t="shared" si="11"/>
        <v>13176690</v>
      </c>
      <c r="D93" s="48">
        <f t="shared" si="12"/>
        <v>1783535.75</v>
      </c>
      <c r="E93" s="47">
        <f t="shared" si="13"/>
        <v>11393154.25</v>
      </c>
      <c r="F93" s="33">
        <f t="shared" si="14"/>
        <v>894301354.76999998</v>
      </c>
      <c r="G93" s="47">
        <f t="shared" si="15"/>
        <v>892517819.01999998</v>
      </c>
      <c r="H93" s="14">
        <f t="shared" si="8"/>
        <v>11393154.2457</v>
      </c>
      <c r="I93" s="16">
        <f t="shared" si="9"/>
        <v>-4.3000001460313797E-3</v>
      </c>
    </row>
    <row r="94" spans="1:9" x14ac:dyDescent="0.25">
      <c r="A94" s="36">
        <v>44597</v>
      </c>
      <c r="B94" s="71">
        <f t="shared" si="10"/>
        <v>31</v>
      </c>
      <c r="C94" s="33">
        <f t="shared" si="11"/>
        <v>13176690</v>
      </c>
      <c r="D94" s="48">
        <f t="shared" si="12"/>
        <v>1806257.5099999998</v>
      </c>
      <c r="E94" s="47">
        <f t="shared" si="13"/>
        <v>11370432.49</v>
      </c>
      <c r="F94" s="33">
        <f t="shared" si="14"/>
        <v>892517819.01999998</v>
      </c>
      <c r="G94" s="47">
        <f t="shared" si="15"/>
        <v>890711561.50999999</v>
      </c>
      <c r="H94" s="14">
        <f t="shared" si="8"/>
        <v>11370432.48888493</v>
      </c>
      <c r="I94" s="16">
        <f t="shared" si="9"/>
        <v>-1.1150706559419632E-3</v>
      </c>
    </row>
    <row r="95" spans="1:9" x14ac:dyDescent="0.25">
      <c r="A95" s="36">
        <v>44625</v>
      </c>
      <c r="B95" s="71">
        <f t="shared" si="10"/>
        <v>28</v>
      </c>
      <c r="C95" s="33">
        <f t="shared" si="11"/>
        <v>13176690</v>
      </c>
      <c r="D95" s="48">
        <f t="shared" si="12"/>
        <v>2927406.2799999993</v>
      </c>
      <c r="E95" s="47">
        <f t="shared" si="13"/>
        <v>10249283.720000001</v>
      </c>
      <c r="F95" s="33">
        <f t="shared" si="14"/>
        <v>890711561.50999999</v>
      </c>
      <c r="G95" s="47">
        <f t="shared" si="15"/>
        <v>887784155.23000002</v>
      </c>
      <c r="H95" s="14">
        <f t="shared" si="8"/>
        <v>10249283.721484929</v>
      </c>
      <c r="I95" s="16">
        <f t="shared" si="9"/>
        <v>1.4849286526441574E-3</v>
      </c>
    </row>
    <row r="96" spans="1:9" x14ac:dyDescent="0.25">
      <c r="A96" s="36">
        <v>44656</v>
      </c>
      <c r="B96" s="71">
        <f t="shared" si="10"/>
        <v>31</v>
      </c>
      <c r="C96" s="33">
        <f t="shared" si="11"/>
        <v>13176690</v>
      </c>
      <c r="D96" s="48">
        <f t="shared" si="12"/>
        <v>1866563.0899999999</v>
      </c>
      <c r="E96" s="47">
        <f t="shared" si="13"/>
        <v>11310126.91</v>
      </c>
      <c r="F96" s="33">
        <f t="shared" si="14"/>
        <v>887784155.23000002</v>
      </c>
      <c r="G96" s="47">
        <f t="shared" si="15"/>
        <v>885917592.13999999</v>
      </c>
      <c r="H96" s="14">
        <f t="shared" si="8"/>
        <v>11310126.90909452</v>
      </c>
      <c r="I96" s="16">
        <f t="shared" si="9"/>
        <v>-9.0548023581504822E-4</v>
      </c>
    </row>
    <row r="97" spans="1:9" x14ac:dyDescent="0.25">
      <c r="A97" s="36">
        <v>44686</v>
      </c>
      <c r="B97" s="71">
        <f t="shared" si="10"/>
        <v>30</v>
      </c>
      <c r="C97" s="33">
        <f t="shared" si="11"/>
        <v>13176690</v>
      </c>
      <c r="D97" s="48">
        <f t="shared" si="12"/>
        <v>2254418.3200000003</v>
      </c>
      <c r="E97" s="47">
        <f t="shared" si="13"/>
        <v>10922271.68</v>
      </c>
      <c r="F97" s="33">
        <f t="shared" si="14"/>
        <v>885917592.13999999</v>
      </c>
      <c r="G97" s="47">
        <f t="shared" si="15"/>
        <v>883663173.81999993</v>
      </c>
      <c r="H97" s="14">
        <f t="shared" si="8"/>
        <v>10922271.683917807</v>
      </c>
      <c r="I97" s="16">
        <f t="shared" si="9"/>
        <v>3.9178077131509781E-3</v>
      </c>
    </row>
    <row r="98" spans="1:9" x14ac:dyDescent="0.25">
      <c r="A98" s="36">
        <v>44717</v>
      </c>
      <c r="B98" s="71">
        <f t="shared" si="10"/>
        <v>31</v>
      </c>
      <c r="C98" s="33">
        <f t="shared" si="11"/>
        <v>13176690</v>
      </c>
      <c r="D98" s="48">
        <f t="shared" si="12"/>
        <v>1919063.2699999996</v>
      </c>
      <c r="E98" s="47">
        <f t="shared" si="13"/>
        <v>11257626.73</v>
      </c>
      <c r="F98" s="33">
        <f t="shared" si="14"/>
        <v>883663173.81999993</v>
      </c>
      <c r="G98" s="47">
        <f t="shared" si="15"/>
        <v>881744110.54999995</v>
      </c>
      <c r="H98" s="14">
        <f t="shared" si="8"/>
        <v>11257626.734967122</v>
      </c>
      <c r="I98" s="16">
        <f t="shared" si="9"/>
        <v>4.9671214073896408E-3</v>
      </c>
    </row>
    <row r="99" spans="1:9" x14ac:dyDescent="0.25">
      <c r="A99" s="36">
        <v>44747</v>
      </c>
      <c r="B99" s="71">
        <f t="shared" si="10"/>
        <v>30</v>
      </c>
      <c r="C99" s="33">
        <f t="shared" si="11"/>
        <v>13176690</v>
      </c>
      <c r="D99" s="48">
        <f t="shared" si="12"/>
        <v>2305872.1999999993</v>
      </c>
      <c r="E99" s="47">
        <f t="shared" si="13"/>
        <v>10870817.800000001</v>
      </c>
      <c r="F99" s="33">
        <f t="shared" si="14"/>
        <v>881744110.54999995</v>
      </c>
      <c r="G99" s="47">
        <f t="shared" si="15"/>
        <v>879438238.3499999</v>
      </c>
      <c r="H99" s="14">
        <f t="shared" si="8"/>
        <v>10870817.801301368</v>
      </c>
      <c r="I99" s="16">
        <f t="shared" si="9"/>
        <v>1.3013668358325958E-3</v>
      </c>
    </row>
    <row r="100" spans="1:9" x14ac:dyDescent="0.25">
      <c r="A100" s="36">
        <v>44778</v>
      </c>
      <c r="B100" s="71">
        <f t="shared" si="10"/>
        <v>31</v>
      </c>
      <c r="C100" s="33">
        <f t="shared" si="11"/>
        <v>13176690</v>
      </c>
      <c r="D100" s="48">
        <f t="shared" si="12"/>
        <v>1972887.7899999991</v>
      </c>
      <c r="E100" s="47">
        <f t="shared" si="13"/>
        <v>11203802.210000001</v>
      </c>
      <c r="F100" s="33">
        <f t="shared" si="14"/>
        <v>879438238.3499999</v>
      </c>
      <c r="G100" s="47">
        <f t="shared" si="15"/>
        <v>877465350.55999994</v>
      </c>
      <c r="H100" s="14">
        <f t="shared" si="8"/>
        <v>11203802.214595888</v>
      </c>
      <c r="I100" s="16">
        <f t="shared" si="9"/>
        <v>4.5958869159221649E-3</v>
      </c>
    </row>
    <row r="101" spans="1:9" x14ac:dyDescent="0.25">
      <c r="A101" s="36">
        <v>44809</v>
      </c>
      <c r="B101" s="71">
        <f t="shared" si="10"/>
        <v>31</v>
      </c>
      <c r="C101" s="33">
        <f t="shared" si="11"/>
        <v>13176690</v>
      </c>
      <c r="D101" s="48">
        <f t="shared" si="12"/>
        <v>1998021.8399999999</v>
      </c>
      <c r="E101" s="47">
        <f t="shared" si="13"/>
        <v>11178668.16</v>
      </c>
      <c r="F101" s="33">
        <f t="shared" si="14"/>
        <v>877465350.55999994</v>
      </c>
      <c r="G101" s="47">
        <f t="shared" si="15"/>
        <v>875467328.71999991</v>
      </c>
      <c r="H101" s="14">
        <f t="shared" si="8"/>
        <v>11178668.164668493</v>
      </c>
      <c r="I101" s="16">
        <f t="shared" si="9"/>
        <v>4.6684928238391876E-3</v>
      </c>
    </row>
    <row r="102" spans="1:9" x14ac:dyDescent="0.25">
      <c r="A102" s="36">
        <v>44839</v>
      </c>
      <c r="B102" s="71">
        <f t="shared" si="10"/>
        <v>30</v>
      </c>
      <c r="C102" s="33">
        <f t="shared" si="11"/>
        <v>13176690</v>
      </c>
      <c r="D102" s="48">
        <f t="shared" si="12"/>
        <v>2383257.1799999997</v>
      </c>
      <c r="E102" s="47">
        <f t="shared" si="13"/>
        <v>10793432.82</v>
      </c>
      <c r="F102" s="33">
        <f t="shared" si="14"/>
        <v>875467328.71999991</v>
      </c>
      <c r="G102" s="47">
        <f t="shared" si="15"/>
        <v>873084071.53999996</v>
      </c>
      <c r="H102" s="14">
        <f t="shared" si="8"/>
        <v>10793432.819835614</v>
      </c>
      <c r="I102" s="16">
        <f t="shared" si="9"/>
        <v>-1.6438588500022888E-4</v>
      </c>
    </row>
    <row r="103" spans="1:9" x14ac:dyDescent="0.25">
      <c r="A103" s="36">
        <v>44870</v>
      </c>
      <c r="B103" s="71">
        <f t="shared" si="10"/>
        <v>31</v>
      </c>
      <c r="C103" s="33">
        <f t="shared" si="11"/>
        <v>13176690</v>
      </c>
      <c r="D103" s="48">
        <f t="shared" si="12"/>
        <v>2053838.1300000008</v>
      </c>
      <c r="E103" s="47">
        <f t="shared" si="13"/>
        <v>11122851.869999999</v>
      </c>
      <c r="F103" s="33">
        <f t="shared" si="14"/>
        <v>873084071.53999996</v>
      </c>
      <c r="G103" s="47">
        <f t="shared" si="15"/>
        <v>871030233.40999997</v>
      </c>
      <c r="H103" s="14">
        <f t="shared" si="8"/>
        <v>11122851.87030411</v>
      </c>
      <c r="I103" s="16">
        <f t="shared" si="9"/>
        <v>3.0411034822463989E-4</v>
      </c>
    </row>
    <row r="104" spans="1:9" x14ac:dyDescent="0.25">
      <c r="A104" s="36">
        <v>44900</v>
      </c>
      <c r="B104" s="71">
        <f t="shared" si="10"/>
        <v>30</v>
      </c>
      <c r="C104" s="33">
        <f t="shared" si="11"/>
        <v>13176690</v>
      </c>
      <c r="D104" s="48">
        <f t="shared" si="12"/>
        <v>2437961.09</v>
      </c>
      <c r="E104" s="47">
        <f t="shared" si="13"/>
        <v>10738728.91</v>
      </c>
      <c r="F104" s="33">
        <f t="shared" si="14"/>
        <v>871030233.40999997</v>
      </c>
      <c r="G104" s="47">
        <f t="shared" si="15"/>
        <v>868592272.31999993</v>
      </c>
      <c r="H104" s="14">
        <f t="shared" si="8"/>
        <v>10738728.905054795</v>
      </c>
      <c r="I104" s="16">
        <f t="shared" si="9"/>
        <v>-4.9452055245637894E-3</v>
      </c>
    </row>
    <row r="105" spans="1:9" x14ac:dyDescent="0.25">
      <c r="A105" s="36">
        <v>44931</v>
      </c>
      <c r="B105" s="71">
        <f t="shared" si="10"/>
        <v>31</v>
      </c>
      <c r="C105" s="33">
        <f t="shared" si="11"/>
        <v>13176690</v>
      </c>
      <c r="D105" s="48">
        <f t="shared" si="12"/>
        <v>2111062.42</v>
      </c>
      <c r="E105" s="47">
        <f t="shared" si="13"/>
        <v>11065627.58</v>
      </c>
      <c r="F105" s="33">
        <f t="shared" si="14"/>
        <v>868592272.31999993</v>
      </c>
      <c r="G105" s="47">
        <f t="shared" si="15"/>
        <v>866481209.89999998</v>
      </c>
      <c r="H105" s="14">
        <f t="shared" si="8"/>
        <v>11065627.578871232</v>
      </c>
      <c r="I105" s="16">
        <f t="shared" si="9"/>
        <v>-1.1287685483694077E-3</v>
      </c>
    </row>
    <row r="106" spans="1:9" x14ac:dyDescent="0.25">
      <c r="A106" s="36">
        <v>44962</v>
      </c>
      <c r="B106" s="71">
        <f t="shared" si="10"/>
        <v>31</v>
      </c>
      <c r="C106" s="33">
        <f t="shared" si="11"/>
        <v>13176690</v>
      </c>
      <c r="D106" s="48">
        <f t="shared" si="12"/>
        <v>2137956.7799999993</v>
      </c>
      <c r="E106" s="47">
        <f t="shared" si="13"/>
        <v>11038733.220000001</v>
      </c>
      <c r="F106" s="33">
        <f t="shared" si="14"/>
        <v>866481209.89999998</v>
      </c>
      <c r="G106" s="47">
        <f t="shared" si="15"/>
        <v>864343253.12</v>
      </c>
      <c r="H106" s="14">
        <f t="shared" si="8"/>
        <v>11038733.222013697</v>
      </c>
      <c r="I106" s="16">
        <f t="shared" si="9"/>
        <v>2.0136963576078415E-3</v>
      </c>
    </row>
    <row r="107" spans="1:9" x14ac:dyDescent="0.25">
      <c r="A107" s="36">
        <v>44990</v>
      </c>
      <c r="B107" s="71">
        <f t="shared" si="10"/>
        <v>28</v>
      </c>
      <c r="C107" s="33">
        <f t="shared" si="11"/>
        <v>13176690</v>
      </c>
      <c r="D107" s="48">
        <f t="shared" si="12"/>
        <v>3230822.4299999997</v>
      </c>
      <c r="E107" s="47">
        <f t="shared" si="13"/>
        <v>9945867.5700000003</v>
      </c>
      <c r="F107" s="33">
        <f t="shared" si="14"/>
        <v>864343253.12</v>
      </c>
      <c r="G107" s="47">
        <f t="shared" si="15"/>
        <v>861112430.69000006</v>
      </c>
      <c r="H107" s="14">
        <f t="shared" si="8"/>
        <v>9945867.5701479446</v>
      </c>
      <c r="I107" s="16">
        <f t="shared" si="9"/>
        <v>1.4794431626796722E-4</v>
      </c>
    </row>
    <row r="108" spans="1:9" x14ac:dyDescent="0.25">
      <c r="A108" s="36">
        <v>45021</v>
      </c>
      <c r="B108" s="71">
        <f t="shared" si="10"/>
        <v>31</v>
      </c>
      <c r="C108" s="33">
        <f t="shared" si="11"/>
        <v>13176690</v>
      </c>
      <c r="D108" s="48">
        <f t="shared" si="12"/>
        <v>2206353.5500000007</v>
      </c>
      <c r="E108" s="47">
        <f t="shared" si="13"/>
        <v>10970336.449999999</v>
      </c>
      <c r="F108" s="33">
        <f t="shared" si="14"/>
        <v>861112430.69000006</v>
      </c>
      <c r="G108" s="47">
        <f t="shared" si="15"/>
        <v>858906077.1400001</v>
      </c>
      <c r="H108" s="14">
        <f t="shared" si="8"/>
        <v>10970336.445776714</v>
      </c>
      <c r="I108" s="16">
        <f t="shared" si="9"/>
        <v>-4.2232852429151535E-3</v>
      </c>
    </row>
    <row r="109" spans="1:9" x14ac:dyDescent="0.25">
      <c r="A109" s="36">
        <v>45051</v>
      </c>
      <c r="B109" s="71">
        <f t="shared" si="10"/>
        <v>30</v>
      </c>
      <c r="C109" s="33">
        <f t="shared" si="11"/>
        <v>13176690</v>
      </c>
      <c r="D109" s="48">
        <f t="shared" si="12"/>
        <v>2587436.9900000002</v>
      </c>
      <c r="E109" s="47">
        <f t="shared" si="13"/>
        <v>10589253.01</v>
      </c>
      <c r="F109" s="33">
        <f t="shared" si="14"/>
        <v>858906077.1400001</v>
      </c>
      <c r="G109" s="47">
        <f t="shared" si="15"/>
        <v>856318640.1500001</v>
      </c>
      <c r="H109" s="14">
        <f t="shared" si="8"/>
        <v>10589253.005835617</v>
      </c>
      <c r="I109" s="16">
        <f t="shared" si="9"/>
        <v>-4.1643828153610229E-3</v>
      </c>
    </row>
    <row r="110" spans="1:9" x14ac:dyDescent="0.25">
      <c r="A110" s="36">
        <v>45082</v>
      </c>
      <c r="B110" s="71">
        <f t="shared" si="10"/>
        <v>31</v>
      </c>
      <c r="C110" s="33">
        <f t="shared" si="11"/>
        <v>13176690</v>
      </c>
      <c r="D110" s="48">
        <f t="shared" si="12"/>
        <v>2267425.1300000008</v>
      </c>
      <c r="E110" s="47">
        <f t="shared" si="13"/>
        <v>10909264.869999999</v>
      </c>
      <c r="F110" s="33">
        <f t="shared" si="14"/>
        <v>856318640.1500001</v>
      </c>
      <c r="G110" s="47">
        <f t="shared" si="15"/>
        <v>854051215.0200001</v>
      </c>
      <c r="H110" s="14">
        <f t="shared" si="8"/>
        <v>10909264.867664384</v>
      </c>
      <c r="I110" s="16">
        <f t="shared" si="9"/>
        <v>-2.3356154561042786E-3</v>
      </c>
    </row>
    <row r="111" spans="1:9" x14ac:dyDescent="0.25">
      <c r="A111" s="36">
        <v>45112</v>
      </c>
      <c r="B111" s="71">
        <f t="shared" si="10"/>
        <v>30</v>
      </c>
      <c r="C111" s="33">
        <f t="shared" si="11"/>
        <v>13176690</v>
      </c>
      <c r="D111" s="48">
        <f t="shared" si="12"/>
        <v>2647291.4600000009</v>
      </c>
      <c r="E111" s="47">
        <f t="shared" si="13"/>
        <v>10529398.539999999</v>
      </c>
      <c r="F111" s="33">
        <f t="shared" si="14"/>
        <v>854051215.0200001</v>
      </c>
      <c r="G111" s="47">
        <f t="shared" si="15"/>
        <v>851403923.56000006</v>
      </c>
      <c r="H111" s="14">
        <f t="shared" si="8"/>
        <v>10529398.541342467</v>
      </c>
      <c r="I111" s="16">
        <f t="shared" si="9"/>
        <v>1.3424679636955261E-3</v>
      </c>
    </row>
    <row r="112" spans="1:9" x14ac:dyDescent="0.25">
      <c r="A112" s="36">
        <v>45143</v>
      </c>
      <c r="B112" s="71">
        <f t="shared" si="10"/>
        <v>31</v>
      </c>
      <c r="C112" s="33">
        <f t="shared" si="11"/>
        <v>13176690</v>
      </c>
      <c r="D112" s="48">
        <f t="shared" si="12"/>
        <v>2330037.2799999993</v>
      </c>
      <c r="E112" s="47">
        <f t="shared" si="13"/>
        <v>10846652.720000001</v>
      </c>
      <c r="F112" s="33">
        <f t="shared" si="14"/>
        <v>851403923.56000006</v>
      </c>
      <c r="G112" s="47">
        <f t="shared" si="15"/>
        <v>849073886.28000009</v>
      </c>
      <c r="H112" s="14">
        <f t="shared" si="8"/>
        <v>10846652.72480548</v>
      </c>
      <c r="I112" s="16">
        <f t="shared" si="9"/>
        <v>4.8054791986942291E-3</v>
      </c>
    </row>
    <row r="113" spans="1:9" x14ac:dyDescent="0.25">
      <c r="A113" s="36">
        <v>45174</v>
      </c>
      <c r="B113" s="71">
        <f t="shared" si="10"/>
        <v>31</v>
      </c>
      <c r="C113" s="33">
        <f t="shared" si="11"/>
        <v>13176690</v>
      </c>
      <c r="D113" s="48">
        <f t="shared" si="12"/>
        <v>2359721.3100000005</v>
      </c>
      <c r="E113" s="47">
        <f t="shared" si="13"/>
        <v>10816968.689999999</v>
      </c>
      <c r="F113" s="33">
        <f t="shared" si="14"/>
        <v>849073886.28000009</v>
      </c>
      <c r="G113" s="47">
        <f t="shared" si="15"/>
        <v>846714164.97000015</v>
      </c>
      <c r="H113" s="14">
        <f t="shared" si="8"/>
        <v>10816968.688224658</v>
      </c>
      <c r="I113" s="16">
        <f t="shared" si="9"/>
        <v>-1.7753411084413528E-3</v>
      </c>
    </row>
    <row r="114" spans="1:9" x14ac:dyDescent="0.25">
      <c r="A114" s="36">
        <v>45204</v>
      </c>
      <c r="B114" s="71">
        <f t="shared" si="10"/>
        <v>30</v>
      </c>
      <c r="C114" s="33">
        <f t="shared" si="11"/>
        <v>13176690</v>
      </c>
      <c r="D114" s="48">
        <f t="shared" si="12"/>
        <v>2737748.24</v>
      </c>
      <c r="E114" s="47">
        <f t="shared" si="13"/>
        <v>10438941.76</v>
      </c>
      <c r="F114" s="33">
        <f t="shared" si="14"/>
        <v>846714164.97000015</v>
      </c>
      <c r="G114" s="47">
        <f t="shared" si="15"/>
        <v>843976416.73000014</v>
      </c>
      <c r="H114" s="14">
        <f t="shared" si="8"/>
        <v>10438941.759904111</v>
      </c>
      <c r="I114" s="16">
        <f t="shared" si="9"/>
        <v>-9.5888972282409668E-5</v>
      </c>
    </row>
    <row r="115" spans="1:9" x14ac:dyDescent="0.25">
      <c r="A115" s="36">
        <v>45235</v>
      </c>
      <c r="B115" s="71">
        <f t="shared" si="10"/>
        <v>31</v>
      </c>
      <c r="C115" s="33">
        <f t="shared" si="11"/>
        <v>13176690</v>
      </c>
      <c r="D115" s="48">
        <f t="shared" si="12"/>
        <v>2424661.6799999997</v>
      </c>
      <c r="E115" s="47">
        <f t="shared" si="13"/>
        <v>10752028.32</v>
      </c>
      <c r="F115" s="33">
        <f t="shared" si="14"/>
        <v>843976416.73000014</v>
      </c>
      <c r="G115" s="47">
        <f t="shared" si="15"/>
        <v>841551755.05000019</v>
      </c>
      <c r="H115" s="14">
        <f t="shared" si="8"/>
        <v>10752028.322724659</v>
      </c>
      <c r="I115" s="16">
        <f t="shared" si="9"/>
        <v>2.7246586978435516E-3</v>
      </c>
    </row>
    <row r="116" spans="1:9" x14ac:dyDescent="0.25">
      <c r="A116" s="36">
        <v>45265</v>
      </c>
      <c r="B116" s="71">
        <f t="shared" si="10"/>
        <v>30</v>
      </c>
      <c r="C116" s="33">
        <f t="shared" si="11"/>
        <v>13176690</v>
      </c>
      <c r="D116" s="48">
        <f t="shared" si="12"/>
        <v>2801394.3900000006</v>
      </c>
      <c r="E116" s="47">
        <f t="shared" si="13"/>
        <v>10375295.609999999</v>
      </c>
      <c r="F116" s="33">
        <f t="shared" si="14"/>
        <v>841551755.05000019</v>
      </c>
      <c r="G116" s="47">
        <f t="shared" si="15"/>
        <v>838750360.66000021</v>
      </c>
      <c r="H116" s="14">
        <f t="shared" si="8"/>
        <v>10375295.610205483</v>
      </c>
      <c r="I116" s="16">
        <f t="shared" si="9"/>
        <v>2.0548328757286072E-4</v>
      </c>
    </row>
    <row r="117" spans="1:9" x14ac:dyDescent="0.25">
      <c r="A117" s="36">
        <v>45296</v>
      </c>
      <c r="B117" s="71">
        <f t="shared" si="10"/>
        <v>31</v>
      </c>
      <c r="C117" s="33">
        <f t="shared" si="11"/>
        <v>13176690</v>
      </c>
      <c r="D117" s="48">
        <f t="shared" si="12"/>
        <v>2491240.1999999993</v>
      </c>
      <c r="E117" s="47">
        <f t="shared" si="13"/>
        <v>10685449.800000001</v>
      </c>
      <c r="F117" s="33">
        <f t="shared" si="14"/>
        <v>838750360.66000021</v>
      </c>
      <c r="G117" s="47">
        <f t="shared" si="15"/>
        <v>836259120.46000016</v>
      </c>
      <c r="H117" s="14">
        <f t="shared" si="8"/>
        <v>10685449.800189042</v>
      </c>
      <c r="I117" s="16">
        <f t="shared" si="9"/>
        <v>1.8904171884059906E-4</v>
      </c>
    </row>
    <row r="118" spans="1:9" x14ac:dyDescent="0.25">
      <c r="A118" s="36">
        <v>45327</v>
      </c>
      <c r="B118" s="71">
        <f t="shared" si="10"/>
        <v>31</v>
      </c>
      <c r="C118" s="33">
        <f t="shared" si="11"/>
        <v>13176690</v>
      </c>
      <c r="D118" s="48">
        <f t="shared" si="12"/>
        <v>2522977.92</v>
      </c>
      <c r="E118" s="47">
        <f t="shared" si="13"/>
        <v>10653712.08</v>
      </c>
      <c r="F118" s="33">
        <f t="shared" si="14"/>
        <v>836259120.46000016</v>
      </c>
      <c r="G118" s="47">
        <f t="shared" si="15"/>
        <v>833736142.5400002</v>
      </c>
      <c r="H118" s="14">
        <f t="shared" si="8"/>
        <v>10653712.082572604</v>
      </c>
      <c r="I118" s="16">
        <f t="shared" si="9"/>
        <v>2.5726035237312317E-3</v>
      </c>
    </row>
    <row r="119" spans="1:9" x14ac:dyDescent="0.25">
      <c r="A119" s="36">
        <v>45356</v>
      </c>
      <c r="B119" s="71">
        <f t="shared" si="10"/>
        <v>29</v>
      </c>
      <c r="C119" s="33">
        <f t="shared" si="11"/>
        <v>13176690</v>
      </c>
      <c r="D119" s="48">
        <f t="shared" si="12"/>
        <v>3240382.5500000007</v>
      </c>
      <c r="E119" s="47">
        <f t="shared" si="13"/>
        <v>9936307.4499999993</v>
      </c>
      <c r="F119" s="33">
        <f t="shared" si="14"/>
        <v>833736142.5400002</v>
      </c>
      <c r="G119" s="47">
        <f t="shared" si="15"/>
        <v>830495759.99000025</v>
      </c>
      <c r="H119" s="14">
        <f t="shared" si="8"/>
        <v>9936307.4521890432</v>
      </c>
      <c r="I119" s="16">
        <f t="shared" si="9"/>
        <v>2.1890439093112946E-3</v>
      </c>
    </row>
    <row r="120" spans="1:9" x14ac:dyDescent="0.25">
      <c r="A120" s="36">
        <v>45387</v>
      </c>
      <c r="B120" s="71">
        <f t="shared" si="10"/>
        <v>31</v>
      </c>
      <c r="C120" s="33">
        <f t="shared" si="11"/>
        <v>13176690</v>
      </c>
      <c r="D120" s="48">
        <f t="shared" si="12"/>
        <v>2596401.5500000007</v>
      </c>
      <c r="E120" s="47">
        <f t="shared" si="13"/>
        <v>10580288.449999999</v>
      </c>
      <c r="F120" s="33">
        <f t="shared" si="14"/>
        <v>830495759.99000025</v>
      </c>
      <c r="G120" s="47">
        <f t="shared" si="15"/>
        <v>827899358.4400003</v>
      </c>
      <c r="H120" s="14">
        <f t="shared" si="8"/>
        <v>10580288.449187675</v>
      </c>
      <c r="I120" s="16">
        <f t="shared" si="9"/>
        <v>-8.1232376396656036E-4</v>
      </c>
    </row>
    <row r="121" spans="1:9" x14ac:dyDescent="0.25">
      <c r="A121" s="36">
        <v>45417</v>
      </c>
      <c r="B121" s="71">
        <f t="shared" si="10"/>
        <v>30</v>
      </c>
      <c r="C121" s="33">
        <f t="shared" si="11"/>
        <v>13176690</v>
      </c>
      <c r="D121" s="48">
        <f t="shared" si="12"/>
        <v>2969711.6099999994</v>
      </c>
      <c r="E121" s="47">
        <f t="shared" si="13"/>
        <v>10206978.390000001</v>
      </c>
      <c r="F121" s="33">
        <f t="shared" si="14"/>
        <v>827899358.4400003</v>
      </c>
      <c r="G121" s="47">
        <f t="shared" si="15"/>
        <v>824929646.83000028</v>
      </c>
      <c r="H121" s="14">
        <f t="shared" si="8"/>
        <v>10206978.39172603</v>
      </c>
      <c r="I121" s="16">
        <f t="shared" si="9"/>
        <v>1.7260294407606125E-3</v>
      </c>
    </row>
    <row r="122" spans="1:9" x14ac:dyDescent="0.25">
      <c r="A122" s="36">
        <v>45448</v>
      </c>
      <c r="B122" s="71">
        <f t="shared" si="10"/>
        <v>31</v>
      </c>
      <c r="C122" s="33">
        <f t="shared" si="11"/>
        <v>13176690</v>
      </c>
      <c r="D122" s="48">
        <f t="shared" si="12"/>
        <v>2667312.3100000005</v>
      </c>
      <c r="E122" s="47">
        <f t="shared" si="13"/>
        <v>10509377.689999999</v>
      </c>
      <c r="F122" s="33">
        <f t="shared" si="14"/>
        <v>824929646.83000028</v>
      </c>
      <c r="G122" s="47">
        <f t="shared" si="15"/>
        <v>822262334.52000034</v>
      </c>
      <c r="H122" s="14">
        <f t="shared" si="8"/>
        <v>10509377.692491785</v>
      </c>
      <c r="I122" s="16">
        <f t="shared" si="9"/>
        <v>2.4917852133512497E-3</v>
      </c>
    </row>
    <row r="123" spans="1:9" x14ac:dyDescent="0.25">
      <c r="A123" s="36">
        <v>45478</v>
      </c>
      <c r="B123" s="71">
        <f t="shared" si="10"/>
        <v>30</v>
      </c>
      <c r="C123" s="33">
        <f t="shared" si="11"/>
        <v>13176690</v>
      </c>
      <c r="D123" s="48">
        <f t="shared" si="12"/>
        <v>3039209.16</v>
      </c>
      <c r="E123" s="47">
        <f t="shared" si="13"/>
        <v>10137480.84</v>
      </c>
      <c r="F123" s="33">
        <f t="shared" si="14"/>
        <v>822262334.52000034</v>
      </c>
      <c r="G123" s="47">
        <f t="shared" si="15"/>
        <v>819223125.36000037</v>
      </c>
      <c r="H123" s="14">
        <f t="shared" si="8"/>
        <v>10137480.83654795</v>
      </c>
      <c r="I123" s="16">
        <f t="shared" si="9"/>
        <v>-3.4520495682954788E-3</v>
      </c>
    </row>
    <row r="124" spans="1:9" x14ac:dyDescent="0.25">
      <c r="A124" s="36">
        <v>45509</v>
      </c>
      <c r="B124" s="71">
        <f t="shared" si="10"/>
        <v>31</v>
      </c>
      <c r="C124" s="33">
        <f t="shared" si="11"/>
        <v>13176690</v>
      </c>
      <c r="D124" s="48">
        <f t="shared" si="12"/>
        <v>2740011.83</v>
      </c>
      <c r="E124" s="47">
        <f t="shared" si="13"/>
        <v>10436678.17</v>
      </c>
      <c r="F124" s="33">
        <f t="shared" si="14"/>
        <v>819223125.36000037</v>
      </c>
      <c r="G124" s="47">
        <f t="shared" si="15"/>
        <v>816483113.53000033</v>
      </c>
      <c r="H124" s="14">
        <f t="shared" si="8"/>
        <v>10436678.172394525</v>
      </c>
      <c r="I124" s="16">
        <f t="shared" si="9"/>
        <v>2.394525334239006E-3</v>
      </c>
    </row>
    <row r="125" spans="1:9" x14ac:dyDescent="0.25">
      <c r="A125" s="36">
        <v>45540</v>
      </c>
      <c r="B125" s="71">
        <f t="shared" si="10"/>
        <v>31</v>
      </c>
      <c r="C125" s="33">
        <f t="shared" si="11"/>
        <v>13176690</v>
      </c>
      <c r="D125" s="48">
        <f t="shared" si="12"/>
        <v>2774918.83</v>
      </c>
      <c r="E125" s="47">
        <f t="shared" si="13"/>
        <v>10401771.17</v>
      </c>
      <c r="F125" s="33">
        <f t="shared" si="14"/>
        <v>816483113.53000033</v>
      </c>
      <c r="G125" s="47">
        <f t="shared" si="15"/>
        <v>813708194.70000029</v>
      </c>
      <c r="H125" s="14">
        <f t="shared" si="8"/>
        <v>10401771.172368497</v>
      </c>
      <c r="I125" s="16">
        <f t="shared" si="9"/>
        <v>2.3684967309236526E-3</v>
      </c>
    </row>
    <row r="126" spans="1:9" x14ac:dyDescent="0.25">
      <c r="A126" s="36">
        <v>45570</v>
      </c>
      <c r="B126" s="71">
        <f t="shared" si="10"/>
        <v>30</v>
      </c>
      <c r="C126" s="33">
        <f t="shared" si="11"/>
        <v>13176690</v>
      </c>
      <c r="D126" s="48">
        <f t="shared" si="12"/>
        <v>3144671.16</v>
      </c>
      <c r="E126" s="47">
        <f t="shared" si="13"/>
        <v>10032018.84</v>
      </c>
      <c r="F126" s="33">
        <f t="shared" si="14"/>
        <v>813708194.70000029</v>
      </c>
      <c r="G126" s="47">
        <f t="shared" si="15"/>
        <v>810563523.54000032</v>
      </c>
      <c r="H126" s="14">
        <f t="shared" si="8"/>
        <v>10032018.838767128</v>
      </c>
      <c r="I126" s="16">
        <f t="shared" si="9"/>
        <v>-1.2328717857599258E-3</v>
      </c>
    </row>
    <row r="127" spans="1:9" x14ac:dyDescent="0.25">
      <c r="A127" s="36">
        <v>45601</v>
      </c>
      <c r="B127" s="71">
        <f t="shared" si="10"/>
        <v>31</v>
      </c>
      <c r="C127" s="33">
        <f t="shared" si="11"/>
        <v>13176690</v>
      </c>
      <c r="D127" s="48">
        <f t="shared" si="12"/>
        <v>2850332.7799999993</v>
      </c>
      <c r="E127" s="47">
        <f t="shared" si="13"/>
        <v>10326357.220000001</v>
      </c>
      <c r="F127" s="33">
        <f t="shared" si="14"/>
        <v>810563523.54000032</v>
      </c>
      <c r="G127" s="47">
        <f t="shared" si="15"/>
        <v>807713190.76000035</v>
      </c>
      <c r="H127" s="14">
        <f t="shared" si="8"/>
        <v>10326357.217701374</v>
      </c>
      <c r="I127" s="16">
        <f t="shared" si="9"/>
        <v>-2.2986270487308502E-3</v>
      </c>
    </row>
    <row r="128" spans="1:9" x14ac:dyDescent="0.25">
      <c r="A128" s="36">
        <v>45631</v>
      </c>
      <c r="B128" s="71">
        <f t="shared" si="10"/>
        <v>30</v>
      </c>
      <c r="C128" s="33">
        <f t="shared" si="11"/>
        <v>13176690</v>
      </c>
      <c r="D128" s="48">
        <f t="shared" si="12"/>
        <v>3218582.17</v>
      </c>
      <c r="E128" s="47">
        <f t="shared" si="13"/>
        <v>9958107.8300000001</v>
      </c>
      <c r="F128" s="33">
        <f t="shared" si="14"/>
        <v>807713190.76000035</v>
      </c>
      <c r="G128" s="47">
        <f t="shared" si="15"/>
        <v>804494608.59000039</v>
      </c>
      <c r="H128" s="14">
        <f t="shared" si="8"/>
        <v>9958107.8312876746</v>
      </c>
      <c r="I128" s="16">
        <f t="shared" si="9"/>
        <v>1.2876745313405991E-3</v>
      </c>
    </row>
    <row r="129" spans="1:9" x14ac:dyDescent="0.25">
      <c r="A129" s="36">
        <v>45662</v>
      </c>
      <c r="B129" s="71">
        <f t="shared" si="10"/>
        <v>31</v>
      </c>
      <c r="C129" s="33">
        <f t="shared" si="11"/>
        <v>13176690</v>
      </c>
      <c r="D129" s="48">
        <f t="shared" si="12"/>
        <v>2927649.0999999996</v>
      </c>
      <c r="E129" s="47">
        <f t="shared" si="13"/>
        <v>10249040.9</v>
      </c>
      <c r="F129" s="33">
        <f t="shared" si="14"/>
        <v>804494608.59000039</v>
      </c>
      <c r="G129" s="47">
        <f t="shared" si="15"/>
        <v>801566959.49000037</v>
      </c>
      <c r="H129" s="14">
        <f t="shared" si="8"/>
        <v>10249040.9039548</v>
      </c>
      <c r="I129" s="16">
        <f t="shared" si="9"/>
        <v>3.9547998458147049E-3</v>
      </c>
    </row>
    <row r="130" spans="1:9" x14ac:dyDescent="0.25">
      <c r="A130" s="36">
        <v>45693</v>
      </c>
      <c r="B130" s="71">
        <f t="shared" si="10"/>
        <v>31</v>
      </c>
      <c r="C130" s="33">
        <f t="shared" si="11"/>
        <v>13176690</v>
      </c>
      <c r="D130" s="48">
        <f t="shared" si="12"/>
        <v>2964946.5399999991</v>
      </c>
      <c r="E130" s="47">
        <f t="shared" si="13"/>
        <v>10211743.460000001</v>
      </c>
      <c r="F130" s="33">
        <f t="shared" si="14"/>
        <v>801566959.49000037</v>
      </c>
      <c r="G130" s="47">
        <f t="shared" si="15"/>
        <v>798602012.95000041</v>
      </c>
      <c r="H130" s="14">
        <f t="shared" si="8"/>
        <v>10211743.456516443</v>
      </c>
      <c r="I130" s="16">
        <f t="shared" si="9"/>
        <v>-3.4835580736398697E-3</v>
      </c>
    </row>
    <row r="131" spans="1:9" x14ac:dyDescent="0.25">
      <c r="A131" s="36">
        <v>45721</v>
      </c>
      <c r="B131" s="71">
        <f t="shared" si="10"/>
        <v>28</v>
      </c>
      <c r="C131" s="33">
        <f t="shared" si="11"/>
        <v>13176690</v>
      </c>
      <c r="D131" s="48">
        <f t="shared" si="12"/>
        <v>3987296.9700000007</v>
      </c>
      <c r="E131" s="47">
        <f t="shared" si="13"/>
        <v>9189393.0299999993</v>
      </c>
      <c r="F131" s="33">
        <f t="shared" si="14"/>
        <v>798602012.95000041</v>
      </c>
      <c r="G131" s="47">
        <f t="shared" si="15"/>
        <v>794614715.98000038</v>
      </c>
      <c r="H131" s="14">
        <f t="shared" si="8"/>
        <v>9189393.0257260315</v>
      </c>
      <c r="I131" s="16">
        <f t="shared" si="9"/>
        <v>-4.2739678174257278E-3</v>
      </c>
    </row>
    <row r="132" spans="1:9" x14ac:dyDescent="0.25">
      <c r="A132" s="36">
        <v>45752</v>
      </c>
      <c r="B132" s="71">
        <f t="shared" si="10"/>
        <v>31</v>
      </c>
      <c r="C132" s="33">
        <f t="shared" si="11"/>
        <v>13176690</v>
      </c>
      <c r="D132" s="48">
        <f t="shared" si="12"/>
        <v>3053516.2200000007</v>
      </c>
      <c r="E132" s="47">
        <f t="shared" si="13"/>
        <v>10123173.779999999</v>
      </c>
      <c r="F132" s="33">
        <f t="shared" si="14"/>
        <v>794614715.98000038</v>
      </c>
      <c r="G132" s="47">
        <f t="shared" si="15"/>
        <v>791561199.76000035</v>
      </c>
      <c r="H132" s="14">
        <f t="shared" si="8"/>
        <v>10123173.778923294</v>
      </c>
      <c r="I132" s="16">
        <f t="shared" si="9"/>
        <v>-1.0767057538032532E-3</v>
      </c>
    </row>
    <row r="133" spans="1:9" x14ac:dyDescent="0.25">
      <c r="A133" s="36">
        <v>45782</v>
      </c>
      <c r="B133" s="71">
        <f t="shared" si="10"/>
        <v>30</v>
      </c>
      <c r="C133" s="33">
        <f t="shared" si="11"/>
        <v>13176690</v>
      </c>
      <c r="D133" s="48">
        <f t="shared" si="12"/>
        <v>3417716.3000000007</v>
      </c>
      <c r="E133" s="47">
        <f t="shared" si="13"/>
        <v>9758973.6999999993</v>
      </c>
      <c r="F133" s="33">
        <f t="shared" si="14"/>
        <v>791561199.76000035</v>
      </c>
      <c r="G133" s="47">
        <f t="shared" si="15"/>
        <v>788143483.4600004</v>
      </c>
      <c r="H133" s="14">
        <f t="shared" ref="H133:H196" si="16">F133*$B$2*B133/365</f>
        <v>9758973.6956712361</v>
      </c>
      <c r="I133" s="16">
        <f t="shared" ref="I133:I196" si="17">H133-E133</f>
        <v>-4.3287631124258041E-3</v>
      </c>
    </row>
    <row r="134" spans="1:9" x14ac:dyDescent="0.25">
      <c r="A134" s="36">
        <v>45813</v>
      </c>
      <c r="B134" s="71">
        <f t="shared" si="10"/>
        <v>31</v>
      </c>
      <c r="C134" s="33">
        <f t="shared" si="11"/>
        <v>13176690</v>
      </c>
      <c r="D134" s="48">
        <f t="shared" si="12"/>
        <v>3135957.9499999993</v>
      </c>
      <c r="E134" s="47">
        <f t="shared" si="13"/>
        <v>10040732.050000001</v>
      </c>
      <c r="F134" s="33">
        <f t="shared" si="14"/>
        <v>788143483.4600004</v>
      </c>
      <c r="G134" s="47">
        <f t="shared" si="15"/>
        <v>785007525.51000035</v>
      </c>
      <c r="H134" s="14">
        <f t="shared" si="16"/>
        <v>10040732.049558908</v>
      </c>
      <c r="I134" s="16">
        <f t="shared" si="17"/>
        <v>-4.4109299778938293E-4</v>
      </c>
    </row>
    <row r="135" spans="1:9" x14ac:dyDescent="0.25">
      <c r="A135" s="36">
        <v>45843</v>
      </c>
      <c r="B135" s="71">
        <f t="shared" ref="B135:B198" si="18">_xlfn.DAYS(A135,A134)</f>
        <v>30</v>
      </c>
      <c r="C135" s="33">
        <f t="shared" ref="C135:C198" si="19">$D$1</f>
        <v>13176690</v>
      </c>
      <c r="D135" s="48">
        <f t="shared" ref="D135:D198" si="20">C135-E135</f>
        <v>3498515.0299999993</v>
      </c>
      <c r="E135" s="47">
        <f t="shared" ref="E135:E198" si="21">ROUND(F135*$B$2*B135/365,2)</f>
        <v>9678174.9700000007</v>
      </c>
      <c r="F135" s="33">
        <f t="shared" ref="F135:F198" si="22">G134</f>
        <v>785007525.51000035</v>
      </c>
      <c r="G135" s="47">
        <f t="shared" ref="G135:G198" si="23">F135-D135</f>
        <v>781509010.48000038</v>
      </c>
      <c r="H135" s="14">
        <f t="shared" si="16"/>
        <v>9678174.9720411003</v>
      </c>
      <c r="I135" s="16">
        <f t="shared" si="17"/>
        <v>2.0410995930433273E-3</v>
      </c>
    </row>
    <row r="136" spans="1:9" x14ac:dyDescent="0.25">
      <c r="A136" s="36">
        <v>45874</v>
      </c>
      <c r="B136" s="71">
        <f t="shared" si="18"/>
        <v>31</v>
      </c>
      <c r="C136" s="33">
        <f t="shared" si="19"/>
        <v>13176690</v>
      </c>
      <c r="D136" s="48">
        <f t="shared" si="20"/>
        <v>3220479.3200000003</v>
      </c>
      <c r="E136" s="47">
        <f t="shared" si="21"/>
        <v>9956210.6799999997</v>
      </c>
      <c r="F136" s="33">
        <f t="shared" si="22"/>
        <v>781509010.48000038</v>
      </c>
      <c r="G136" s="47">
        <f t="shared" si="23"/>
        <v>778288531.16000032</v>
      </c>
      <c r="H136" s="14">
        <f t="shared" si="16"/>
        <v>9956210.68145754</v>
      </c>
      <c r="I136" s="16">
        <f t="shared" si="17"/>
        <v>1.4575403183698654E-3</v>
      </c>
    </row>
    <row r="137" spans="1:9" x14ac:dyDescent="0.25">
      <c r="A137" s="36">
        <v>45905</v>
      </c>
      <c r="B137" s="71">
        <f t="shared" si="18"/>
        <v>31</v>
      </c>
      <c r="C137" s="33">
        <f t="shared" si="19"/>
        <v>13176690</v>
      </c>
      <c r="D137" s="48">
        <f t="shared" si="20"/>
        <v>3261507.34</v>
      </c>
      <c r="E137" s="47">
        <f t="shared" si="21"/>
        <v>9915182.6600000001</v>
      </c>
      <c r="F137" s="33">
        <f t="shared" si="22"/>
        <v>778288531.16000032</v>
      </c>
      <c r="G137" s="47">
        <f t="shared" si="23"/>
        <v>775027023.82000029</v>
      </c>
      <c r="H137" s="14">
        <f t="shared" si="16"/>
        <v>9915182.6572438385</v>
      </c>
      <c r="I137" s="16">
        <f t="shared" si="17"/>
        <v>-2.7561616152524948E-3</v>
      </c>
    </row>
    <row r="138" spans="1:9" x14ac:dyDescent="0.25">
      <c r="A138" s="36">
        <v>45935</v>
      </c>
      <c r="B138" s="71">
        <f t="shared" si="18"/>
        <v>30</v>
      </c>
      <c r="C138" s="33">
        <f t="shared" si="19"/>
        <v>13176690</v>
      </c>
      <c r="D138" s="48">
        <f t="shared" si="20"/>
        <v>3621562.3100000005</v>
      </c>
      <c r="E138" s="47">
        <f t="shared" si="21"/>
        <v>9555127.6899999995</v>
      </c>
      <c r="F138" s="33">
        <f t="shared" si="22"/>
        <v>775027023.82000029</v>
      </c>
      <c r="G138" s="47">
        <f t="shared" si="23"/>
        <v>771405461.51000035</v>
      </c>
      <c r="H138" s="14">
        <f t="shared" si="16"/>
        <v>9555127.6909315102</v>
      </c>
      <c r="I138" s="16">
        <f t="shared" si="17"/>
        <v>9.3151070177555084E-4</v>
      </c>
    </row>
    <row r="139" spans="1:9" x14ac:dyDescent="0.25">
      <c r="A139" s="36">
        <v>45966</v>
      </c>
      <c r="B139" s="71">
        <f t="shared" si="18"/>
        <v>31</v>
      </c>
      <c r="C139" s="33">
        <f t="shared" si="19"/>
        <v>13176690</v>
      </c>
      <c r="D139" s="48">
        <f t="shared" si="20"/>
        <v>3349195.76</v>
      </c>
      <c r="E139" s="47">
        <f t="shared" si="21"/>
        <v>9827494.2400000002</v>
      </c>
      <c r="F139" s="33">
        <f t="shared" si="22"/>
        <v>771405461.51000035</v>
      </c>
      <c r="G139" s="47">
        <f t="shared" si="23"/>
        <v>768056265.75000036</v>
      </c>
      <c r="H139" s="14">
        <f t="shared" si="16"/>
        <v>9827494.2356753461</v>
      </c>
      <c r="I139" s="16">
        <f t="shared" si="17"/>
        <v>-4.3246541172266006E-3</v>
      </c>
    </row>
    <row r="140" spans="1:9" x14ac:dyDescent="0.25">
      <c r="A140" s="36">
        <v>45996</v>
      </c>
      <c r="B140" s="71">
        <f t="shared" si="18"/>
        <v>30</v>
      </c>
      <c r="C140" s="33">
        <f t="shared" si="19"/>
        <v>13176690</v>
      </c>
      <c r="D140" s="48">
        <f t="shared" si="20"/>
        <v>3707503.16</v>
      </c>
      <c r="E140" s="47">
        <f t="shared" si="21"/>
        <v>9469186.8399999999</v>
      </c>
      <c r="F140" s="33">
        <f t="shared" si="22"/>
        <v>768056265.75000036</v>
      </c>
      <c r="G140" s="47">
        <f t="shared" si="23"/>
        <v>764348762.59000039</v>
      </c>
      <c r="H140" s="14">
        <f t="shared" si="16"/>
        <v>9469186.838013703</v>
      </c>
      <c r="I140" s="16">
        <f t="shared" si="17"/>
        <v>-1.9862968474626541E-3</v>
      </c>
    </row>
    <row r="141" spans="1:9" x14ac:dyDescent="0.25">
      <c r="A141" s="36">
        <v>46027</v>
      </c>
      <c r="B141" s="71">
        <f t="shared" si="18"/>
        <v>31</v>
      </c>
      <c r="C141" s="33">
        <f t="shared" si="19"/>
        <v>13176690</v>
      </c>
      <c r="D141" s="48">
        <f t="shared" si="20"/>
        <v>3439096.1799999997</v>
      </c>
      <c r="E141" s="47">
        <f t="shared" si="21"/>
        <v>9737593.8200000003</v>
      </c>
      <c r="F141" s="33">
        <f t="shared" si="22"/>
        <v>764348762.59000039</v>
      </c>
      <c r="G141" s="47">
        <f t="shared" si="23"/>
        <v>760909666.41000044</v>
      </c>
      <c r="H141" s="14">
        <f t="shared" si="16"/>
        <v>9737593.8247767165</v>
      </c>
      <c r="I141" s="16">
        <f t="shared" si="17"/>
        <v>4.7767162322998047E-3</v>
      </c>
    </row>
    <row r="142" spans="1:9" x14ac:dyDescent="0.25">
      <c r="A142" s="36">
        <v>46058</v>
      </c>
      <c r="B142" s="71">
        <f t="shared" si="18"/>
        <v>31</v>
      </c>
      <c r="C142" s="33">
        <f t="shared" si="19"/>
        <v>13176690</v>
      </c>
      <c r="D142" s="48">
        <f t="shared" si="20"/>
        <v>3482909.3200000003</v>
      </c>
      <c r="E142" s="47">
        <f t="shared" si="21"/>
        <v>9693780.6799999997</v>
      </c>
      <c r="F142" s="33">
        <f t="shared" si="22"/>
        <v>760909666.41000044</v>
      </c>
      <c r="G142" s="47">
        <f t="shared" si="23"/>
        <v>757426757.09000039</v>
      </c>
      <c r="H142" s="14">
        <f t="shared" si="16"/>
        <v>9693780.6816616487</v>
      </c>
      <c r="I142" s="16">
        <f t="shared" si="17"/>
        <v>1.6616489738225937E-3</v>
      </c>
    </row>
    <row r="143" spans="1:9" x14ac:dyDescent="0.25">
      <c r="A143" s="36">
        <v>46086</v>
      </c>
      <c r="B143" s="71">
        <f t="shared" si="18"/>
        <v>28</v>
      </c>
      <c r="C143" s="33">
        <f t="shared" si="19"/>
        <v>13176690</v>
      </c>
      <c r="D143" s="48">
        <f t="shared" si="20"/>
        <v>4461094.4399999995</v>
      </c>
      <c r="E143" s="47">
        <f t="shared" si="21"/>
        <v>8715595.5600000005</v>
      </c>
      <c r="F143" s="33">
        <f t="shared" si="22"/>
        <v>757426757.09000039</v>
      </c>
      <c r="G143" s="47">
        <f t="shared" si="23"/>
        <v>752965662.65000033</v>
      </c>
      <c r="H143" s="14">
        <f t="shared" si="16"/>
        <v>8715595.5610356219</v>
      </c>
      <c r="I143" s="16">
        <f t="shared" si="17"/>
        <v>1.035621389746666E-3</v>
      </c>
    </row>
    <row r="144" spans="1:9" x14ac:dyDescent="0.25">
      <c r="A144" s="36">
        <v>46117</v>
      </c>
      <c r="B144" s="71">
        <f t="shared" si="18"/>
        <v>31</v>
      </c>
      <c r="C144" s="33">
        <f t="shared" si="19"/>
        <v>13176690</v>
      </c>
      <c r="D144" s="48">
        <f t="shared" si="20"/>
        <v>3584113.75</v>
      </c>
      <c r="E144" s="47">
        <f t="shared" si="21"/>
        <v>9592576.25</v>
      </c>
      <c r="F144" s="33">
        <f t="shared" si="22"/>
        <v>752965662.65000033</v>
      </c>
      <c r="G144" s="47">
        <f t="shared" si="23"/>
        <v>749381548.90000033</v>
      </c>
      <c r="H144" s="14">
        <f t="shared" si="16"/>
        <v>9592576.2501986343</v>
      </c>
      <c r="I144" s="16">
        <f t="shared" si="17"/>
        <v>1.9863434135913849E-4</v>
      </c>
    </row>
    <row r="145" spans="1:9" x14ac:dyDescent="0.25">
      <c r="A145" s="36">
        <v>46147</v>
      </c>
      <c r="B145" s="71">
        <f t="shared" si="18"/>
        <v>30</v>
      </c>
      <c r="C145" s="33">
        <f t="shared" si="19"/>
        <v>13176690</v>
      </c>
      <c r="D145" s="48">
        <f t="shared" si="20"/>
        <v>3937739.4000000004</v>
      </c>
      <c r="E145" s="47">
        <f t="shared" si="21"/>
        <v>9238950.5999999996</v>
      </c>
      <c r="F145" s="33">
        <f t="shared" si="22"/>
        <v>749381548.90000033</v>
      </c>
      <c r="G145" s="47">
        <f t="shared" si="23"/>
        <v>745443809.50000036</v>
      </c>
      <c r="H145" s="14">
        <f t="shared" si="16"/>
        <v>9238950.6028767172</v>
      </c>
      <c r="I145" s="16">
        <f t="shared" si="17"/>
        <v>2.87671759724617E-3</v>
      </c>
    </row>
    <row r="146" spans="1:9" x14ac:dyDescent="0.25">
      <c r="A146" s="36">
        <v>46178</v>
      </c>
      <c r="B146" s="71">
        <f t="shared" si="18"/>
        <v>31</v>
      </c>
      <c r="C146" s="33">
        <f t="shared" si="19"/>
        <v>13176690</v>
      </c>
      <c r="D146" s="48">
        <f t="shared" si="20"/>
        <v>3679940.0999999996</v>
      </c>
      <c r="E146" s="47">
        <f t="shared" si="21"/>
        <v>9496749.9000000004</v>
      </c>
      <c r="F146" s="33">
        <f t="shared" si="22"/>
        <v>745443809.50000036</v>
      </c>
      <c r="G146" s="47">
        <f t="shared" si="23"/>
        <v>741763869.40000033</v>
      </c>
      <c r="H146" s="14">
        <f t="shared" si="16"/>
        <v>9496749.9018493202</v>
      </c>
      <c r="I146" s="16">
        <f t="shared" si="17"/>
        <v>1.8493197858333588E-3</v>
      </c>
    </row>
    <row r="147" spans="1:9" x14ac:dyDescent="0.25">
      <c r="A147" s="36">
        <v>46208</v>
      </c>
      <c r="B147" s="71">
        <f t="shared" si="18"/>
        <v>30</v>
      </c>
      <c r="C147" s="33">
        <f t="shared" si="19"/>
        <v>13176690</v>
      </c>
      <c r="D147" s="48">
        <f t="shared" si="20"/>
        <v>4031655.99</v>
      </c>
      <c r="E147" s="47">
        <f t="shared" si="21"/>
        <v>9145034.0099999998</v>
      </c>
      <c r="F147" s="33">
        <f t="shared" si="22"/>
        <v>741763869.40000033</v>
      </c>
      <c r="G147" s="47">
        <f t="shared" si="23"/>
        <v>737732213.41000032</v>
      </c>
      <c r="H147" s="14">
        <f t="shared" si="16"/>
        <v>9145034.0063013732</v>
      </c>
      <c r="I147" s="16">
        <f t="shared" si="17"/>
        <v>-3.6986265331506729E-3</v>
      </c>
    </row>
    <row r="148" spans="1:9" x14ac:dyDescent="0.25">
      <c r="A148" s="36">
        <v>46239</v>
      </c>
      <c r="B148" s="71">
        <f t="shared" si="18"/>
        <v>31</v>
      </c>
      <c r="C148" s="33">
        <f t="shared" si="19"/>
        <v>13176690</v>
      </c>
      <c r="D148" s="48">
        <f t="shared" si="20"/>
        <v>3778183.7200000007</v>
      </c>
      <c r="E148" s="47">
        <f t="shared" si="21"/>
        <v>9398506.2799999993</v>
      </c>
      <c r="F148" s="33">
        <f t="shared" si="22"/>
        <v>737732213.41000032</v>
      </c>
      <c r="G148" s="47">
        <f t="shared" si="23"/>
        <v>733954029.6900003</v>
      </c>
      <c r="H148" s="14">
        <f t="shared" si="16"/>
        <v>9398506.2804287709</v>
      </c>
      <c r="I148" s="16">
        <f t="shared" si="17"/>
        <v>4.2877160012722015E-4</v>
      </c>
    </row>
    <row r="149" spans="1:9" x14ac:dyDescent="0.25">
      <c r="A149" s="36">
        <v>46270</v>
      </c>
      <c r="B149" s="71">
        <f t="shared" si="18"/>
        <v>31</v>
      </c>
      <c r="C149" s="33">
        <f t="shared" si="19"/>
        <v>13176690</v>
      </c>
      <c r="D149" s="48">
        <f t="shared" si="20"/>
        <v>3826316.75</v>
      </c>
      <c r="E149" s="47">
        <f t="shared" si="21"/>
        <v>9350373.25</v>
      </c>
      <c r="F149" s="33">
        <f t="shared" si="22"/>
        <v>733954029.6900003</v>
      </c>
      <c r="G149" s="47">
        <f t="shared" si="23"/>
        <v>730127712.9400003</v>
      </c>
      <c r="H149" s="14">
        <f t="shared" si="16"/>
        <v>9350373.2549547981</v>
      </c>
      <c r="I149" s="16">
        <f t="shared" si="17"/>
        <v>4.9547981470823288E-3</v>
      </c>
    </row>
    <row r="150" spans="1:9" x14ac:dyDescent="0.25">
      <c r="A150" s="36">
        <v>46300</v>
      </c>
      <c r="B150" s="71">
        <f t="shared" si="18"/>
        <v>30</v>
      </c>
      <c r="C150" s="33">
        <f t="shared" si="19"/>
        <v>13176690</v>
      </c>
      <c r="D150" s="48">
        <f t="shared" si="20"/>
        <v>4175115.4600000009</v>
      </c>
      <c r="E150" s="47">
        <f t="shared" si="21"/>
        <v>9001574.5399999991</v>
      </c>
      <c r="F150" s="33">
        <f t="shared" si="22"/>
        <v>730127712.9400003</v>
      </c>
      <c r="G150" s="47">
        <f t="shared" si="23"/>
        <v>725952597.48000026</v>
      </c>
      <c r="H150" s="14">
        <f t="shared" si="16"/>
        <v>9001574.5430958942</v>
      </c>
      <c r="I150" s="16">
        <f t="shared" si="17"/>
        <v>3.0958950519561768E-3</v>
      </c>
    </row>
    <row r="151" spans="1:9" x14ac:dyDescent="0.25">
      <c r="A151" s="36">
        <v>46331</v>
      </c>
      <c r="B151" s="71">
        <f t="shared" si="18"/>
        <v>31</v>
      </c>
      <c r="C151" s="33">
        <f t="shared" si="19"/>
        <v>13176690</v>
      </c>
      <c r="D151" s="48">
        <f t="shared" si="20"/>
        <v>3928252.8000000007</v>
      </c>
      <c r="E151" s="47">
        <f t="shared" si="21"/>
        <v>9248437.1999999993</v>
      </c>
      <c r="F151" s="33">
        <f t="shared" si="22"/>
        <v>725952597.48000026</v>
      </c>
      <c r="G151" s="47">
        <f t="shared" si="23"/>
        <v>722024344.68000031</v>
      </c>
      <c r="H151" s="14">
        <f t="shared" si="16"/>
        <v>9248437.2007726058</v>
      </c>
      <c r="I151" s="16">
        <f t="shared" si="17"/>
        <v>7.7260658144950867E-4</v>
      </c>
    </row>
    <row r="152" spans="1:9" x14ac:dyDescent="0.25">
      <c r="A152" s="36">
        <v>46361</v>
      </c>
      <c r="B152" s="71">
        <f t="shared" si="18"/>
        <v>30</v>
      </c>
      <c r="C152" s="33">
        <f t="shared" si="19"/>
        <v>13176690</v>
      </c>
      <c r="D152" s="48">
        <f t="shared" si="20"/>
        <v>4275020</v>
      </c>
      <c r="E152" s="47">
        <f t="shared" si="21"/>
        <v>8901670</v>
      </c>
      <c r="F152" s="33">
        <f t="shared" si="22"/>
        <v>722024344.68000031</v>
      </c>
      <c r="G152" s="47">
        <f t="shared" si="23"/>
        <v>717749324.68000031</v>
      </c>
      <c r="H152" s="14">
        <f t="shared" si="16"/>
        <v>8901670.0029041115</v>
      </c>
      <c r="I152" s="16">
        <f t="shared" si="17"/>
        <v>2.9041115194559097E-3</v>
      </c>
    </row>
    <row r="153" spans="1:9" x14ac:dyDescent="0.25">
      <c r="A153" s="36">
        <v>46392</v>
      </c>
      <c r="B153" s="71">
        <f t="shared" si="18"/>
        <v>31</v>
      </c>
      <c r="C153" s="33">
        <f t="shared" si="19"/>
        <v>13176690</v>
      </c>
      <c r="D153" s="48">
        <f t="shared" si="20"/>
        <v>4032760.25</v>
      </c>
      <c r="E153" s="47">
        <f t="shared" si="21"/>
        <v>9143929.75</v>
      </c>
      <c r="F153" s="33">
        <f t="shared" si="22"/>
        <v>717749324.68000031</v>
      </c>
      <c r="G153" s="47">
        <f t="shared" si="23"/>
        <v>713716564.43000031</v>
      </c>
      <c r="H153" s="14">
        <f t="shared" si="16"/>
        <v>9143929.752772605</v>
      </c>
      <c r="I153" s="16">
        <f t="shared" si="17"/>
        <v>2.7726050466299057E-3</v>
      </c>
    </row>
    <row r="154" spans="1:9" x14ac:dyDescent="0.25">
      <c r="A154" s="36">
        <v>46423</v>
      </c>
      <c r="B154" s="71">
        <f t="shared" si="18"/>
        <v>31</v>
      </c>
      <c r="C154" s="33">
        <f t="shared" si="19"/>
        <v>13176690</v>
      </c>
      <c r="D154" s="48">
        <f t="shared" si="20"/>
        <v>4084136.51</v>
      </c>
      <c r="E154" s="47">
        <f t="shared" si="21"/>
        <v>9092553.4900000002</v>
      </c>
      <c r="F154" s="33">
        <f t="shared" si="22"/>
        <v>713716564.43000031</v>
      </c>
      <c r="G154" s="47">
        <f t="shared" si="23"/>
        <v>709632427.92000031</v>
      </c>
      <c r="H154" s="14">
        <f t="shared" si="16"/>
        <v>9092553.4920534287</v>
      </c>
      <c r="I154" s="16">
        <f t="shared" si="17"/>
        <v>2.053428441286087E-3</v>
      </c>
    </row>
    <row r="155" spans="1:9" x14ac:dyDescent="0.25">
      <c r="A155" s="36">
        <v>46451</v>
      </c>
      <c r="B155" s="71">
        <f t="shared" si="18"/>
        <v>28</v>
      </c>
      <c r="C155" s="33">
        <f t="shared" si="19"/>
        <v>13176690</v>
      </c>
      <c r="D155" s="48">
        <f t="shared" si="20"/>
        <v>5011056.58</v>
      </c>
      <c r="E155" s="47">
        <f t="shared" si="21"/>
        <v>8165633.4199999999</v>
      </c>
      <c r="F155" s="33">
        <f t="shared" si="22"/>
        <v>709632427.92000031</v>
      </c>
      <c r="G155" s="47">
        <f t="shared" si="23"/>
        <v>704621371.34000027</v>
      </c>
      <c r="H155" s="14">
        <f t="shared" si="16"/>
        <v>8165633.4171616463</v>
      </c>
      <c r="I155" s="16">
        <f t="shared" si="17"/>
        <v>-2.8383536264300346E-3</v>
      </c>
    </row>
    <row r="156" spans="1:9" x14ac:dyDescent="0.25">
      <c r="A156" s="36">
        <v>46482</v>
      </c>
      <c r="B156" s="71">
        <f t="shared" si="18"/>
        <v>31</v>
      </c>
      <c r="C156" s="33">
        <f t="shared" si="19"/>
        <v>13176690</v>
      </c>
      <c r="D156" s="48">
        <f t="shared" si="20"/>
        <v>4200006.7799999993</v>
      </c>
      <c r="E156" s="47">
        <f t="shared" si="21"/>
        <v>8976683.2200000007</v>
      </c>
      <c r="F156" s="33">
        <f t="shared" si="22"/>
        <v>704621371.34000027</v>
      </c>
      <c r="G156" s="47">
        <f t="shared" si="23"/>
        <v>700421364.5600003</v>
      </c>
      <c r="H156" s="14">
        <f t="shared" si="16"/>
        <v>8976683.2239205502</v>
      </c>
      <c r="I156" s="16">
        <f t="shared" si="17"/>
        <v>3.9205495268106461E-3</v>
      </c>
    </row>
    <row r="157" spans="1:9" x14ac:dyDescent="0.25">
      <c r="A157" s="36">
        <v>46512</v>
      </c>
      <c r="B157" s="71">
        <f t="shared" si="18"/>
        <v>30</v>
      </c>
      <c r="C157" s="33">
        <f t="shared" si="19"/>
        <v>13176690</v>
      </c>
      <c r="D157" s="48">
        <f t="shared" si="20"/>
        <v>4541358.1099999994</v>
      </c>
      <c r="E157" s="47">
        <f t="shared" si="21"/>
        <v>8635331.8900000006</v>
      </c>
      <c r="F157" s="33">
        <f t="shared" si="22"/>
        <v>700421364.5600003</v>
      </c>
      <c r="G157" s="47">
        <f t="shared" si="23"/>
        <v>695880006.45000029</v>
      </c>
      <c r="H157" s="14">
        <f t="shared" si="16"/>
        <v>8635331.8918356206</v>
      </c>
      <c r="I157" s="16">
        <f t="shared" si="17"/>
        <v>1.8356200307607651E-3</v>
      </c>
    </row>
    <row r="158" spans="1:9" x14ac:dyDescent="0.25">
      <c r="A158" s="36">
        <v>46543</v>
      </c>
      <c r="B158" s="71">
        <f t="shared" si="18"/>
        <v>31</v>
      </c>
      <c r="C158" s="33">
        <f t="shared" si="19"/>
        <v>13176690</v>
      </c>
      <c r="D158" s="48">
        <f t="shared" si="20"/>
        <v>4311369.3699999992</v>
      </c>
      <c r="E158" s="47">
        <f t="shared" si="21"/>
        <v>8865320.6300000008</v>
      </c>
      <c r="F158" s="33">
        <f t="shared" si="22"/>
        <v>695880006.45000029</v>
      </c>
      <c r="G158" s="47">
        <f t="shared" si="23"/>
        <v>691568637.08000028</v>
      </c>
      <c r="H158" s="14">
        <f t="shared" si="16"/>
        <v>8865320.6301164422</v>
      </c>
      <c r="I158" s="16">
        <f t="shared" si="17"/>
        <v>1.1644139885902405E-4</v>
      </c>
    </row>
    <row r="159" spans="1:9" x14ac:dyDescent="0.25">
      <c r="A159" s="36">
        <v>46573</v>
      </c>
      <c r="B159" s="71">
        <f t="shared" si="18"/>
        <v>30</v>
      </c>
      <c r="C159" s="33">
        <f t="shared" si="19"/>
        <v>13176690</v>
      </c>
      <c r="D159" s="48">
        <f t="shared" si="20"/>
        <v>4650501.32</v>
      </c>
      <c r="E159" s="47">
        <f t="shared" si="21"/>
        <v>8526188.6799999997</v>
      </c>
      <c r="F159" s="33">
        <f t="shared" si="22"/>
        <v>691568637.08000028</v>
      </c>
      <c r="G159" s="47">
        <f t="shared" si="23"/>
        <v>686918135.76000023</v>
      </c>
      <c r="H159" s="14">
        <f t="shared" si="16"/>
        <v>8526188.6763287708</v>
      </c>
      <c r="I159" s="16">
        <f t="shared" si="17"/>
        <v>-3.6712288856506348E-3</v>
      </c>
    </row>
    <row r="160" spans="1:9" x14ac:dyDescent="0.25">
      <c r="A160" s="36">
        <v>46604</v>
      </c>
      <c r="B160" s="71">
        <f t="shared" si="18"/>
        <v>31</v>
      </c>
      <c r="C160" s="33">
        <f t="shared" si="19"/>
        <v>13176690</v>
      </c>
      <c r="D160" s="48">
        <f t="shared" si="20"/>
        <v>4425541.1500000004</v>
      </c>
      <c r="E160" s="47">
        <f t="shared" si="21"/>
        <v>8751148.8499999996</v>
      </c>
      <c r="F160" s="33">
        <f t="shared" si="22"/>
        <v>686918135.76000023</v>
      </c>
      <c r="G160" s="47">
        <f t="shared" si="23"/>
        <v>682492594.61000025</v>
      </c>
      <c r="H160" s="14">
        <f t="shared" si="16"/>
        <v>8751148.8528328799</v>
      </c>
      <c r="I160" s="16">
        <f t="shared" si="17"/>
        <v>2.8328802436590195E-3</v>
      </c>
    </row>
    <row r="161" spans="1:9" x14ac:dyDescent="0.25">
      <c r="A161" s="36">
        <v>46635</v>
      </c>
      <c r="B161" s="71">
        <f t="shared" si="18"/>
        <v>31</v>
      </c>
      <c r="C161" s="33">
        <f t="shared" si="19"/>
        <v>13176690</v>
      </c>
      <c r="D161" s="48">
        <f t="shared" si="20"/>
        <v>4481921.33</v>
      </c>
      <c r="E161" s="47">
        <f t="shared" si="21"/>
        <v>8694768.6699999999</v>
      </c>
      <c r="F161" s="33">
        <f t="shared" si="22"/>
        <v>682492594.61000025</v>
      </c>
      <c r="G161" s="47">
        <f t="shared" si="23"/>
        <v>678010673.28000021</v>
      </c>
      <c r="H161" s="14">
        <f t="shared" si="16"/>
        <v>8694768.6710589062</v>
      </c>
      <c r="I161" s="16">
        <f t="shared" si="17"/>
        <v>1.0589063167572021E-3</v>
      </c>
    </row>
    <row r="162" spans="1:9" x14ac:dyDescent="0.25">
      <c r="A162" s="36">
        <v>46665</v>
      </c>
      <c r="B162" s="71">
        <f t="shared" si="18"/>
        <v>30</v>
      </c>
      <c r="C162" s="33">
        <f t="shared" si="19"/>
        <v>13176690</v>
      </c>
      <c r="D162" s="48">
        <f t="shared" si="20"/>
        <v>4817654.3</v>
      </c>
      <c r="E162" s="47">
        <f t="shared" si="21"/>
        <v>8359035.7000000002</v>
      </c>
      <c r="F162" s="33">
        <f t="shared" si="22"/>
        <v>678010673.28000021</v>
      </c>
      <c r="G162" s="47">
        <f t="shared" si="23"/>
        <v>673193018.98000026</v>
      </c>
      <c r="H162" s="14">
        <f t="shared" si="16"/>
        <v>8359035.697972605</v>
      </c>
      <c r="I162" s="16">
        <f t="shared" si="17"/>
        <v>-2.0273951813578606E-3</v>
      </c>
    </row>
    <row r="163" spans="1:9" x14ac:dyDescent="0.25">
      <c r="A163" s="36">
        <v>46696</v>
      </c>
      <c r="B163" s="71">
        <f t="shared" si="18"/>
        <v>31</v>
      </c>
      <c r="C163" s="33">
        <f t="shared" si="19"/>
        <v>13176690</v>
      </c>
      <c r="D163" s="48">
        <f t="shared" si="20"/>
        <v>4600395.3699999992</v>
      </c>
      <c r="E163" s="47">
        <f t="shared" si="21"/>
        <v>8576294.6300000008</v>
      </c>
      <c r="F163" s="33">
        <f t="shared" si="22"/>
        <v>673193018.98000026</v>
      </c>
      <c r="G163" s="47">
        <f t="shared" si="23"/>
        <v>668592623.61000025</v>
      </c>
      <c r="H163" s="14">
        <f t="shared" si="16"/>
        <v>8576294.6253616456</v>
      </c>
      <c r="I163" s="16">
        <f t="shared" si="17"/>
        <v>-4.6383552253246307E-3</v>
      </c>
    </row>
    <row r="164" spans="1:9" x14ac:dyDescent="0.25">
      <c r="A164" s="36">
        <v>46726</v>
      </c>
      <c r="B164" s="71">
        <f t="shared" si="18"/>
        <v>30</v>
      </c>
      <c r="C164" s="33">
        <f t="shared" si="19"/>
        <v>13176690</v>
      </c>
      <c r="D164" s="48">
        <f t="shared" si="20"/>
        <v>4933767.24</v>
      </c>
      <c r="E164" s="47">
        <f t="shared" si="21"/>
        <v>8242922.7599999998</v>
      </c>
      <c r="F164" s="33">
        <f t="shared" si="22"/>
        <v>668592623.61000025</v>
      </c>
      <c r="G164" s="47">
        <f t="shared" si="23"/>
        <v>663658856.37000024</v>
      </c>
      <c r="H164" s="14">
        <f t="shared" si="16"/>
        <v>8242922.756835619</v>
      </c>
      <c r="I164" s="16">
        <f t="shared" si="17"/>
        <v>-3.1643807888031006E-3</v>
      </c>
    </row>
    <row r="165" spans="1:9" x14ac:dyDescent="0.25">
      <c r="A165" s="36">
        <v>46757</v>
      </c>
      <c r="B165" s="71">
        <f t="shared" si="18"/>
        <v>31</v>
      </c>
      <c r="C165" s="33">
        <f t="shared" si="19"/>
        <v>13176690</v>
      </c>
      <c r="D165" s="48">
        <f t="shared" si="20"/>
        <v>4721857.99</v>
      </c>
      <c r="E165" s="47">
        <f t="shared" si="21"/>
        <v>8454832.0099999998</v>
      </c>
      <c r="F165" s="33">
        <f t="shared" si="22"/>
        <v>663658856.37000024</v>
      </c>
      <c r="G165" s="47">
        <f t="shared" si="23"/>
        <v>658936998.38000023</v>
      </c>
      <c r="H165" s="14">
        <f t="shared" si="16"/>
        <v>8454832.0058095921</v>
      </c>
      <c r="I165" s="16">
        <f t="shared" si="17"/>
        <v>-4.1904076933860779E-3</v>
      </c>
    </row>
    <row r="166" spans="1:9" x14ac:dyDescent="0.25">
      <c r="A166" s="36">
        <v>46788</v>
      </c>
      <c r="B166" s="71">
        <f t="shared" si="18"/>
        <v>31</v>
      </c>
      <c r="C166" s="33">
        <f t="shared" si="19"/>
        <v>13176690</v>
      </c>
      <c r="D166" s="48">
        <f t="shared" si="20"/>
        <v>4782013.17</v>
      </c>
      <c r="E166" s="47">
        <f t="shared" si="21"/>
        <v>8394676.8300000001</v>
      </c>
      <c r="F166" s="33">
        <f t="shared" si="22"/>
        <v>658936998.38000023</v>
      </c>
      <c r="G166" s="47">
        <f t="shared" si="23"/>
        <v>654154985.21000028</v>
      </c>
      <c r="H166" s="14">
        <f t="shared" si="16"/>
        <v>8394676.8286767155</v>
      </c>
      <c r="I166" s="16">
        <f t="shared" si="17"/>
        <v>-1.3232845813035965E-3</v>
      </c>
    </row>
    <row r="167" spans="1:9" x14ac:dyDescent="0.25">
      <c r="A167" s="36">
        <v>46817</v>
      </c>
      <c r="B167" s="71">
        <f t="shared" si="18"/>
        <v>29</v>
      </c>
      <c r="C167" s="33">
        <f t="shared" si="19"/>
        <v>13176690</v>
      </c>
      <c r="D167" s="48">
        <f t="shared" si="20"/>
        <v>5380596.3399999999</v>
      </c>
      <c r="E167" s="47">
        <f t="shared" si="21"/>
        <v>7796093.6600000001</v>
      </c>
      <c r="F167" s="33">
        <f t="shared" si="22"/>
        <v>654154985.21000028</v>
      </c>
      <c r="G167" s="47">
        <f t="shared" si="23"/>
        <v>648774388.87000024</v>
      </c>
      <c r="H167" s="14">
        <f t="shared" si="16"/>
        <v>7796093.6593520585</v>
      </c>
      <c r="I167" s="16">
        <f t="shared" si="17"/>
        <v>-6.4794160425662994E-4</v>
      </c>
    </row>
    <row r="168" spans="1:9" x14ac:dyDescent="0.25">
      <c r="A168" s="36">
        <v>46848</v>
      </c>
      <c r="B168" s="71">
        <f t="shared" si="18"/>
        <v>31</v>
      </c>
      <c r="C168" s="33">
        <f t="shared" si="19"/>
        <v>13176690</v>
      </c>
      <c r="D168" s="48">
        <f t="shared" si="20"/>
        <v>4911482.03</v>
      </c>
      <c r="E168" s="47">
        <f t="shared" si="21"/>
        <v>8265207.9699999997</v>
      </c>
      <c r="F168" s="33">
        <f t="shared" si="22"/>
        <v>648774388.87000024</v>
      </c>
      <c r="G168" s="47">
        <f t="shared" si="23"/>
        <v>643862906.84000027</v>
      </c>
      <c r="H168" s="14">
        <f t="shared" si="16"/>
        <v>8265207.9677958935</v>
      </c>
      <c r="I168" s="16">
        <f t="shared" si="17"/>
        <v>-2.2041061893105507E-3</v>
      </c>
    </row>
    <row r="169" spans="1:9" x14ac:dyDescent="0.25">
      <c r="A169" s="36">
        <v>46878</v>
      </c>
      <c r="B169" s="71">
        <f t="shared" si="18"/>
        <v>30</v>
      </c>
      <c r="C169" s="33">
        <f t="shared" si="19"/>
        <v>13176690</v>
      </c>
      <c r="D169" s="48">
        <f t="shared" si="20"/>
        <v>5238654.16</v>
      </c>
      <c r="E169" s="47">
        <f t="shared" si="21"/>
        <v>7938035.8399999999</v>
      </c>
      <c r="F169" s="33">
        <f t="shared" si="22"/>
        <v>643862906.84000027</v>
      </c>
      <c r="G169" s="47">
        <f t="shared" si="23"/>
        <v>638624252.68000031</v>
      </c>
      <c r="H169" s="14">
        <f t="shared" si="16"/>
        <v>7938035.8377534281</v>
      </c>
      <c r="I169" s="16">
        <f t="shared" si="17"/>
        <v>-2.2465717047452927E-3</v>
      </c>
    </row>
    <row r="170" spans="1:9" x14ac:dyDescent="0.25">
      <c r="A170" s="36">
        <v>46909</v>
      </c>
      <c r="B170" s="71">
        <f t="shared" si="18"/>
        <v>31</v>
      </c>
      <c r="C170" s="33">
        <f t="shared" si="19"/>
        <v>13176690</v>
      </c>
      <c r="D170" s="48">
        <f t="shared" si="20"/>
        <v>5040791.99</v>
      </c>
      <c r="E170" s="47">
        <f t="shared" si="21"/>
        <v>8135898.0099999998</v>
      </c>
      <c r="F170" s="33">
        <f t="shared" si="22"/>
        <v>638624252.68000031</v>
      </c>
      <c r="G170" s="47">
        <f t="shared" si="23"/>
        <v>633583460.6900003</v>
      </c>
      <c r="H170" s="14">
        <f t="shared" si="16"/>
        <v>8135898.013594524</v>
      </c>
      <c r="I170" s="16">
        <f t="shared" si="17"/>
        <v>3.5945242270827293E-3</v>
      </c>
    </row>
    <row r="171" spans="1:9" x14ac:dyDescent="0.25">
      <c r="A171" s="36">
        <v>46939</v>
      </c>
      <c r="B171" s="71">
        <f t="shared" si="18"/>
        <v>30</v>
      </c>
      <c r="C171" s="33">
        <f t="shared" si="19"/>
        <v>13176690</v>
      </c>
      <c r="D171" s="48">
        <f t="shared" si="20"/>
        <v>5365387.0599999996</v>
      </c>
      <c r="E171" s="47">
        <f t="shared" si="21"/>
        <v>7811302.9400000004</v>
      </c>
      <c r="F171" s="33">
        <f t="shared" si="22"/>
        <v>633583460.6900003</v>
      </c>
      <c r="G171" s="47">
        <f t="shared" si="23"/>
        <v>628218073.63000035</v>
      </c>
      <c r="H171" s="14">
        <f t="shared" si="16"/>
        <v>7811302.9400137011</v>
      </c>
      <c r="I171" s="16">
        <f t="shared" si="17"/>
        <v>1.3700686395168304E-5</v>
      </c>
    </row>
    <row r="172" spans="1:9" x14ac:dyDescent="0.25">
      <c r="A172" s="36">
        <v>46970</v>
      </c>
      <c r="B172" s="71">
        <f t="shared" si="18"/>
        <v>31</v>
      </c>
      <c r="C172" s="33">
        <f t="shared" si="19"/>
        <v>13176690</v>
      </c>
      <c r="D172" s="48">
        <f t="shared" si="20"/>
        <v>5173363.8600000003</v>
      </c>
      <c r="E172" s="47">
        <f t="shared" si="21"/>
        <v>8003326.1399999997</v>
      </c>
      <c r="F172" s="33">
        <f t="shared" si="22"/>
        <v>628218073.63000035</v>
      </c>
      <c r="G172" s="47">
        <f t="shared" si="23"/>
        <v>623044709.77000034</v>
      </c>
      <c r="H172" s="14">
        <f t="shared" si="16"/>
        <v>8003326.1435054848</v>
      </c>
      <c r="I172" s="16">
        <f t="shared" si="17"/>
        <v>3.5054851323366165E-3</v>
      </c>
    </row>
    <row r="173" spans="1:9" x14ac:dyDescent="0.25">
      <c r="A173" s="36">
        <v>47001</v>
      </c>
      <c r="B173" s="71">
        <f t="shared" si="18"/>
        <v>31</v>
      </c>
      <c r="C173" s="33">
        <f t="shared" si="19"/>
        <v>13176690</v>
      </c>
      <c r="D173" s="48">
        <f t="shared" si="20"/>
        <v>5239271.09</v>
      </c>
      <c r="E173" s="47">
        <f t="shared" si="21"/>
        <v>7937418.9100000001</v>
      </c>
      <c r="F173" s="33">
        <f t="shared" si="22"/>
        <v>623044709.77000034</v>
      </c>
      <c r="G173" s="47">
        <f t="shared" si="23"/>
        <v>617805438.68000031</v>
      </c>
      <c r="H173" s="14">
        <f t="shared" si="16"/>
        <v>7937418.9052890455</v>
      </c>
      <c r="I173" s="16">
        <f t="shared" si="17"/>
        <v>-4.7109546139836311E-3</v>
      </c>
    </row>
    <row r="174" spans="1:9" x14ac:dyDescent="0.25">
      <c r="A174" s="36">
        <v>47031</v>
      </c>
      <c r="B174" s="71">
        <f t="shared" si="18"/>
        <v>30</v>
      </c>
      <c r="C174" s="33">
        <f t="shared" si="19"/>
        <v>13176690</v>
      </c>
      <c r="D174" s="48">
        <f t="shared" si="20"/>
        <v>5559910.6200000001</v>
      </c>
      <c r="E174" s="47">
        <f t="shared" si="21"/>
        <v>7616779.3799999999</v>
      </c>
      <c r="F174" s="33">
        <f t="shared" si="22"/>
        <v>617805438.68000031</v>
      </c>
      <c r="G174" s="47">
        <f t="shared" si="23"/>
        <v>612245528.0600003</v>
      </c>
      <c r="H174" s="14">
        <f t="shared" si="16"/>
        <v>7616779.380986305</v>
      </c>
      <c r="I174" s="16">
        <f t="shared" si="17"/>
        <v>9.8630506545305252E-4</v>
      </c>
    </row>
    <row r="175" spans="1:9" x14ac:dyDescent="0.25">
      <c r="A175" s="36">
        <v>47062</v>
      </c>
      <c r="B175" s="71">
        <f t="shared" si="18"/>
        <v>31</v>
      </c>
      <c r="C175" s="33">
        <f t="shared" si="19"/>
        <v>13176690</v>
      </c>
      <c r="D175" s="48">
        <f t="shared" si="20"/>
        <v>5376849.71</v>
      </c>
      <c r="E175" s="47">
        <f t="shared" si="21"/>
        <v>7799840.29</v>
      </c>
      <c r="F175" s="33">
        <f t="shared" si="22"/>
        <v>612245528.0600003</v>
      </c>
      <c r="G175" s="47">
        <f t="shared" si="23"/>
        <v>606868678.35000026</v>
      </c>
      <c r="H175" s="14">
        <f t="shared" si="16"/>
        <v>7799840.2889835648</v>
      </c>
      <c r="I175" s="16">
        <f t="shared" si="17"/>
        <v>-1.0164352133870125E-3</v>
      </c>
    </row>
    <row r="176" spans="1:9" x14ac:dyDescent="0.25">
      <c r="A176" s="36">
        <v>47092</v>
      </c>
      <c r="B176" s="71">
        <f t="shared" si="18"/>
        <v>30</v>
      </c>
      <c r="C176" s="33">
        <f t="shared" si="19"/>
        <v>13176690</v>
      </c>
      <c r="D176" s="48">
        <f t="shared" si="20"/>
        <v>5694747.3899999997</v>
      </c>
      <c r="E176" s="47">
        <f t="shared" si="21"/>
        <v>7481942.6100000003</v>
      </c>
      <c r="F176" s="33">
        <f t="shared" si="22"/>
        <v>606868678.35000026</v>
      </c>
      <c r="G176" s="47">
        <f t="shared" si="23"/>
        <v>601173930.96000028</v>
      </c>
      <c r="H176" s="14">
        <f t="shared" si="16"/>
        <v>7481942.6097945236</v>
      </c>
      <c r="I176" s="16">
        <f t="shared" si="17"/>
        <v>-2.0547676831483841E-4</v>
      </c>
    </row>
    <row r="177" spans="1:9" x14ac:dyDescent="0.25">
      <c r="A177" s="36">
        <v>47123</v>
      </c>
      <c r="B177" s="71">
        <f t="shared" si="18"/>
        <v>31</v>
      </c>
      <c r="C177" s="33">
        <f t="shared" si="19"/>
        <v>13176690</v>
      </c>
      <c r="D177" s="48">
        <f t="shared" si="20"/>
        <v>5517898.8200000003</v>
      </c>
      <c r="E177" s="47">
        <f t="shared" si="21"/>
        <v>7658791.1799999997</v>
      </c>
      <c r="F177" s="33">
        <f t="shared" si="22"/>
        <v>601173930.96000028</v>
      </c>
      <c r="G177" s="47">
        <f t="shared" si="23"/>
        <v>595656032.14000022</v>
      </c>
      <c r="H177" s="14">
        <f t="shared" si="16"/>
        <v>7658791.1752438387</v>
      </c>
      <c r="I177" s="16">
        <f t="shared" si="17"/>
        <v>-4.7561610117554665E-3</v>
      </c>
    </row>
    <row r="178" spans="1:9" x14ac:dyDescent="0.25">
      <c r="A178" s="36">
        <v>47154</v>
      </c>
      <c r="B178" s="71">
        <f t="shared" si="18"/>
        <v>31</v>
      </c>
      <c r="C178" s="33">
        <f t="shared" si="19"/>
        <v>13176690</v>
      </c>
      <c r="D178" s="48">
        <f t="shared" si="20"/>
        <v>5588195.3399999999</v>
      </c>
      <c r="E178" s="47">
        <f t="shared" si="21"/>
        <v>7588494.6600000001</v>
      </c>
      <c r="F178" s="33">
        <f t="shared" si="22"/>
        <v>595656032.14000022</v>
      </c>
      <c r="G178" s="47">
        <f t="shared" si="23"/>
        <v>590067836.80000019</v>
      </c>
      <c r="H178" s="14">
        <f t="shared" si="16"/>
        <v>7588494.656030139</v>
      </c>
      <c r="I178" s="16">
        <f t="shared" si="17"/>
        <v>-3.9698611944913864E-3</v>
      </c>
    </row>
    <row r="179" spans="1:9" x14ac:dyDescent="0.25">
      <c r="A179" s="36">
        <v>47182</v>
      </c>
      <c r="B179" s="71">
        <f t="shared" si="18"/>
        <v>28</v>
      </c>
      <c r="C179" s="33">
        <f t="shared" si="19"/>
        <v>13176690</v>
      </c>
      <c r="D179" s="48">
        <f t="shared" si="20"/>
        <v>6386868.3200000003</v>
      </c>
      <c r="E179" s="47">
        <f t="shared" si="21"/>
        <v>6789821.6799999997</v>
      </c>
      <c r="F179" s="33">
        <f t="shared" si="22"/>
        <v>590067836.80000019</v>
      </c>
      <c r="G179" s="47">
        <f t="shared" si="23"/>
        <v>583680968.48000014</v>
      </c>
      <c r="H179" s="14">
        <f t="shared" si="16"/>
        <v>6789821.6837260295</v>
      </c>
      <c r="I179" s="16">
        <f t="shared" si="17"/>
        <v>3.7260297685861588E-3</v>
      </c>
    </row>
    <row r="180" spans="1:9" x14ac:dyDescent="0.25">
      <c r="A180" s="36">
        <v>47213</v>
      </c>
      <c r="B180" s="71">
        <f t="shared" si="18"/>
        <v>31</v>
      </c>
      <c r="C180" s="33">
        <f t="shared" si="19"/>
        <v>13176690</v>
      </c>
      <c r="D180" s="48">
        <f t="shared" si="20"/>
        <v>5740754.3700000001</v>
      </c>
      <c r="E180" s="47">
        <f t="shared" si="21"/>
        <v>7435935.6299999999</v>
      </c>
      <c r="F180" s="33">
        <f t="shared" si="22"/>
        <v>583680968.48000014</v>
      </c>
      <c r="G180" s="47">
        <f t="shared" si="23"/>
        <v>577940214.11000013</v>
      </c>
      <c r="H180" s="14">
        <f t="shared" si="16"/>
        <v>7435935.6258410979</v>
      </c>
      <c r="I180" s="16">
        <f t="shared" si="17"/>
        <v>-4.1589019820094109E-3</v>
      </c>
    </row>
    <row r="181" spans="1:9" x14ac:dyDescent="0.25">
      <c r="A181" s="36">
        <v>47243</v>
      </c>
      <c r="B181" s="71">
        <f t="shared" si="18"/>
        <v>30</v>
      </c>
      <c r="C181" s="33">
        <f t="shared" si="19"/>
        <v>13176690</v>
      </c>
      <c r="D181" s="48">
        <f t="shared" si="20"/>
        <v>6051399.6900000004</v>
      </c>
      <c r="E181" s="47">
        <f t="shared" si="21"/>
        <v>7125290.3099999996</v>
      </c>
      <c r="F181" s="33">
        <f t="shared" si="22"/>
        <v>577940214.11000013</v>
      </c>
      <c r="G181" s="47">
        <f t="shared" si="23"/>
        <v>571888814.42000008</v>
      </c>
      <c r="H181" s="14">
        <f t="shared" si="16"/>
        <v>7125290.3109452082</v>
      </c>
      <c r="I181" s="16">
        <f t="shared" si="17"/>
        <v>9.452085942029953E-4</v>
      </c>
    </row>
    <row r="182" spans="1:9" x14ac:dyDescent="0.25">
      <c r="A182" s="36">
        <v>47274</v>
      </c>
      <c r="B182" s="71">
        <f t="shared" si="18"/>
        <v>31</v>
      </c>
      <c r="C182" s="33">
        <f t="shared" si="19"/>
        <v>13176690</v>
      </c>
      <c r="D182" s="48">
        <f t="shared" si="20"/>
        <v>5890983.1900000004</v>
      </c>
      <c r="E182" s="47">
        <f t="shared" si="21"/>
        <v>7285706.8099999996</v>
      </c>
      <c r="F182" s="33">
        <f t="shared" si="22"/>
        <v>571888814.42000008</v>
      </c>
      <c r="G182" s="47">
        <f t="shared" si="23"/>
        <v>565997831.23000002</v>
      </c>
      <c r="H182" s="14">
        <f t="shared" si="16"/>
        <v>7285706.8138438351</v>
      </c>
      <c r="I182" s="16">
        <f t="shared" si="17"/>
        <v>3.8438355550169945E-3</v>
      </c>
    </row>
    <row r="183" spans="1:9" x14ac:dyDescent="0.25">
      <c r="A183" s="36">
        <v>47304</v>
      </c>
      <c r="B183" s="71">
        <f t="shared" si="18"/>
        <v>30</v>
      </c>
      <c r="C183" s="33">
        <f t="shared" si="19"/>
        <v>13176690</v>
      </c>
      <c r="D183" s="48">
        <f t="shared" si="20"/>
        <v>6198634.5499999998</v>
      </c>
      <c r="E183" s="47">
        <f t="shared" si="21"/>
        <v>6978055.4500000002</v>
      </c>
      <c r="F183" s="33">
        <f t="shared" si="22"/>
        <v>565997831.23000002</v>
      </c>
      <c r="G183" s="47">
        <f t="shared" si="23"/>
        <v>559799196.68000007</v>
      </c>
      <c r="H183" s="14">
        <f t="shared" si="16"/>
        <v>6978055.4535205476</v>
      </c>
      <c r="I183" s="16">
        <f t="shared" si="17"/>
        <v>3.5205474123358727E-3</v>
      </c>
    </row>
    <row r="184" spans="1:9" x14ac:dyDescent="0.25">
      <c r="A184" s="36">
        <v>47335</v>
      </c>
      <c r="B184" s="71">
        <f t="shared" si="18"/>
        <v>31</v>
      </c>
      <c r="C184" s="33">
        <f t="shared" si="19"/>
        <v>13176690</v>
      </c>
      <c r="D184" s="48">
        <f t="shared" si="20"/>
        <v>6045001.5999999996</v>
      </c>
      <c r="E184" s="47">
        <f t="shared" si="21"/>
        <v>7131688.4000000004</v>
      </c>
      <c r="F184" s="33">
        <f t="shared" si="22"/>
        <v>559799196.68000007</v>
      </c>
      <c r="G184" s="47">
        <f t="shared" si="23"/>
        <v>553754195.08000004</v>
      </c>
      <c r="H184" s="14">
        <f t="shared" si="16"/>
        <v>7131688.3960602749</v>
      </c>
      <c r="I184" s="16">
        <f t="shared" si="17"/>
        <v>-3.9397254586219788E-3</v>
      </c>
    </row>
    <row r="185" spans="1:9" x14ac:dyDescent="0.25">
      <c r="A185" s="36">
        <v>47366</v>
      </c>
      <c r="B185" s="71">
        <f t="shared" si="18"/>
        <v>31</v>
      </c>
      <c r="C185" s="33">
        <f t="shared" si="19"/>
        <v>13176690</v>
      </c>
      <c r="D185" s="48">
        <f t="shared" si="20"/>
        <v>6122013.2699999996</v>
      </c>
      <c r="E185" s="47">
        <f t="shared" si="21"/>
        <v>7054676.7300000004</v>
      </c>
      <c r="F185" s="33">
        <f t="shared" si="22"/>
        <v>553754195.08000004</v>
      </c>
      <c r="G185" s="47">
        <f t="shared" si="23"/>
        <v>547632181.81000006</v>
      </c>
      <c r="H185" s="14">
        <f t="shared" si="16"/>
        <v>7054676.7318410967</v>
      </c>
      <c r="I185" s="16">
        <f t="shared" si="17"/>
        <v>1.8410962074995041E-3</v>
      </c>
    </row>
    <row r="186" spans="1:9" x14ac:dyDescent="0.25">
      <c r="A186" s="36">
        <v>47396</v>
      </c>
      <c r="B186" s="71">
        <f t="shared" si="18"/>
        <v>30</v>
      </c>
      <c r="C186" s="33">
        <f t="shared" si="19"/>
        <v>13176690</v>
      </c>
      <c r="D186" s="48">
        <f t="shared" si="20"/>
        <v>6425060.3600000003</v>
      </c>
      <c r="E186" s="47">
        <f t="shared" si="21"/>
        <v>6751629.6399999997</v>
      </c>
      <c r="F186" s="33">
        <f t="shared" si="22"/>
        <v>547632181.81000006</v>
      </c>
      <c r="G186" s="47">
        <f t="shared" si="23"/>
        <v>541207121.45000005</v>
      </c>
      <c r="H186" s="14">
        <f t="shared" si="16"/>
        <v>6751629.6387534244</v>
      </c>
      <c r="I186" s="16">
        <f t="shared" si="17"/>
        <v>-1.246575266122818E-3</v>
      </c>
    </row>
    <row r="187" spans="1:9" x14ac:dyDescent="0.25">
      <c r="A187" s="36">
        <v>47427</v>
      </c>
      <c r="B187" s="71">
        <f t="shared" si="18"/>
        <v>31</v>
      </c>
      <c r="C187" s="33">
        <f t="shared" si="19"/>
        <v>13176690</v>
      </c>
      <c r="D187" s="48">
        <f t="shared" si="20"/>
        <v>6281859.5499999998</v>
      </c>
      <c r="E187" s="47">
        <f t="shared" si="21"/>
        <v>6894830.4500000002</v>
      </c>
      <c r="F187" s="33">
        <f t="shared" si="22"/>
        <v>541207121.45000005</v>
      </c>
      <c r="G187" s="47">
        <f t="shared" si="23"/>
        <v>534925261.90000004</v>
      </c>
      <c r="H187" s="14">
        <f t="shared" si="16"/>
        <v>6894830.4513493143</v>
      </c>
      <c r="I187" s="16">
        <f t="shared" si="17"/>
        <v>1.3493141159415245E-3</v>
      </c>
    </row>
    <row r="188" spans="1:9" x14ac:dyDescent="0.25">
      <c r="A188" s="36">
        <v>47457</v>
      </c>
      <c r="B188" s="71">
        <f t="shared" si="18"/>
        <v>30</v>
      </c>
      <c r="C188" s="33">
        <f t="shared" si="19"/>
        <v>13176690</v>
      </c>
      <c r="D188" s="48">
        <f t="shared" si="20"/>
        <v>6581721.0199999996</v>
      </c>
      <c r="E188" s="47">
        <f t="shared" si="21"/>
        <v>6594968.9800000004</v>
      </c>
      <c r="F188" s="33">
        <f t="shared" si="22"/>
        <v>534925261.90000004</v>
      </c>
      <c r="G188" s="47">
        <f t="shared" si="23"/>
        <v>528343540.88000005</v>
      </c>
      <c r="H188" s="14">
        <f t="shared" si="16"/>
        <v>6594968.982328766</v>
      </c>
      <c r="I188" s="16">
        <f t="shared" si="17"/>
        <v>2.3287655785679817E-3</v>
      </c>
    </row>
    <row r="189" spans="1:9" x14ac:dyDescent="0.25">
      <c r="A189" s="36">
        <v>47488</v>
      </c>
      <c r="B189" s="71">
        <f t="shared" si="18"/>
        <v>31</v>
      </c>
      <c r="C189" s="33">
        <f t="shared" si="19"/>
        <v>13176690</v>
      </c>
      <c r="D189" s="48">
        <f t="shared" si="20"/>
        <v>6445738.04</v>
      </c>
      <c r="E189" s="47">
        <f t="shared" si="21"/>
        <v>6730951.96</v>
      </c>
      <c r="F189" s="33">
        <f t="shared" si="22"/>
        <v>528343540.88000005</v>
      </c>
      <c r="G189" s="47">
        <f t="shared" si="23"/>
        <v>521897802.84000003</v>
      </c>
      <c r="H189" s="14">
        <f t="shared" si="16"/>
        <v>6730951.959156164</v>
      </c>
      <c r="I189" s="16">
        <f t="shared" si="17"/>
        <v>-8.4383599460124969E-4</v>
      </c>
    </row>
    <row r="190" spans="1:9" x14ac:dyDescent="0.25">
      <c r="A190" s="36">
        <v>47519</v>
      </c>
      <c r="B190" s="71">
        <f t="shared" si="18"/>
        <v>31</v>
      </c>
      <c r="C190" s="33">
        <f t="shared" si="19"/>
        <v>13176690</v>
      </c>
      <c r="D190" s="48">
        <f t="shared" si="20"/>
        <v>6527854.9800000004</v>
      </c>
      <c r="E190" s="47">
        <f t="shared" si="21"/>
        <v>6648835.0199999996</v>
      </c>
      <c r="F190" s="33">
        <f t="shared" si="22"/>
        <v>521897802.84000003</v>
      </c>
      <c r="G190" s="47">
        <f t="shared" si="23"/>
        <v>515369947.86000001</v>
      </c>
      <c r="H190" s="14">
        <f t="shared" si="16"/>
        <v>6648835.0224821912</v>
      </c>
      <c r="I190" s="16">
        <f t="shared" si="17"/>
        <v>2.4821916595101357E-3</v>
      </c>
    </row>
    <row r="191" spans="1:9" x14ac:dyDescent="0.25">
      <c r="A191" s="36">
        <v>47547</v>
      </c>
      <c r="B191" s="71">
        <f t="shared" si="18"/>
        <v>28</v>
      </c>
      <c r="C191" s="33">
        <f t="shared" si="19"/>
        <v>13176690</v>
      </c>
      <c r="D191" s="48">
        <f t="shared" si="20"/>
        <v>7246405.6699999999</v>
      </c>
      <c r="E191" s="47">
        <f t="shared" si="21"/>
        <v>5930284.3300000001</v>
      </c>
      <c r="F191" s="33">
        <f t="shared" si="22"/>
        <v>515369947.86000001</v>
      </c>
      <c r="G191" s="47">
        <f t="shared" si="23"/>
        <v>508123542.19</v>
      </c>
      <c r="H191" s="14">
        <f t="shared" si="16"/>
        <v>5930284.3315397259</v>
      </c>
      <c r="I191" s="16">
        <f t="shared" si="17"/>
        <v>1.5397258102893829E-3</v>
      </c>
    </row>
    <row r="192" spans="1:9" x14ac:dyDescent="0.25">
      <c r="A192" s="36">
        <v>47578</v>
      </c>
      <c r="B192" s="71">
        <f t="shared" si="18"/>
        <v>31</v>
      </c>
      <c r="C192" s="33">
        <f t="shared" si="19"/>
        <v>13176690</v>
      </c>
      <c r="D192" s="48">
        <f t="shared" si="20"/>
        <v>6703335.2800000003</v>
      </c>
      <c r="E192" s="47">
        <f t="shared" si="21"/>
        <v>6473354.7199999997</v>
      </c>
      <c r="F192" s="33">
        <f t="shared" si="22"/>
        <v>508123542.19</v>
      </c>
      <c r="G192" s="47">
        <f t="shared" si="23"/>
        <v>501420206.91000003</v>
      </c>
      <c r="H192" s="14">
        <f t="shared" si="16"/>
        <v>6473354.715571234</v>
      </c>
      <c r="I192" s="16">
        <f t="shared" si="17"/>
        <v>-4.4287657365202904E-3</v>
      </c>
    </row>
    <row r="193" spans="1:9" x14ac:dyDescent="0.25">
      <c r="A193" s="36">
        <v>47608</v>
      </c>
      <c r="B193" s="71">
        <f t="shared" si="18"/>
        <v>30</v>
      </c>
      <c r="C193" s="33">
        <f t="shared" si="19"/>
        <v>13176690</v>
      </c>
      <c r="D193" s="48">
        <f t="shared" si="20"/>
        <v>6994797.04</v>
      </c>
      <c r="E193" s="47">
        <f t="shared" si="21"/>
        <v>6181892.96</v>
      </c>
      <c r="F193" s="33">
        <f t="shared" si="22"/>
        <v>501420206.91000003</v>
      </c>
      <c r="G193" s="47">
        <f t="shared" si="23"/>
        <v>494425409.87</v>
      </c>
      <c r="H193" s="14">
        <f t="shared" si="16"/>
        <v>6181892.9619041104</v>
      </c>
      <c r="I193" s="16">
        <f t="shared" si="17"/>
        <v>1.904110424220562E-3</v>
      </c>
    </row>
    <row r="194" spans="1:9" x14ac:dyDescent="0.25">
      <c r="A194" s="36">
        <v>47639</v>
      </c>
      <c r="B194" s="71">
        <f t="shared" si="18"/>
        <v>31</v>
      </c>
      <c r="C194" s="33">
        <f t="shared" si="19"/>
        <v>13176690</v>
      </c>
      <c r="D194" s="48">
        <f t="shared" si="20"/>
        <v>6877845.7400000002</v>
      </c>
      <c r="E194" s="47">
        <f t="shared" si="21"/>
        <v>6298844.2599999998</v>
      </c>
      <c r="F194" s="33">
        <f t="shared" si="22"/>
        <v>494425409.87</v>
      </c>
      <c r="G194" s="47">
        <f t="shared" si="23"/>
        <v>487547564.13</v>
      </c>
      <c r="H194" s="14">
        <f t="shared" si="16"/>
        <v>6298844.2627273966</v>
      </c>
      <c r="I194" s="16">
        <f t="shared" si="17"/>
        <v>2.7273967862129211E-3</v>
      </c>
    </row>
    <row r="195" spans="1:9" x14ac:dyDescent="0.25">
      <c r="A195" s="36">
        <v>47669</v>
      </c>
      <c r="B195" s="71">
        <f t="shared" si="18"/>
        <v>30</v>
      </c>
      <c r="C195" s="33">
        <f t="shared" si="19"/>
        <v>13176690</v>
      </c>
      <c r="D195" s="48">
        <f t="shared" si="20"/>
        <v>7165829.6200000001</v>
      </c>
      <c r="E195" s="47">
        <f t="shared" si="21"/>
        <v>6010860.3799999999</v>
      </c>
      <c r="F195" s="33">
        <f t="shared" si="22"/>
        <v>487547564.13</v>
      </c>
      <c r="G195" s="47">
        <f t="shared" si="23"/>
        <v>480381734.50999999</v>
      </c>
      <c r="H195" s="14">
        <f t="shared" si="16"/>
        <v>6010860.3796849316</v>
      </c>
      <c r="I195" s="16">
        <f t="shared" si="17"/>
        <v>-3.1506828963756561E-4</v>
      </c>
    </row>
    <row r="196" spans="1:9" x14ac:dyDescent="0.25">
      <c r="A196" s="36">
        <v>47700</v>
      </c>
      <c r="B196" s="71">
        <f t="shared" si="18"/>
        <v>31</v>
      </c>
      <c r="C196" s="33">
        <f t="shared" si="19"/>
        <v>13176690</v>
      </c>
      <c r="D196" s="48">
        <f t="shared" si="20"/>
        <v>7056758.3099999996</v>
      </c>
      <c r="E196" s="47">
        <f t="shared" si="21"/>
        <v>6119931.6900000004</v>
      </c>
      <c r="F196" s="33">
        <f t="shared" si="22"/>
        <v>480381734.50999999</v>
      </c>
      <c r="G196" s="47">
        <f t="shared" si="23"/>
        <v>473324976.19999999</v>
      </c>
      <c r="H196" s="14">
        <f t="shared" si="16"/>
        <v>6119931.6862232871</v>
      </c>
      <c r="I196" s="16">
        <f t="shared" si="17"/>
        <v>-3.7767132744193077E-3</v>
      </c>
    </row>
    <row r="197" spans="1:9" x14ac:dyDescent="0.25">
      <c r="A197" s="36">
        <v>47731</v>
      </c>
      <c r="B197" s="71">
        <f t="shared" si="18"/>
        <v>31</v>
      </c>
      <c r="C197" s="33">
        <f t="shared" si="19"/>
        <v>13176690</v>
      </c>
      <c r="D197" s="48">
        <f t="shared" si="20"/>
        <v>7146659.4800000004</v>
      </c>
      <c r="E197" s="47">
        <f t="shared" si="21"/>
        <v>6030030.5199999996</v>
      </c>
      <c r="F197" s="33">
        <f t="shared" si="22"/>
        <v>473324976.19999999</v>
      </c>
      <c r="G197" s="47">
        <f t="shared" si="23"/>
        <v>466178316.71999997</v>
      </c>
      <c r="H197" s="14">
        <f t="shared" ref="H197:H245" si="24">F197*$B$2*B197/365</f>
        <v>6030030.5187123287</v>
      </c>
      <c r="I197" s="16">
        <f t="shared" ref="I197:I245" si="25">H197-E197</f>
        <v>-1.2876708060503006E-3</v>
      </c>
    </row>
    <row r="198" spans="1:9" x14ac:dyDescent="0.25">
      <c r="A198" s="36">
        <v>47761</v>
      </c>
      <c r="B198" s="71">
        <f t="shared" si="18"/>
        <v>30</v>
      </c>
      <c r="C198" s="33">
        <f t="shared" si="19"/>
        <v>13176690</v>
      </c>
      <c r="D198" s="48">
        <f t="shared" si="20"/>
        <v>7429286.0999999996</v>
      </c>
      <c r="E198" s="47">
        <f t="shared" si="21"/>
        <v>5747403.9000000004</v>
      </c>
      <c r="F198" s="33">
        <f t="shared" si="22"/>
        <v>466178316.71999997</v>
      </c>
      <c r="G198" s="47">
        <f t="shared" si="23"/>
        <v>458749030.61999995</v>
      </c>
      <c r="H198" s="14">
        <f t="shared" si="24"/>
        <v>5747403.9047671221</v>
      </c>
      <c r="I198" s="16">
        <f t="shared" si="25"/>
        <v>4.767121747136116E-3</v>
      </c>
    </row>
    <row r="199" spans="1:9" x14ac:dyDescent="0.25">
      <c r="A199" s="36">
        <v>47792</v>
      </c>
      <c r="B199" s="71">
        <f t="shared" ref="B199:B244" si="26">_xlfn.DAYS(A199,A198)</f>
        <v>31</v>
      </c>
      <c r="C199" s="33">
        <f t="shared" ref="C199:C245" si="27">$D$1</f>
        <v>13176690</v>
      </c>
      <c r="D199" s="48">
        <f t="shared" ref="D199:D244" si="28">C199-E199</f>
        <v>7332353.0300000003</v>
      </c>
      <c r="E199" s="47">
        <f t="shared" ref="E199:E243" si="29">ROUND(F199*$B$2*B199/365,2)</f>
        <v>5844336.9699999997</v>
      </c>
      <c r="F199" s="33">
        <f t="shared" ref="F199:F244" si="30">G198</f>
        <v>458749030.61999995</v>
      </c>
      <c r="G199" s="47">
        <f t="shared" ref="G199:G244" si="31">F199-D199</f>
        <v>451416677.58999997</v>
      </c>
      <c r="H199" s="14">
        <f t="shared" si="24"/>
        <v>5844336.9654328767</v>
      </c>
      <c r="I199" s="16">
        <f t="shared" si="25"/>
        <v>-4.5671230182051659E-3</v>
      </c>
    </row>
    <row r="200" spans="1:9" x14ac:dyDescent="0.25">
      <c r="A200" s="36">
        <v>47822</v>
      </c>
      <c r="B200" s="71">
        <f t="shared" si="26"/>
        <v>30</v>
      </c>
      <c r="C200" s="33">
        <f t="shared" si="27"/>
        <v>13176690</v>
      </c>
      <c r="D200" s="48">
        <f t="shared" si="28"/>
        <v>7611278.9100000001</v>
      </c>
      <c r="E200" s="47">
        <f t="shared" si="29"/>
        <v>5565411.0899999999</v>
      </c>
      <c r="F200" s="33">
        <f t="shared" si="30"/>
        <v>451416677.58999997</v>
      </c>
      <c r="G200" s="47">
        <f t="shared" si="31"/>
        <v>443805398.67999995</v>
      </c>
      <c r="H200" s="14">
        <f t="shared" si="24"/>
        <v>5565411.0935753416</v>
      </c>
      <c r="I200" s="16">
        <f t="shared" si="25"/>
        <v>3.5753417760133743E-3</v>
      </c>
    </row>
    <row r="201" spans="1:9" x14ac:dyDescent="0.25">
      <c r="A201" s="36">
        <v>47853</v>
      </c>
      <c r="B201" s="71">
        <f t="shared" si="26"/>
        <v>31</v>
      </c>
      <c r="C201" s="33">
        <f t="shared" si="27"/>
        <v>13176690</v>
      </c>
      <c r="D201" s="48">
        <f t="shared" si="28"/>
        <v>7522730.8099999996</v>
      </c>
      <c r="E201" s="47">
        <f t="shared" si="29"/>
        <v>5653959.1900000004</v>
      </c>
      <c r="F201" s="33">
        <f t="shared" si="30"/>
        <v>443805398.67999995</v>
      </c>
      <c r="G201" s="47">
        <f t="shared" si="31"/>
        <v>436282667.86999995</v>
      </c>
      <c r="H201" s="14">
        <f t="shared" si="24"/>
        <v>5653959.1886630123</v>
      </c>
      <c r="I201" s="16">
        <f t="shared" si="25"/>
        <v>-1.3369880616664886E-3</v>
      </c>
    </row>
    <row r="202" spans="1:9" x14ac:dyDescent="0.25">
      <c r="A202" s="36">
        <v>47884</v>
      </c>
      <c r="B202" s="71">
        <f t="shared" si="26"/>
        <v>31</v>
      </c>
      <c r="C202" s="33">
        <f t="shared" si="27"/>
        <v>13176690</v>
      </c>
      <c r="D202" s="48">
        <f t="shared" si="28"/>
        <v>7618568.3399999999</v>
      </c>
      <c r="E202" s="47">
        <f t="shared" si="29"/>
        <v>5558121.6600000001</v>
      </c>
      <c r="F202" s="33">
        <f t="shared" si="30"/>
        <v>436282667.86999995</v>
      </c>
      <c r="G202" s="47">
        <f t="shared" si="31"/>
        <v>428664099.52999997</v>
      </c>
      <c r="H202" s="14">
        <f t="shared" si="24"/>
        <v>5558121.6591657521</v>
      </c>
      <c r="I202" s="16">
        <f t="shared" si="25"/>
        <v>-8.3424802869558334E-4</v>
      </c>
    </row>
    <row r="203" spans="1:9" x14ac:dyDescent="0.25">
      <c r="A203" s="36">
        <v>47912</v>
      </c>
      <c r="B203" s="71">
        <f t="shared" si="26"/>
        <v>28</v>
      </c>
      <c r="C203" s="33">
        <f t="shared" si="27"/>
        <v>13176690</v>
      </c>
      <c r="D203" s="48">
        <f t="shared" si="28"/>
        <v>8244116.7999999998</v>
      </c>
      <c r="E203" s="47">
        <f t="shared" si="29"/>
        <v>4932573.2</v>
      </c>
      <c r="F203" s="33">
        <f t="shared" si="30"/>
        <v>428664099.52999997</v>
      </c>
      <c r="G203" s="47">
        <f t="shared" si="31"/>
        <v>420419982.72999996</v>
      </c>
      <c r="H203" s="14">
        <f t="shared" si="24"/>
        <v>4932573.2000712324</v>
      </c>
      <c r="I203" s="16">
        <f t="shared" si="25"/>
        <v>7.1232207119464874E-5</v>
      </c>
    </row>
    <row r="204" spans="1:9" x14ac:dyDescent="0.25">
      <c r="A204" s="36">
        <v>47943</v>
      </c>
      <c r="B204" s="71">
        <f t="shared" si="26"/>
        <v>31</v>
      </c>
      <c r="C204" s="33">
        <f t="shared" si="27"/>
        <v>13176690</v>
      </c>
      <c r="D204" s="48">
        <f t="shared" si="28"/>
        <v>7820654.5999999996</v>
      </c>
      <c r="E204" s="47">
        <f t="shared" si="29"/>
        <v>5356035.4000000004</v>
      </c>
      <c r="F204" s="33">
        <f t="shared" si="30"/>
        <v>420419982.72999996</v>
      </c>
      <c r="G204" s="47">
        <f t="shared" si="31"/>
        <v>412599328.12999994</v>
      </c>
      <c r="H204" s="14">
        <f t="shared" si="24"/>
        <v>5356035.3964232868</v>
      </c>
      <c r="I204" s="16">
        <f t="shared" si="25"/>
        <v>-3.5767136141657829E-3</v>
      </c>
    </row>
    <row r="205" spans="1:9" x14ac:dyDescent="0.25">
      <c r="A205" s="36">
        <v>47973</v>
      </c>
      <c r="B205" s="71">
        <f t="shared" si="26"/>
        <v>30</v>
      </c>
      <c r="C205" s="33">
        <f t="shared" si="27"/>
        <v>13176690</v>
      </c>
      <c r="D205" s="48">
        <f t="shared" si="28"/>
        <v>8089848.9699999997</v>
      </c>
      <c r="E205" s="47">
        <f t="shared" si="29"/>
        <v>5086841.03</v>
      </c>
      <c r="F205" s="33">
        <f t="shared" si="30"/>
        <v>412599328.12999994</v>
      </c>
      <c r="G205" s="47">
        <f t="shared" si="31"/>
        <v>404509479.15999991</v>
      </c>
      <c r="H205" s="14">
        <f t="shared" si="24"/>
        <v>5086841.0317397257</v>
      </c>
      <c r="I205" s="16">
        <f t="shared" si="25"/>
        <v>1.7397254705429077E-3</v>
      </c>
    </row>
    <row r="206" spans="1:9" x14ac:dyDescent="0.25">
      <c r="A206" s="36">
        <v>48004</v>
      </c>
      <c r="B206" s="71">
        <f t="shared" si="26"/>
        <v>31</v>
      </c>
      <c r="C206" s="33">
        <f t="shared" si="27"/>
        <v>13176690</v>
      </c>
      <c r="D206" s="48">
        <f t="shared" si="28"/>
        <v>8023350.0599999996</v>
      </c>
      <c r="E206" s="47">
        <f t="shared" si="29"/>
        <v>5153339.9400000004</v>
      </c>
      <c r="F206" s="33">
        <f t="shared" si="30"/>
        <v>404509479.15999991</v>
      </c>
      <c r="G206" s="47">
        <f t="shared" si="31"/>
        <v>396486129.0999999</v>
      </c>
      <c r="H206" s="14">
        <f t="shared" si="24"/>
        <v>5153339.9399835598</v>
      </c>
      <c r="I206" s="16">
        <f t="shared" si="25"/>
        <v>-1.6440637409687042E-5</v>
      </c>
    </row>
    <row r="207" spans="1:9" x14ac:dyDescent="0.25">
      <c r="A207" s="36">
        <v>48034</v>
      </c>
      <c r="B207" s="71">
        <f t="shared" si="26"/>
        <v>30</v>
      </c>
      <c r="C207" s="33">
        <f t="shared" si="27"/>
        <v>13176690</v>
      </c>
      <c r="D207" s="48">
        <f t="shared" si="28"/>
        <v>8288504.8499999996</v>
      </c>
      <c r="E207" s="47">
        <f t="shared" si="29"/>
        <v>4888185.1500000004</v>
      </c>
      <c r="F207" s="33">
        <f t="shared" si="30"/>
        <v>396486129.0999999</v>
      </c>
      <c r="G207" s="47">
        <f t="shared" si="31"/>
        <v>388197624.24999988</v>
      </c>
      <c r="H207" s="14">
        <f t="shared" si="24"/>
        <v>4888185.1532876696</v>
      </c>
      <c r="I207" s="16">
        <f t="shared" si="25"/>
        <v>3.2876692712306976E-3</v>
      </c>
    </row>
    <row r="208" spans="1:9" x14ac:dyDescent="0.25">
      <c r="A208" s="36">
        <v>48065</v>
      </c>
      <c r="B208" s="71">
        <f t="shared" si="26"/>
        <v>31</v>
      </c>
      <c r="C208" s="33">
        <f t="shared" si="27"/>
        <v>13176690</v>
      </c>
      <c r="D208" s="48">
        <f t="shared" si="28"/>
        <v>8231158.6200000001</v>
      </c>
      <c r="E208" s="47">
        <f t="shared" si="29"/>
        <v>4945531.38</v>
      </c>
      <c r="F208" s="33">
        <f t="shared" si="30"/>
        <v>388197624.24999988</v>
      </c>
      <c r="G208" s="47">
        <f t="shared" si="31"/>
        <v>379966465.62999988</v>
      </c>
      <c r="H208" s="14">
        <f t="shared" si="24"/>
        <v>4945531.3774315054</v>
      </c>
      <c r="I208" s="16">
        <f t="shared" si="25"/>
        <v>-2.5684945285320282E-3</v>
      </c>
    </row>
    <row r="209" spans="1:9" x14ac:dyDescent="0.25">
      <c r="A209" s="36">
        <v>48096</v>
      </c>
      <c r="B209" s="71">
        <f t="shared" si="26"/>
        <v>31</v>
      </c>
      <c r="C209" s="33">
        <f t="shared" si="27"/>
        <v>13176690</v>
      </c>
      <c r="D209" s="48">
        <f t="shared" si="28"/>
        <v>8336021.3300000001</v>
      </c>
      <c r="E209" s="47">
        <f t="shared" si="29"/>
        <v>4840668.67</v>
      </c>
      <c r="F209" s="33">
        <f t="shared" si="30"/>
        <v>379966465.62999988</v>
      </c>
      <c r="G209" s="47">
        <f t="shared" si="31"/>
        <v>371630444.29999989</v>
      </c>
      <c r="H209" s="14">
        <f t="shared" si="24"/>
        <v>4840668.6717246557</v>
      </c>
      <c r="I209" s="16">
        <f t="shared" si="25"/>
        <v>1.7246557399630547E-3</v>
      </c>
    </row>
    <row r="210" spans="1:9" x14ac:dyDescent="0.25">
      <c r="A210" s="36">
        <v>48126</v>
      </c>
      <c r="B210" s="71">
        <f t="shared" si="26"/>
        <v>30</v>
      </c>
      <c r="C210" s="33">
        <f t="shared" si="27"/>
        <v>13176690</v>
      </c>
      <c r="D210" s="48">
        <f t="shared" si="28"/>
        <v>8594944.8000000007</v>
      </c>
      <c r="E210" s="47">
        <f t="shared" si="29"/>
        <v>4581745.2</v>
      </c>
      <c r="F210" s="33">
        <f t="shared" si="30"/>
        <v>371630444.29999989</v>
      </c>
      <c r="G210" s="47">
        <f t="shared" si="31"/>
        <v>363035499.49999988</v>
      </c>
      <c r="H210" s="14">
        <f t="shared" si="24"/>
        <v>4581745.2036986286</v>
      </c>
      <c r="I210" s="16">
        <f t="shared" si="25"/>
        <v>3.6986283957958221E-3</v>
      </c>
    </row>
    <row r="211" spans="1:9" x14ac:dyDescent="0.25">
      <c r="A211" s="36">
        <v>48157</v>
      </c>
      <c r="B211" s="71">
        <f t="shared" si="26"/>
        <v>31</v>
      </c>
      <c r="C211" s="33">
        <f t="shared" si="27"/>
        <v>13176690</v>
      </c>
      <c r="D211" s="48">
        <f t="shared" si="28"/>
        <v>8551717.1999999993</v>
      </c>
      <c r="E211" s="47">
        <f t="shared" si="29"/>
        <v>4624972.8</v>
      </c>
      <c r="F211" s="33">
        <f t="shared" si="30"/>
        <v>363035499.49999988</v>
      </c>
      <c r="G211" s="47">
        <f t="shared" si="31"/>
        <v>354483782.29999989</v>
      </c>
      <c r="H211" s="14">
        <f t="shared" si="24"/>
        <v>4624972.801849314</v>
      </c>
      <c r="I211" s="16">
        <f t="shared" si="25"/>
        <v>1.8493141978979111E-3</v>
      </c>
    </row>
    <row r="212" spans="1:9" x14ac:dyDescent="0.25">
      <c r="A212" s="36">
        <v>48187</v>
      </c>
      <c r="B212" s="71">
        <f t="shared" si="26"/>
        <v>30</v>
      </c>
      <c r="C212" s="33">
        <f t="shared" si="27"/>
        <v>13176690</v>
      </c>
      <c r="D212" s="48">
        <f t="shared" si="28"/>
        <v>8806342</v>
      </c>
      <c r="E212" s="47">
        <f t="shared" si="29"/>
        <v>4370348</v>
      </c>
      <c r="F212" s="33">
        <f t="shared" si="30"/>
        <v>354483782.29999989</v>
      </c>
      <c r="G212" s="47">
        <f t="shared" si="31"/>
        <v>345677440.29999989</v>
      </c>
      <c r="H212" s="14">
        <f t="shared" si="24"/>
        <v>4370348.0009589028</v>
      </c>
      <c r="I212" s="16">
        <f t="shared" si="25"/>
        <v>9.589027613401413E-4</v>
      </c>
    </row>
    <row r="213" spans="1:9" x14ac:dyDescent="0.25">
      <c r="A213" s="36">
        <v>48218</v>
      </c>
      <c r="B213" s="71">
        <f t="shared" si="26"/>
        <v>31</v>
      </c>
      <c r="C213" s="33">
        <f t="shared" si="27"/>
        <v>13176690</v>
      </c>
      <c r="D213" s="48">
        <f t="shared" si="28"/>
        <v>8772854.120000001</v>
      </c>
      <c r="E213" s="47">
        <f t="shared" si="29"/>
        <v>4403835.88</v>
      </c>
      <c r="F213" s="33">
        <f t="shared" si="30"/>
        <v>345677440.29999989</v>
      </c>
      <c r="G213" s="47">
        <f t="shared" si="31"/>
        <v>336904586.17999989</v>
      </c>
      <c r="H213" s="14">
        <f t="shared" si="24"/>
        <v>4403835.8832739703</v>
      </c>
      <c r="I213" s="16">
        <f t="shared" si="25"/>
        <v>3.2739704474806786E-3</v>
      </c>
    </row>
    <row r="214" spans="1:9" x14ac:dyDescent="0.25">
      <c r="A214" s="36">
        <v>48249</v>
      </c>
      <c r="B214" s="71">
        <f t="shared" si="26"/>
        <v>31</v>
      </c>
      <c r="C214" s="33">
        <f t="shared" si="27"/>
        <v>13176690</v>
      </c>
      <c r="D214" s="48">
        <f t="shared" si="28"/>
        <v>8884617.870000001</v>
      </c>
      <c r="E214" s="47">
        <f t="shared" si="29"/>
        <v>4292072.13</v>
      </c>
      <c r="F214" s="33">
        <f t="shared" si="30"/>
        <v>336904586.17999989</v>
      </c>
      <c r="G214" s="47">
        <f t="shared" si="31"/>
        <v>328019968.30999988</v>
      </c>
      <c r="H214" s="14">
        <f t="shared" si="24"/>
        <v>4292072.1253068475</v>
      </c>
      <c r="I214" s="16">
        <f t="shared" si="25"/>
        <v>-4.6931523829698563E-3</v>
      </c>
    </row>
    <row r="215" spans="1:9" x14ac:dyDescent="0.25">
      <c r="A215" s="36">
        <v>48278</v>
      </c>
      <c r="B215" s="71">
        <f t="shared" si="26"/>
        <v>29</v>
      </c>
      <c r="C215" s="33">
        <f t="shared" si="27"/>
        <v>13176690</v>
      </c>
      <c r="D215" s="48">
        <f t="shared" si="28"/>
        <v>9267410.9299999997</v>
      </c>
      <c r="E215" s="47">
        <f t="shared" si="29"/>
        <v>3909279.07</v>
      </c>
      <c r="F215" s="33">
        <f t="shared" si="30"/>
        <v>328019968.30999988</v>
      </c>
      <c r="G215" s="47">
        <f t="shared" si="31"/>
        <v>318752557.37999988</v>
      </c>
      <c r="H215" s="14">
        <f t="shared" si="24"/>
        <v>3909279.0743794502</v>
      </c>
      <c r="I215" s="16">
        <f t="shared" si="25"/>
        <v>4.3794503435492516E-3</v>
      </c>
    </row>
    <row r="216" spans="1:9" x14ac:dyDescent="0.25">
      <c r="A216" s="36">
        <v>48309</v>
      </c>
      <c r="B216" s="71">
        <f t="shared" si="26"/>
        <v>31</v>
      </c>
      <c r="C216" s="33">
        <f t="shared" si="27"/>
        <v>13176690</v>
      </c>
      <c r="D216" s="48">
        <f t="shared" si="28"/>
        <v>9115869.75</v>
      </c>
      <c r="E216" s="47">
        <f t="shared" si="29"/>
        <v>4060820.25</v>
      </c>
      <c r="F216" s="33">
        <f t="shared" si="30"/>
        <v>318752557.37999988</v>
      </c>
      <c r="G216" s="47">
        <f t="shared" si="31"/>
        <v>309636687.62999988</v>
      </c>
      <c r="H216" s="14">
        <f t="shared" si="24"/>
        <v>4060820.2515534232</v>
      </c>
      <c r="I216" s="16">
        <f t="shared" si="25"/>
        <v>1.5534232370555401E-3</v>
      </c>
    </row>
    <row r="217" spans="1:9" x14ac:dyDescent="0.25">
      <c r="A217" s="36">
        <v>48339</v>
      </c>
      <c r="B217" s="71">
        <f t="shared" si="26"/>
        <v>30</v>
      </c>
      <c r="C217" s="33">
        <f t="shared" si="27"/>
        <v>13176690</v>
      </c>
      <c r="D217" s="48">
        <f t="shared" si="28"/>
        <v>9359251.3900000006</v>
      </c>
      <c r="E217" s="47">
        <f t="shared" si="29"/>
        <v>3817438.61</v>
      </c>
      <c r="F217" s="33">
        <f t="shared" si="30"/>
        <v>309636687.62999988</v>
      </c>
      <c r="G217" s="47">
        <f t="shared" si="31"/>
        <v>300277436.23999989</v>
      </c>
      <c r="H217" s="14">
        <f t="shared" si="24"/>
        <v>3817438.6146164364</v>
      </c>
      <c r="I217" s="16">
        <f t="shared" si="25"/>
        <v>4.6164365485310555E-3</v>
      </c>
    </row>
    <row r="218" spans="1:9" x14ac:dyDescent="0.25">
      <c r="A218" s="36">
        <v>48370</v>
      </c>
      <c r="B218" s="71">
        <f t="shared" si="26"/>
        <v>31</v>
      </c>
      <c r="C218" s="33">
        <f t="shared" si="27"/>
        <v>13176690</v>
      </c>
      <c r="D218" s="48">
        <f t="shared" si="28"/>
        <v>9351237.7300000004</v>
      </c>
      <c r="E218" s="47">
        <f t="shared" si="29"/>
        <v>3825452.27</v>
      </c>
      <c r="F218" s="33">
        <f t="shared" si="30"/>
        <v>300277436.23999989</v>
      </c>
      <c r="G218" s="47">
        <f t="shared" si="31"/>
        <v>290926198.50999987</v>
      </c>
      <c r="H218" s="14">
        <f t="shared" si="24"/>
        <v>3825452.2699068482</v>
      </c>
      <c r="I218" s="16">
        <f t="shared" si="25"/>
        <v>-9.3151815235614777E-5</v>
      </c>
    </row>
    <row r="219" spans="1:9" x14ac:dyDescent="0.25">
      <c r="A219" s="36">
        <v>48400</v>
      </c>
      <c r="B219" s="71">
        <f t="shared" si="26"/>
        <v>30</v>
      </c>
      <c r="C219" s="33">
        <f t="shared" si="27"/>
        <v>13176690</v>
      </c>
      <c r="D219" s="48">
        <f t="shared" si="28"/>
        <v>9589928.6500000004</v>
      </c>
      <c r="E219" s="47">
        <f t="shared" si="29"/>
        <v>3586761.35</v>
      </c>
      <c r="F219" s="33">
        <f t="shared" si="30"/>
        <v>290926198.50999987</v>
      </c>
      <c r="G219" s="47">
        <f t="shared" si="31"/>
        <v>281336269.8599999</v>
      </c>
      <c r="H219" s="14">
        <f t="shared" si="24"/>
        <v>3586761.3514931491</v>
      </c>
      <c r="I219" s="16">
        <f t="shared" si="25"/>
        <v>1.4931489713490009E-3</v>
      </c>
    </row>
    <row r="220" spans="1:9" x14ac:dyDescent="0.25">
      <c r="A220" s="36">
        <v>48431</v>
      </c>
      <c r="B220" s="71">
        <f t="shared" si="26"/>
        <v>31</v>
      </c>
      <c r="C220" s="33">
        <f t="shared" si="27"/>
        <v>13176690</v>
      </c>
      <c r="D220" s="48">
        <f t="shared" si="28"/>
        <v>9592543</v>
      </c>
      <c r="E220" s="47">
        <f t="shared" si="29"/>
        <v>3584147</v>
      </c>
      <c r="F220" s="33">
        <f t="shared" si="30"/>
        <v>281336269.8599999</v>
      </c>
      <c r="G220" s="47">
        <f t="shared" si="31"/>
        <v>271743726.8599999</v>
      </c>
      <c r="H220" s="14">
        <f t="shared" si="24"/>
        <v>3584146.9995862995</v>
      </c>
      <c r="I220" s="16">
        <f t="shared" si="25"/>
        <v>-4.1370047256350517E-4</v>
      </c>
    </row>
    <row r="221" spans="1:9" x14ac:dyDescent="0.25">
      <c r="A221" s="36">
        <v>48462</v>
      </c>
      <c r="B221" s="71">
        <f t="shared" si="26"/>
        <v>31</v>
      </c>
      <c r="C221" s="33">
        <f t="shared" si="27"/>
        <v>13176690</v>
      </c>
      <c r="D221" s="48">
        <f t="shared" si="28"/>
        <v>9714749.370000001</v>
      </c>
      <c r="E221" s="47">
        <f t="shared" si="29"/>
        <v>3461940.63</v>
      </c>
      <c r="F221" s="33">
        <f t="shared" si="30"/>
        <v>271743726.8599999</v>
      </c>
      <c r="G221" s="47">
        <f t="shared" si="31"/>
        <v>262028977.48999989</v>
      </c>
      <c r="H221" s="14">
        <f t="shared" si="24"/>
        <v>3461940.6298602726</v>
      </c>
      <c r="I221" s="16">
        <f t="shared" si="25"/>
        <v>-1.3972725719213486E-4</v>
      </c>
    </row>
    <row r="222" spans="1:9" x14ac:dyDescent="0.25">
      <c r="A222" s="36">
        <v>48492</v>
      </c>
      <c r="B222" s="71">
        <f t="shared" si="26"/>
        <v>30</v>
      </c>
      <c r="C222" s="33">
        <f t="shared" si="27"/>
        <v>13176690</v>
      </c>
      <c r="D222" s="48">
        <f t="shared" si="28"/>
        <v>9946195.7599999998</v>
      </c>
      <c r="E222" s="47">
        <f t="shared" si="29"/>
        <v>3230494.24</v>
      </c>
      <c r="F222" s="33">
        <f t="shared" si="30"/>
        <v>262028977.48999989</v>
      </c>
      <c r="G222" s="47">
        <f t="shared" si="31"/>
        <v>252082781.7299999</v>
      </c>
      <c r="H222" s="14">
        <f t="shared" si="24"/>
        <v>3230494.2430273956</v>
      </c>
      <c r="I222" s="16">
        <f t="shared" si="25"/>
        <v>3.0273953452706337E-3</v>
      </c>
    </row>
    <row r="223" spans="1:9" x14ac:dyDescent="0.25">
      <c r="A223" s="36">
        <v>48523</v>
      </c>
      <c r="B223" s="71">
        <f t="shared" si="26"/>
        <v>31</v>
      </c>
      <c r="C223" s="33">
        <f t="shared" si="27"/>
        <v>13176690</v>
      </c>
      <c r="D223" s="48">
        <f t="shared" si="28"/>
        <v>9965224.4199999999</v>
      </c>
      <c r="E223" s="47">
        <f t="shared" si="29"/>
        <v>3211465.58</v>
      </c>
      <c r="F223" s="33">
        <f t="shared" si="30"/>
        <v>252082781.7299999</v>
      </c>
      <c r="G223" s="47">
        <f t="shared" si="31"/>
        <v>242117557.30999991</v>
      </c>
      <c r="H223" s="14">
        <f t="shared" si="24"/>
        <v>3211465.5754643818</v>
      </c>
      <c r="I223" s="16">
        <f t="shared" si="25"/>
        <v>-4.5356182381510735E-3</v>
      </c>
    </row>
    <row r="224" spans="1:9" x14ac:dyDescent="0.25">
      <c r="A224" s="36">
        <v>48553</v>
      </c>
      <c r="B224" s="71">
        <f t="shared" si="26"/>
        <v>30</v>
      </c>
      <c r="C224" s="33">
        <f t="shared" si="27"/>
        <v>13176690</v>
      </c>
      <c r="D224" s="48">
        <f t="shared" si="28"/>
        <v>10191679.02</v>
      </c>
      <c r="E224" s="47">
        <f t="shared" si="29"/>
        <v>2985010.98</v>
      </c>
      <c r="F224" s="33">
        <f t="shared" si="30"/>
        <v>242117557.30999991</v>
      </c>
      <c r="G224" s="47">
        <f t="shared" si="31"/>
        <v>231925878.2899999</v>
      </c>
      <c r="H224" s="14">
        <f t="shared" si="24"/>
        <v>2985010.9805342453</v>
      </c>
      <c r="I224" s="16">
        <f t="shared" si="25"/>
        <v>5.3424527868628502E-4</v>
      </c>
    </row>
    <row r="225" spans="1:9" x14ac:dyDescent="0.25">
      <c r="A225" s="36">
        <v>48584</v>
      </c>
      <c r="B225" s="71">
        <f t="shared" si="26"/>
        <v>31</v>
      </c>
      <c r="C225" s="33">
        <f t="shared" si="27"/>
        <v>13176690</v>
      </c>
      <c r="D225" s="48">
        <f t="shared" si="28"/>
        <v>10222017.85</v>
      </c>
      <c r="E225" s="47">
        <f t="shared" si="29"/>
        <v>2954672.15</v>
      </c>
      <c r="F225" s="33">
        <f t="shared" si="30"/>
        <v>231925878.2899999</v>
      </c>
      <c r="G225" s="47">
        <f t="shared" si="31"/>
        <v>221703860.43999991</v>
      </c>
      <c r="H225" s="14">
        <f t="shared" si="24"/>
        <v>2954672.1480780812</v>
      </c>
      <c r="I225" s="16">
        <f t="shared" si="25"/>
        <v>-1.9219187088310719E-3</v>
      </c>
    </row>
    <row r="226" spans="1:9" x14ac:dyDescent="0.25">
      <c r="A226" s="36">
        <v>48615</v>
      </c>
      <c r="B226" s="71">
        <f t="shared" si="26"/>
        <v>31</v>
      </c>
      <c r="C226" s="33">
        <f t="shared" si="27"/>
        <v>13176690</v>
      </c>
      <c r="D226" s="48">
        <f t="shared" si="28"/>
        <v>10352243.560000001</v>
      </c>
      <c r="E226" s="47">
        <f t="shared" si="29"/>
        <v>2824446.44</v>
      </c>
      <c r="F226" s="33">
        <f t="shared" si="30"/>
        <v>221703860.43999991</v>
      </c>
      <c r="G226" s="47">
        <f t="shared" si="31"/>
        <v>211351616.87999991</v>
      </c>
      <c r="H226" s="14">
        <f t="shared" si="24"/>
        <v>2824446.4412219166</v>
      </c>
      <c r="I226" s="16">
        <f t="shared" si="25"/>
        <v>1.221916638314724E-3</v>
      </c>
    </row>
    <row r="227" spans="1:9" x14ac:dyDescent="0.25">
      <c r="A227" s="36">
        <v>48643</v>
      </c>
      <c r="B227" s="71">
        <f t="shared" si="26"/>
        <v>28</v>
      </c>
      <c r="C227" s="33">
        <f t="shared" si="27"/>
        <v>13176690</v>
      </c>
      <c r="D227" s="48">
        <f t="shared" si="28"/>
        <v>10744698.789999999</v>
      </c>
      <c r="E227" s="47">
        <f t="shared" si="29"/>
        <v>2431991.21</v>
      </c>
      <c r="F227" s="33">
        <f t="shared" si="30"/>
        <v>211351616.87999991</v>
      </c>
      <c r="G227" s="47">
        <f t="shared" si="31"/>
        <v>200606918.08999991</v>
      </c>
      <c r="H227" s="14">
        <f t="shared" si="24"/>
        <v>2431991.2079342455</v>
      </c>
      <c r="I227" s="16">
        <f t="shared" si="25"/>
        <v>-2.0657544955611229E-3</v>
      </c>
    </row>
    <row r="228" spans="1:9" x14ac:dyDescent="0.25">
      <c r="A228" s="36">
        <v>48674</v>
      </c>
      <c r="B228" s="71">
        <f t="shared" si="26"/>
        <v>31</v>
      </c>
      <c r="C228" s="33">
        <f t="shared" si="27"/>
        <v>13176690</v>
      </c>
      <c r="D228" s="48">
        <f t="shared" si="28"/>
        <v>10621012.82</v>
      </c>
      <c r="E228" s="47">
        <f t="shared" si="29"/>
        <v>2555677.1800000002</v>
      </c>
      <c r="F228" s="33">
        <f t="shared" si="30"/>
        <v>200606918.08999991</v>
      </c>
      <c r="G228" s="47">
        <f t="shared" si="31"/>
        <v>189985905.26999992</v>
      </c>
      <c r="H228" s="14">
        <f t="shared" si="24"/>
        <v>2555677.175667122</v>
      </c>
      <c r="I228" s="16">
        <f t="shared" si="25"/>
        <v>-4.3328781612217426E-3</v>
      </c>
    </row>
    <row r="229" spans="1:9" x14ac:dyDescent="0.25">
      <c r="A229" s="36">
        <v>48704</v>
      </c>
      <c r="B229" s="71">
        <f t="shared" si="26"/>
        <v>30</v>
      </c>
      <c r="C229" s="33">
        <f t="shared" si="27"/>
        <v>13176690</v>
      </c>
      <c r="D229" s="48">
        <f t="shared" si="28"/>
        <v>10834398.02</v>
      </c>
      <c r="E229" s="47">
        <f t="shared" si="29"/>
        <v>2342291.98</v>
      </c>
      <c r="F229" s="33">
        <f t="shared" si="30"/>
        <v>189985905.26999992</v>
      </c>
      <c r="G229" s="47">
        <f t="shared" si="31"/>
        <v>179151507.24999991</v>
      </c>
      <c r="H229" s="14">
        <f t="shared" si="24"/>
        <v>2342291.9827808212</v>
      </c>
      <c r="I229" s="16">
        <f t="shared" si="25"/>
        <v>2.7808211743831635E-3</v>
      </c>
    </row>
    <row r="230" spans="1:9" x14ac:dyDescent="0.25">
      <c r="A230" s="36">
        <v>48735</v>
      </c>
      <c r="B230" s="71">
        <f t="shared" si="26"/>
        <v>31</v>
      </c>
      <c r="C230" s="33">
        <f t="shared" si="27"/>
        <v>13176690</v>
      </c>
      <c r="D230" s="48">
        <f t="shared" si="28"/>
        <v>10894348.879999999</v>
      </c>
      <c r="E230" s="47">
        <f t="shared" si="29"/>
        <v>2282341.12</v>
      </c>
      <c r="F230" s="33">
        <f t="shared" si="30"/>
        <v>179151507.24999991</v>
      </c>
      <c r="G230" s="47">
        <f t="shared" si="31"/>
        <v>168257158.36999992</v>
      </c>
      <c r="H230" s="14">
        <f t="shared" si="24"/>
        <v>2282341.119760273</v>
      </c>
      <c r="I230" s="16">
        <f t="shared" si="25"/>
        <v>-2.3972708731889725E-4</v>
      </c>
    </row>
    <row r="231" spans="1:9" x14ac:dyDescent="0.25">
      <c r="A231" s="36">
        <v>48765</v>
      </c>
      <c r="B231" s="71">
        <f t="shared" si="26"/>
        <v>30</v>
      </c>
      <c r="C231" s="33">
        <f t="shared" si="27"/>
        <v>13176690</v>
      </c>
      <c r="D231" s="48">
        <f t="shared" si="28"/>
        <v>11102286.68</v>
      </c>
      <c r="E231" s="47">
        <f t="shared" si="29"/>
        <v>2074403.32</v>
      </c>
      <c r="F231" s="33">
        <f t="shared" si="30"/>
        <v>168257158.36999992</v>
      </c>
      <c r="G231" s="47">
        <f t="shared" si="31"/>
        <v>157154871.68999991</v>
      </c>
      <c r="H231" s="14">
        <f t="shared" si="24"/>
        <v>2074403.3223698619</v>
      </c>
      <c r="I231" s="16">
        <f t="shared" si="25"/>
        <v>2.3698618169873953E-3</v>
      </c>
    </row>
    <row r="232" spans="1:9" x14ac:dyDescent="0.25">
      <c r="A232" s="36">
        <v>48796</v>
      </c>
      <c r="B232" s="71">
        <f t="shared" si="26"/>
        <v>31</v>
      </c>
      <c r="C232" s="33">
        <f t="shared" si="27"/>
        <v>13176690</v>
      </c>
      <c r="D232" s="48">
        <f t="shared" si="28"/>
        <v>11174579.99</v>
      </c>
      <c r="E232" s="47">
        <f t="shared" si="29"/>
        <v>2002110.01</v>
      </c>
      <c r="F232" s="33">
        <f t="shared" si="30"/>
        <v>157154871.68999991</v>
      </c>
      <c r="G232" s="47">
        <f t="shared" si="31"/>
        <v>145980291.6999999</v>
      </c>
      <c r="H232" s="14">
        <f t="shared" si="24"/>
        <v>2002110.0092013685</v>
      </c>
      <c r="I232" s="16">
        <f t="shared" si="25"/>
        <v>-7.986314594745636E-4</v>
      </c>
    </row>
    <row r="233" spans="1:9" x14ac:dyDescent="0.25">
      <c r="A233" s="36">
        <v>48827</v>
      </c>
      <c r="B233" s="71">
        <f t="shared" si="26"/>
        <v>31</v>
      </c>
      <c r="C233" s="33">
        <f t="shared" si="27"/>
        <v>13176690</v>
      </c>
      <c r="D233" s="48">
        <f t="shared" si="28"/>
        <v>11316941.08</v>
      </c>
      <c r="E233" s="47">
        <f t="shared" si="29"/>
        <v>1859748.92</v>
      </c>
      <c r="F233" s="33">
        <f t="shared" si="30"/>
        <v>145980291.6999999</v>
      </c>
      <c r="G233" s="47">
        <f t="shared" si="31"/>
        <v>134663350.61999989</v>
      </c>
      <c r="H233" s="14">
        <f t="shared" si="24"/>
        <v>1859748.9216575329</v>
      </c>
      <c r="I233" s="16">
        <f t="shared" si="25"/>
        <v>1.6575329937040806E-3</v>
      </c>
    </row>
    <row r="234" spans="1:9" x14ac:dyDescent="0.25">
      <c r="A234" s="36">
        <v>48857</v>
      </c>
      <c r="B234" s="71">
        <f t="shared" si="26"/>
        <v>30</v>
      </c>
      <c r="C234" s="33">
        <f t="shared" si="27"/>
        <v>13176690</v>
      </c>
      <c r="D234" s="48">
        <f t="shared" si="28"/>
        <v>11516456.91</v>
      </c>
      <c r="E234" s="47">
        <f t="shared" si="29"/>
        <v>1660233.09</v>
      </c>
      <c r="F234" s="33">
        <f t="shared" si="30"/>
        <v>134663350.61999989</v>
      </c>
      <c r="G234" s="47">
        <f t="shared" si="31"/>
        <v>123146893.70999989</v>
      </c>
      <c r="H234" s="14">
        <f t="shared" si="24"/>
        <v>1660233.0898356151</v>
      </c>
      <c r="I234" s="16">
        <f t="shared" si="25"/>
        <v>-1.6438495367765427E-4</v>
      </c>
    </row>
    <row r="235" spans="1:9" x14ac:dyDescent="0.25">
      <c r="A235" s="36">
        <v>48888</v>
      </c>
      <c r="B235" s="71">
        <f t="shared" si="26"/>
        <v>31</v>
      </c>
      <c r="C235" s="33">
        <f t="shared" si="27"/>
        <v>13176690</v>
      </c>
      <c r="D235" s="48">
        <f t="shared" si="28"/>
        <v>11607832.310000001</v>
      </c>
      <c r="E235" s="47">
        <f t="shared" si="29"/>
        <v>1568857.69</v>
      </c>
      <c r="F235" s="33">
        <f t="shared" si="30"/>
        <v>123146893.70999989</v>
      </c>
      <c r="G235" s="47">
        <f t="shared" si="31"/>
        <v>111539061.39999989</v>
      </c>
      <c r="H235" s="14">
        <f t="shared" si="24"/>
        <v>1568857.6869904096</v>
      </c>
      <c r="I235" s="16">
        <f t="shared" si="25"/>
        <v>-3.009590320289135E-3</v>
      </c>
    </row>
    <row r="236" spans="1:9" x14ac:dyDescent="0.25">
      <c r="A236" s="36">
        <v>48918</v>
      </c>
      <c r="B236" s="71">
        <f t="shared" si="26"/>
        <v>30</v>
      </c>
      <c r="C236" s="33">
        <f t="shared" si="27"/>
        <v>13176690</v>
      </c>
      <c r="D236" s="48">
        <f t="shared" si="28"/>
        <v>11801550.890000001</v>
      </c>
      <c r="E236" s="47">
        <f t="shared" si="29"/>
        <v>1375139.11</v>
      </c>
      <c r="F236" s="33">
        <f t="shared" si="30"/>
        <v>111539061.39999989</v>
      </c>
      <c r="G236" s="47">
        <f t="shared" si="31"/>
        <v>99737510.509999886</v>
      </c>
      <c r="H236" s="14">
        <f t="shared" si="24"/>
        <v>1375139.1131506835</v>
      </c>
      <c r="I236" s="16">
        <f t="shared" si="25"/>
        <v>3.1506833620369434E-3</v>
      </c>
    </row>
    <row r="237" spans="1:9" x14ac:dyDescent="0.25">
      <c r="A237" s="36">
        <v>48949</v>
      </c>
      <c r="B237" s="71">
        <f t="shared" si="26"/>
        <v>31</v>
      </c>
      <c r="C237" s="33">
        <f t="shared" si="27"/>
        <v>13176690</v>
      </c>
      <c r="D237" s="48">
        <f t="shared" si="28"/>
        <v>11906061.439999999</v>
      </c>
      <c r="E237" s="47">
        <f t="shared" si="29"/>
        <v>1270628.56</v>
      </c>
      <c r="F237" s="33">
        <f t="shared" si="30"/>
        <v>99737510.509999886</v>
      </c>
      <c r="G237" s="47">
        <f t="shared" si="31"/>
        <v>87831449.069999889</v>
      </c>
      <c r="H237" s="14">
        <f t="shared" si="24"/>
        <v>1270628.5585520533</v>
      </c>
      <c r="I237" s="16">
        <f t="shared" si="25"/>
        <v>-1.4479467645287514E-3</v>
      </c>
    </row>
    <row r="238" spans="1:9" x14ac:dyDescent="0.25">
      <c r="A238" s="36">
        <v>48980</v>
      </c>
      <c r="B238" s="71">
        <f t="shared" si="26"/>
        <v>31</v>
      </c>
      <c r="C238" s="33">
        <f t="shared" si="27"/>
        <v>13176690</v>
      </c>
      <c r="D238" s="48">
        <f t="shared" si="28"/>
        <v>12057741.4</v>
      </c>
      <c r="E238" s="47">
        <f t="shared" si="29"/>
        <v>1118948.6000000001</v>
      </c>
      <c r="F238" s="33">
        <f t="shared" si="30"/>
        <v>87831449.069999889</v>
      </c>
      <c r="G238" s="47">
        <f t="shared" si="31"/>
        <v>75773707.669999883</v>
      </c>
      <c r="H238" s="14">
        <f t="shared" si="24"/>
        <v>1118948.5977410944</v>
      </c>
      <c r="I238" s="16">
        <f t="shared" si="25"/>
        <v>-2.2589056752622128E-3</v>
      </c>
    </row>
    <row r="239" spans="1:9" x14ac:dyDescent="0.25">
      <c r="A239" s="36">
        <v>49008</v>
      </c>
      <c r="B239" s="71">
        <f t="shared" si="26"/>
        <v>28</v>
      </c>
      <c r="C239" s="33">
        <f t="shared" si="27"/>
        <v>13176690</v>
      </c>
      <c r="D239" s="48">
        <f t="shared" si="28"/>
        <v>12304773.359999999</v>
      </c>
      <c r="E239" s="47">
        <f t="shared" si="29"/>
        <v>871916.64</v>
      </c>
      <c r="F239" s="33">
        <f t="shared" si="30"/>
        <v>75773707.669999883</v>
      </c>
      <c r="G239" s="47">
        <f t="shared" si="31"/>
        <v>63468934.309999883</v>
      </c>
      <c r="H239" s="14">
        <f t="shared" si="24"/>
        <v>871916.63620273839</v>
      </c>
      <c r="I239" s="16">
        <f t="shared" si="25"/>
        <v>-3.7972616264596581E-3</v>
      </c>
    </row>
    <row r="240" spans="1:9" x14ac:dyDescent="0.25">
      <c r="A240" s="36">
        <v>49039</v>
      </c>
      <c r="B240" s="71">
        <f t="shared" si="26"/>
        <v>31</v>
      </c>
      <c r="C240" s="33">
        <f t="shared" si="27"/>
        <v>13176690</v>
      </c>
      <c r="D240" s="48">
        <f t="shared" si="28"/>
        <v>12368113.17</v>
      </c>
      <c r="E240" s="47">
        <f t="shared" si="29"/>
        <v>808576.83</v>
      </c>
      <c r="F240" s="33">
        <f t="shared" si="30"/>
        <v>63468934.309999883</v>
      </c>
      <c r="G240" s="47">
        <f t="shared" si="31"/>
        <v>51100821.139999881</v>
      </c>
      <c r="H240" s="14">
        <f t="shared" si="24"/>
        <v>808576.83436027239</v>
      </c>
      <c r="I240" s="16">
        <f t="shared" si="25"/>
        <v>4.3602724326774478E-3</v>
      </c>
    </row>
    <row r="241" spans="1:9" x14ac:dyDescent="0.25">
      <c r="A241" s="36">
        <v>49069</v>
      </c>
      <c r="B241" s="71">
        <f t="shared" si="26"/>
        <v>30</v>
      </c>
      <c r="C241" s="33">
        <f t="shared" si="27"/>
        <v>13176690</v>
      </c>
      <c r="D241" s="48">
        <f t="shared" si="28"/>
        <v>12546679.880000001</v>
      </c>
      <c r="E241" s="47">
        <f t="shared" si="29"/>
        <v>630010.12</v>
      </c>
      <c r="F241" s="33">
        <f t="shared" si="30"/>
        <v>51100821.139999881</v>
      </c>
      <c r="G241" s="47">
        <f t="shared" si="31"/>
        <v>38554141.259999879</v>
      </c>
      <c r="H241" s="14">
        <f t="shared" si="24"/>
        <v>630010.12364383414</v>
      </c>
      <c r="I241" s="16">
        <f t="shared" si="25"/>
        <v>3.6438341485336423E-3</v>
      </c>
    </row>
    <row r="242" spans="1:9" x14ac:dyDescent="0.25">
      <c r="A242" s="36">
        <v>49100</v>
      </c>
      <c r="B242" s="71">
        <f t="shared" si="26"/>
        <v>31</v>
      </c>
      <c r="C242" s="33">
        <f t="shared" si="27"/>
        <v>13176690</v>
      </c>
      <c r="D242" s="48">
        <f t="shared" si="28"/>
        <v>12685520.800000001</v>
      </c>
      <c r="E242" s="47">
        <f t="shared" si="29"/>
        <v>491169.2</v>
      </c>
      <c r="F242" s="33">
        <f t="shared" si="30"/>
        <v>38554141.259999879</v>
      </c>
      <c r="G242" s="47">
        <f t="shared" si="31"/>
        <v>25868620.459999878</v>
      </c>
      <c r="H242" s="14">
        <f t="shared" si="24"/>
        <v>491169.19687397103</v>
      </c>
      <c r="I242" s="16">
        <f t="shared" si="25"/>
        <v>-3.1260289833880961E-3</v>
      </c>
    </row>
    <row r="243" spans="1:9" x14ac:dyDescent="0.25">
      <c r="A243" s="36">
        <v>49130</v>
      </c>
      <c r="B243" s="71">
        <f t="shared" si="26"/>
        <v>30</v>
      </c>
      <c r="C243" s="33">
        <f t="shared" si="27"/>
        <v>13176690</v>
      </c>
      <c r="D243" s="48">
        <f t="shared" si="28"/>
        <v>12857761.800000001</v>
      </c>
      <c r="E243" s="47">
        <f t="shared" si="29"/>
        <v>318928.2</v>
      </c>
      <c r="F243" s="33">
        <f t="shared" si="30"/>
        <v>25868620.459999878</v>
      </c>
      <c r="G243" s="47">
        <f t="shared" si="31"/>
        <v>13010858.659999877</v>
      </c>
      <c r="H243" s="14">
        <f t="shared" si="24"/>
        <v>318928.19745205325</v>
      </c>
      <c r="I243" s="16">
        <f t="shared" si="25"/>
        <v>-2.5479467585682869E-3</v>
      </c>
    </row>
    <row r="244" spans="1:9" x14ac:dyDescent="0.25">
      <c r="A244" s="36">
        <v>49161</v>
      </c>
      <c r="B244" s="71">
        <f t="shared" si="26"/>
        <v>31</v>
      </c>
      <c r="C244" s="33">
        <f t="shared" si="27"/>
        <v>13176690</v>
      </c>
      <c r="D244" s="48">
        <f t="shared" si="28"/>
        <v>13010858.659999877</v>
      </c>
      <c r="E244" s="47">
        <v>165831.34000012322</v>
      </c>
      <c r="F244" s="33">
        <f t="shared" si="30"/>
        <v>13010858.659999877</v>
      </c>
      <c r="G244" s="47">
        <f t="shared" si="31"/>
        <v>0</v>
      </c>
      <c r="H244" s="14">
        <f t="shared" si="24"/>
        <v>165754.77470958748</v>
      </c>
      <c r="I244" s="16">
        <f t="shared" si="25"/>
        <v>-76.565290535741951</v>
      </c>
    </row>
    <row r="245" spans="1:9" x14ac:dyDescent="0.25">
      <c r="A245" s="36">
        <v>42160</v>
      </c>
      <c r="B245" s="46">
        <f>A14-A13</f>
        <v>31</v>
      </c>
      <c r="C245" s="33">
        <f t="shared" si="27"/>
        <v>13176690</v>
      </c>
      <c r="D245" s="48">
        <f>C14-E14</f>
        <v>522238.84999999963</v>
      </c>
      <c r="E245" s="47">
        <f>ROUND(F14*$B$2*B14/365,2)</f>
        <v>12654451.15</v>
      </c>
      <c r="F245" s="33">
        <f>G13</f>
        <v>993306380.59000003</v>
      </c>
      <c r="G245" s="47">
        <f>F14-D14</f>
        <v>992784141.74000001</v>
      </c>
      <c r="H245" s="14">
        <f t="shared" si="24"/>
        <v>12654451.149982192</v>
      </c>
      <c r="I245" s="16">
        <f t="shared" si="25"/>
        <v>-1.780875027179718E-5</v>
      </c>
    </row>
    <row r="246" spans="1:9" x14ac:dyDescent="0.25">
      <c r="A246" s="36">
        <v>42190</v>
      </c>
      <c r="B246" s="71">
        <f t="shared" ref="B246" si="32">_xlfn.DAYS(A246,A245)</f>
        <v>30</v>
      </c>
      <c r="C246" s="33">
        <f>$F$1</f>
        <v>13083690</v>
      </c>
      <c r="D246" s="48">
        <f t="shared" ref="D246" si="33">C246-E246</f>
        <v>843885.50999999978</v>
      </c>
      <c r="E246" s="47">
        <f t="shared" ref="E246" si="34">ROUND(F246*$B$2*B246/365,2)</f>
        <v>12239804.49</v>
      </c>
      <c r="F246" s="33">
        <f t="shared" ref="F246" si="35">G245</f>
        <v>992784141.74000001</v>
      </c>
      <c r="G246" s="47">
        <f t="shared" ref="G246" si="36">F246-D246</f>
        <v>991940256.23000002</v>
      </c>
    </row>
    <row r="247" spans="1:9" x14ac:dyDescent="0.25">
      <c r="A247" s="36">
        <v>42221</v>
      </c>
      <c r="B247" s="71">
        <f t="shared" ref="B247:B310" si="37">_xlfn.DAYS(A247,A246)</f>
        <v>31</v>
      </c>
      <c r="C247" s="33">
        <f t="shared" ref="C247:C310" si="38">$F$1</f>
        <v>13083690</v>
      </c>
      <c r="D247" s="48">
        <f t="shared" ref="D247:D310" si="39">C247-E247</f>
        <v>446642.90000000037</v>
      </c>
      <c r="E247" s="47">
        <f t="shared" ref="E247:E310" si="40">ROUND(F247*$B$2*B247/365,2)</f>
        <v>12637047.1</v>
      </c>
      <c r="F247" s="33">
        <f t="shared" ref="F247:F310" si="41">G246</f>
        <v>991940256.23000002</v>
      </c>
      <c r="G247" s="47">
        <f t="shared" ref="G247:G310" si="42">F247-D247</f>
        <v>991493613.33000004</v>
      </c>
    </row>
    <row r="248" spans="1:9" x14ac:dyDescent="0.25">
      <c r="A248" s="36">
        <v>42252</v>
      </c>
      <c r="B248" s="71">
        <f t="shared" si="37"/>
        <v>31</v>
      </c>
      <c r="C248" s="33">
        <f t="shared" si="38"/>
        <v>13083690</v>
      </c>
      <c r="D248" s="48">
        <f t="shared" si="39"/>
        <v>452333.00999999978</v>
      </c>
      <c r="E248" s="47">
        <f t="shared" si="40"/>
        <v>12631356.99</v>
      </c>
      <c r="F248" s="33">
        <f t="shared" si="41"/>
        <v>991493613.33000004</v>
      </c>
      <c r="G248" s="47">
        <f t="shared" si="42"/>
        <v>991041280.32000005</v>
      </c>
    </row>
    <row r="249" spans="1:9" x14ac:dyDescent="0.25">
      <c r="A249" s="36">
        <v>42282</v>
      </c>
      <c r="B249" s="71">
        <f t="shared" si="37"/>
        <v>30</v>
      </c>
      <c r="C249" s="33">
        <f t="shared" si="38"/>
        <v>13083690</v>
      </c>
      <c r="D249" s="48">
        <f t="shared" si="39"/>
        <v>865372.84999999963</v>
      </c>
      <c r="E249" s="47">
        <f t="shared" si="40"/>
        <v>12218317.15</v>
      </c>
      <c r="F249" s="33">
        <f t="shared" si="41"/>
        <v>991041280.32000005</v>
      </c>
      <c r="G249" s="47">
        <f t="shared" si="42"/>
        <v>990175907.47000003</v>
      </c>
    </row>
    <row r="250" spans="1:9" x14ac:dyDescent="0.25">
      <c r="A250" s="36">
        <v>42313</v>
      </c>
      <c r="B250" s="71">
        <f t="shared" si="37"/>
        <v>31</v>
      </c>
      <c r="C250" s="33">
        <f t="shared" si="38"/>
        <v>13083690</v>
      </c>
      <c r="D250" s="48">
        <f t="shared" si="39"/>
        <v>469120.22000000067</v>
      </c>
      <c r="E250" s="47">
        <f t="shared" si="40"/>
        <v>12614569.779999999</v>
      </c>
      <c r="F250" s="33">
        <f t="shared" si="41"/>
        <v>990175907.47000003</v>
      </c>
      <c r="G250" s="47">
        <f t="shared" si="42"/>
        <v>989706787.25</v>
      </c>
    </row>
    <row r="251" spans="1:9" x14ac:dyDescent="0.25">
      <c r="A251" s="36">
        <v>42343</v>
      </c>
      <c r="B251" s="71">
        <f t="shared" si="37"/>
        <v>30</v>
      </c>
      <c r="C251" s="33">
        <f t="shared" si="38"/>
        <v>13083690</v>
      </c>
      <c r="D251" s="48">
        <f t="shared" si="39"/>
        <v>881825.5</v>
      </c>
      <c r="E251" s="47">
        <f t="shared" si="40"/>
        <v>12201864.5</v>
      </c>
      <c r="F251" s="33">
        <f t="shared" si="41"/>
        <v>989706787.25</v>
      </c>
      <c r="G251" s="47">
        <f t="shared" si="42"/>
        <v>988824961.75</v>
      </c>
    </row>
    <row r="252" spans="1:9" x14ac:dyDescent="0.25">
      <c r="A252" s="36">
        <v>42374</v>
      </c>
      <c r="B252" s="71">
        <f t="shared" si="37"/>
        <v>31</v>
      </c>
      <c r="C252" s="33">
        <f t="shared" si="38"/>
        <v>13083690</v>
      </c>
      <c r="D252" s="48">
        <f t="shared" si="39"/>
        <v>486330.90000000037</v>
      </c>
      <c r="E252" s="47">
        <f t="shared" si="40"/>
        <v>12597359.1</v>
      </c>
      <c r="F252" s="33">
        <f t="shared" si="41"/>
        <v>988824961.75</v>
      </c>
      <c r="G252" s="47">
        <f t="shared" si="42"/>
        <v>988338630.85000002</v>
      </c>
    </row>
    <row r="253" spans="1:9" x14ac:dyDescent="0.25">
      <c r="A253" s="36">
        <v>42405</v>
      </c>
      <c r="B253" s="71">
        <f t="shared" si="37"/>
        <v>31</v>
      </c>
      <c r="C253" s="33">
        <f t="shared" si="38"/>
        <v>13083690</v>
      </c>
      <c r="D253" s="48">
        <f t="shared" si="39"/>
        <v>492526.61999999918</v>
      </c>
      <c r="E253" s="47">
        <f t="shared" si="40"/>
        <v>12591163.380000001</v>
      </c>
      <c r="F253" s="33">
        <f t="shared" si="41"/>
        <v>988338630.85000002</v>
      </c>
      <c r="G253" s="47">
        <f t="shared" si="42"/>
        <v>987846104.23000002</v>
      </c>
    </row>
    <row r="254" spans="1:9" x14ac:dyDescent="0.25">
      <c r="A254" s="36">
        <v>42434</v>
      </c>
      <c r="B254" s="71">
        <f t="shared" si="37"/>
        <v>29</v>
      </c>
      <c r="C254" s="33">
        <f t="shared" si="38"/>
        <v>13083690</v>
      </c>
      <c r="D254" s="48">
        <f t="shared" si="39"/>
        <v>1310729.58</v>
      </c>
      <c r="E254" s="47">
        <f t="shared" si="40"/>
        <v>11772960.42</v>
      </c>
      <c r="F254" s="33">
        <f t="shared" si="41"/>
        <v>987846104.23000002</v>
      </c>
      <c r="G254" s="47">
        <f t="shared" si="42"/>
        <v>986535374.64999998</v>
      </c>
    </row>
    <row r="255" spans="1:9" x14ac:dyDescent="0.25">
      <c r="A255" s="36">
        <v>42465</v>
      </c>
      <c r="B255" s="71">
        <f t="shared" si="37"/>
        <v>31</v>
      </c>
      <c r="C255" s="33">
        <f t="shared" si="38"/>
        <v>13083690</v>
      </c>
      <c r="D255" s="48">
        <f t="shared" si="39"/>
        <v>515499.6099999994</v>
      </c>
      <c r="E255" s="47">
        <f t="shared" si="40"/>
        <v>12568190.390000001</v>
      </c>
      <c r="F255" s="33">
        <f t="shared" si="41"/>
        <v>986535374.64999998</v>
      </c>
      <c r="G255" s="47">
        <f t="shared" si="42"/>
        <v>986019875.03999996</v>
      </c>
    </row>
    <row r="256" spans="1:9" x14ac:dyDescent="0.25">
      <c r="A256" s="36">
        <v>42495</v>
      </c>
      <c r="B256" s="71">
        <f t="shared" si="37"/>
        <v>30</v>
      </c>
      <c r="C256" s="33">
        <f t="shared" si="38"/>
        <v>13083690</v>
      </c>
      <c r="D256" s="48">
        <f t="shared" si="39"/>
        <v>927280.58000000007</v>
      </c>
      <c r="E256" s="47">
        <f t="shared" si="40"/>
        <v>12156409.42</v>
      </c>
      <c r="F256" s="33">
        <f t="shared" si="41"/>
        <v>986019875.03999996</v>
      </c>
      <c r="G256" s="47">
        <f t="shared" si="42"/>
        <v>985092594.45999992</v>
      </c>
    </row>
    <row r="257" spans="1:7" x14ac:dyDescent="0.25">
      <c r="A257" s="36">
        <v>42526</v>
      </c>
      <c r="B257" s="71">
        <f t="shared" si="37"/>
        <v>31</v>
      </c>
      <c r="C257" s="33">
        <f t="shared" si="38"/>
        <v>13083690</v>
      </c>
      <c r="D257" s="48">
        <f t="shared" si="39"/>
        <v>533880.23000000045</v>
      </c>
      <c r="E257" s="47">
        <f t="shared" si="40"/>
        <v>12549809.77</v>
      </c>
      <c r="F257" s="33">
        <f t="shared" si="41"/>
        <v>985092594.45999992</v>
      </c>
      <c r="G257" s="47">
        <f t="shared" si="42"/>
        <v>984558714.2299999</v>
      </c>
    </row>
    <row r="258" spans="1:7" x14ac:dyDescent="0.25">
      <c r="A258" s="36">
        <v>42556</v>
      </c>
      <c r="B258" s="71">
        <f t="shared" si="37"/>
        <v>30</v>
      </c>
      <c r="C258" s="33">
        <f t="shared" si="38"/>
        <v>13083690</v>
      </c>
      <c r="D258" s="48">
        <f t="shared" si="39"/>
        <v>945294.8900000006</v>
      </c>
      <c r="E258" s="47">
        <f t="shared" si="40"/>
        <v>12138395.109999999</v>
      </c>
      <c r="F258" s="33">
        <f t="shared" si="41"/>
        <v>984558714.2299999</v>
      </c>
      <c r="G258" s="47">
        <f t="shared" si="42"/>
        <v>983613419.33999991</v>
      </c>
    </row>
    <row r="259" spans="1:7" x14ac:dyDescent="0.25">
      <c r="A259" s="36">
        <v>42587</v>
      </c>
      <c r="B259" s="71">
        <f t="shared" si="37"/>
        <v>31</v>
      </c>
      <c r="C259" s="33">
        <f t="shared" si="38"/>
        <v>13083690</v>
      </c>
      <c r="D259" s="48">
        <f t="shared" si="39"/>
        <v>552724.51999999955</v>
      </c>
      <c r="E259" s="47">
        <f t="shared" si="40"/>
        <v>12530965.48</v>
      </c>
      <c r="F259" s="33">
        <f t="shared" si="41"/>
        <v>983613419.33999991</v>
      </c>
      <c r="G259" s="47">
        <f t="shared" si="42"/>
        <v>983060694.81999993</v>
      </c>
    </row>
    <row r="260" spans="1:7" x14ac:dyDescent="0.25">
      <c r="A260" s="36">
        <v>42618</v>
      </c>
      <c r="B260" s="71">
        <f t="shared" si="37"/>
        <v>31</v>
      </c>
      <c r="C260" s="33">
        <f t="shared" si="38"/>
        <v>13083690</v>
      </c>
      <c r="D260" s="48">
        <f t="shared" si="39"/>
        <v>559766.08000000007</v>
      </c>
      <c r="E260" s="47">
        <f t="shared" si="40"/>
        <v>12523923.92</v>
      </c>
      <c r="F260" s="33">
        <f t="shared" si="41"/>
        <v>983060694.81999993</v>
      </c>
      <c r="G260" s="47">
        <f t="shared" si="42"/>
        <v>982500928.73999989</v>
      </c>
    </row>
    <row r="261" spans="1:7" x14ac:dyDescent="0.25">
      <c r="A261" s="36">
        <v>42648</v>
      </c>
      <c r="B261" s="71">
        <f t="shared" si="37"/>
        <v>30</v>
      </c>
      <c r="C261" s="33">
        <f t="shared" si="38"/>
        <v>13083690</v>
      </c>
      <c r="D261" s="48">
        <f t="shared" si="39"/>
        <v>970664.84999999963</v>
      </c>
      <c r="E261" s="47">
        <f t="shared" si="40"/>
        <v>12113025.15</v>
      </c>
      <c r="F261" s="33">
        <f t="shared" si="41"/>
        <v>982500928.73999989</v>
      </c>
      <c r="G261" s="47">
        <f t="shared" si="42"/>
        <v>981530263.88999987</v>
      </c>
    </row>
    <row r="262" spans="1:7" x14ac:dyDescent="0.25">
      <c r="A262" s="36">
        <v>42679</v>
      </c>
      <c r="B262" s="71">
        <f t="shared" si="37"/>
        <v>31</v>
      </c>
      <c r="C262" s="33">
        <f t="shared" si="38"/>
        <v>13083690</v>
      </c>
      <c r="D262" s="48">
        <f t="shared" si="39"/>
        <v>579263.34999999963</v>
      </c>
      <c r="E262" s="47">
        <f t="shared" si="40"/>
        <v>12504426.65</v>
      </c>
      <c r="F262" s="33">
        <f t="shared" si="41"/>
        <v>981530263.88999987</v>
      </c>
      <c r="G262" s="47">
        <f t="shared" si="42"/>
        <v>980951000.53999984</v>
      </c>
    </row>
    <row r="263" spans="1:7" x14ac:dyDescent="0.25">
      <c r="A263" s="36">
        <v>42709</v>
      </c>
      <c r="B263" s="71">
        <f t="shared" si="37"/>
        <v>30</v>
      </c>
      <c r="C263" s="33">
        <f t="shared" si="38"/>
        <v>13083690</v>
      </c>
      <c r="D263" s="48">
        <f t="shared" si="39"/>
        <v>989773.55000000075</v>
      </c>
      <c r="E263" s="47">
        <f t="shared" si="40"/>
        <v>12093916.449999999</v>
      </c>
      <c r="F263" s="33">
        <f t="shared" si="41"/>
        <v>980951000.53999984</v>
      </c>
      <c r="G263" s="47">
        <f t="shared" si="42"/>
        <v>979961226.98999989</v>
      </c>
    </row>
    <row r="264" spans="1:7" x14ac:dyDescent="0.25">
      <c r="A264" s="36">
        <v>42740</v>
      </c>
      <c r="B264" s="71">
        <f t="shared" si="37"/>
        <v>31</v>
      </c>
      <c r="C264" s="33">
        <f t="shared" si="38"/>
        <v>13083690</v>
      </c>
      <c r="D264" s="48">
        <f t="shared" si="39"/>
        <v>599252.44999999925</v>
      </c>
      <c r="E264" s="47">
        <f t="shared" si="40"/>
        <v>12484437.550000001</v>
      </c>
      <c r="F264" s="33">
        <f t="shared" si="41"/>
        <v>979961226.98999989</v>
      </c>
      <c r="G264" s="47">
        <f t="shared" si="42"/>
        <v>979361974.53999984</v>
      </c>
    </row>
    <row r="265" spans="1:7" x14ac:dyDescent="0.25">
      <c r="A265" s="36">
        <v>42771</v>
      </c>
      <c r="B265" s="71">
        <f t="shared" si="37"/>
        <v>31</v>
      </c>
      <c r="C265" s="33">
        <f t="shared" si="38"/>
        <v>13083690</v>
      </c>
      <c r="D265" s="48">
        <f t="shared" si="39"/>
        <v>606886.75999999978</v>
      </c>
      <c r="E265" s="47">
        <f t="shared" si="40"/>
        <v>12476803.24</v>
      </c>
      <c r="F265" s="33">
        <f t="shared" si="41"/>
        <v>979361974.53999984</v>
      </c>
      <c r="G265" s="47">
        <f t="shared" si="42"/>
        <v>978755087.77999985</v>
      </c>
    </row>
    <row r="266" spans="1:7" x14ac:dyDescent="0.25">
      <c r="A266" s="36">
        <v>42799</v>
      </c>
      <c r="B266" s="71">
        <f t="shared" si="37"/>
        <v>28</v>
      </c>
      <c r="C266" s="33">
        <f t="shared" si="38"/>
        <v>13083690</v>
      </c>
      <c r="D266" s="48">
        <f t="shared" si="39"/>
        <v>1821302.6899999995</v>
      </c>
      <c r="E266" s="47">
        <f t="shared" si="40"/>
        <v>11262387.310000001</v>
      </c>
      <c r="F266" s="33">
        <f t="shared" si="41"/>
        <v>978755087.77999985</v>
      </c>
      <c r="G266" s="47">
        <f t="shared" si="42"/>
        <v>976933785.08999979</v>
      </c>
    </row>
    <row r="267" spans="1:7" x14ac:dyDescent="0.25">
      <c r="A267" s="36">
        <v>42830</v>
      </c>
      <c r="B267" s="71">
        <f t="shared" si="37"/>
        <v>31</v>
      </c>
      <c r="C267" s="33">
        <f t="shared" si="38"/>
        <v>13083690</v>
      </c>
      <c r="D267" s="48">
        <f t="shared" si="39"/>
        <v>637821.23000000045</v>
      </c>
      <c r="E267" s="47">
        <f t="shared" si="40"/>
        <v>12445868.77</v>
      </c>
      <c r="F267" s="33">
        <f t="shared" si="41"/>
        <v>976933785.08999979</v>
      </c>
      <c r="G267" s="47">
        <f t="shared" si="42"/>
        <v>976295963.85999978</v>
      </c>
    </row>
    <row r="268" spans="1:7" x14ac:dyDescent="0.25">
      <c r="A268" s="36">
        <v>42860</v>
      </c>
      <c r="B268" s="71">
        <f t="shared" si="37"/>
        <v>30</v>
      </c>
      <c r="C268" s="33">
        <f t="shared" si="38"/>
        <v>13083690</v>
      </c>
      <c r="D268" s="48">
        <f t="shared" si="39"/>
        <v>1047164.4199999999</v>
      </c>
      <c r="E268" s="47">
        <f t="shared" si="40"/>
        <v>12036525.58</v>
      </c>
      <c r="F268" s="33">
        <f t="shared" si="41"/>
        <v>976295963.85999978</v>
      </c>
      <c r="G268" s="47">
        <f t="shared" si="42"/>
        <v>975248799.43999982</v>
      </c>
    </row>
    <row r="269" spans="1:7" x14ac:dyDescent="0.25">
      <c r="A269" s="36">
        <v>42891</v>
      </c>
      <c r="B269" s="71">
        <f t="shared" si="37"/>
        <v>31</v>
      </c>
      <c r="C269" s="33">
        <f t="shared" si="38"/>
        <v>13083690</v>
      </c>
      <c r="D269" s="48">
        <f t="shared" si="39"/>
        <v>659287.49000000022</v>
      </c>
      <c r="E269" s="47">
        <f t="shared" si="40"/>
        <v>12424402.51</v>
      </c>
      <c r="F269" s="33">
        <f t="shared" si="41"/>
        <v>975248799.43999982</v>
      </c>
      <c r="G269" s="47">
        <f t="shared" si="42"/>
        <v>974589511.94999981</v>
      </c>
    </row>
    <row r="270" spans="1:7" x14ac:dyDescent="0.25">
      <c r="A270" s="36">
        <v>42921</v>
      </c>
      <c r="B270" s="71">
        <f t="shared" si="37"/>
        <v>30</v>
      </c>
      <c r="C270" s="33">
        <f t="shared" si="38"/>
        <v>13083690</v>
      </c>
      <c r="D270" s="48">
        <f t="shared" si="39"/>
        <v>1068202.8699999992</v>
      </c>
      <c r="E270" s="47">
        <f t="shared" si="40"/>
        <v>12015487.130000001</v>
      </c>
      <c r="F270" s="33">
        <f t="shared" si="41"/>
        <v>974589511.94999981</v>
      </c>
      <c r="G270" s="47">
        <f t="shared" si="42"/>
        <v>973521309.0799998</v>
      </c>
    </row>
    <row r="271" spans="1:7" x14ac:dyDescent="0.25">
      <c r="A271" s="36">
        <v>42952</v>
      </c>
      <c r="B271" s="71">
        <f t="shared" si="37"/>
        <v>31</v>
      </c>
      <c r="C271" s="33">
        <f t="shared" si="38"/>
        <v>13083690</v>
      </c>
      <c r="D271" s="48">
        <f t="shared" si="39"/>
        <v>681295.24000000022</v>
      </c>
      <c r="E271" s="47">
        <f t="shared" si="40"/>
        <v>12402394.76</v>
      </c>
      <c r="F271" s="33">
        <f t="shared" si="41"/>
        <v>973521309.0799998</v>
      </c>
      <c r="G271" s="47">
        <f t="shared" si="42"/>
        <v>972840013.83999979</v>
      </c>
    </row>
    <row r="272" spans="1:7" x14ac:dyDescent="0.25">
      <c r="A272" s="36">
        <v>42983</v>
      </c>
      <c r="B272" s="71">
        <f t="shared" si="37"/>
        <v>31</v>
      </c>
      <c r="C272" s="33">
        <f t="shared" si="38"/>
        <v>13083690</v>
      </c>
      <c r="D272" s="48">
        <f t="shared" si="39"/>
        <v>689974.75999999978</v>
      </c>
      <c r="E272" s="47">
        <f t="shared" si="40"/>
        <v>12393715.24</v>
      </c>
      <c r="F272" s="33">
        <f t="shared" si="41"/>
        <v>972840013.83999979</v>
      </c>
      <c r="G272" s="47">
        <f t="shared" si="42"/>
        <v>972150039.0799998</v>
      </c>
    </row>
    <row r="273" spans="1:7" x14ac:dyDescent="0.25">
      <c r="A273" s="36">
        <v>43013</v>
      </c>
      <c r="B273" s="71">
        <f t="shared" si="37"/>
        <v>30</v>
      </c>
      <c r="C273" s="33">
        <f t="shared" si="38"/>
        <v>13083690</v>
      </c>
      <c r="D273" s="48">
        <f t="shared" si="39"/>
        <v>1098278.5600000005</v>
      </c>
      <c r="E273" s="47">
        <f t="shared" si="40"/>
        <v>11985411.439999999</v>
      </c>
      <c r="F273" s="33">
        <f t="shared" si="41"/>
        <v>972150039.0799998</v>
      </c>
      <c r="G273" s="47">
        <f t="shared" si="42"/>
        <v>971051760.51999986</v>
      </c>
    </row>
    <row r="274" spans="1:7" x14ac:dyDescent="0.25">
      <c r="A274" s="36">
        <v>43044</v>
      </c>
      <c r="B274" s="71">
        <f t="shared" si="37"/>
        <v>31</v>
      </c>
      <c r="C274" s="33">
        <f t="shared" si="38"/>
        <v>13083690</v>
      </c>
      <c r="D274" s="48">
        <f t="shared" si="39"/>
        <v>712756.6099999994</v>
      </c>
      <c r="E274" s="47">
        <f t="shared" si="40"/>
        <v>12370933.390000001</v>
      </c>
      <c r="F274" s="33">
        <f t="shared" si="41"/>
        <v>971051760.51999986</v>
      </c>
      <c r="G274" s="47">
        <f t="shared" si="42"/>
        <v>970339003.90999985</v>
      </c>
    </row>
    <row r="275" spans="1:7" x14ac:dyDescent="0.25">
      <c r="A275" s="36">
        <v>43074</v>
      </c>
      <c r="B275" s="71">
        <f t="shared" si="37"/>
        <v>30</v>
      </c>
      <c r="C275" s="33">
        <f t="shared" si="38"/>
        <v>13083690</v>
      </c>
      <c r="D275" s="48">
        <f t="shared" si="39"/>
        <v>1120606.3900000006</v>
      </c>
      <c r="E275" s="47">
        <f t="shared" si="40"/>
        <v>11963083.609999999</v>
      </c>
      <c r="F275" s="33">
        <f t="shared" si="41"/>
        <v>970339003.90999985</v>
      </c>
      <c r="G275" s="47">
        <f t="shared" si="42"/>
        <v>969218397.51999986</v>
      </c>
    </row>
    <row r="276" spans="1:7" x14ac:dyDescent="0.25">
      <c r="A276" s="36">
        <v>43105</v>
      </c>
      <c r="B276" s="71">
        <f t="shared" si="37"/>
        <v>31</v>
      </c>
      <c r="C276" s="33">
        <f t="shared" si="38"/>
        <v>13083690</v>
      </c>
      <c r="D276" s="48">
        <f t="shared" si="39"/>
        <v>736113.15000000037</v>
      </c>
      <c r="E276" s="47">
        <f t="shared" si="40"/>
        <v>12347576.85</v>
      </c>
      <c r="F276" s="33">
        <f t="shared" si="41"/>
        <v>969218397.51999986</v>
      </c>
      <c r="G276" s="47">
        <f t="shared" si="42"/>
        <v>968482284.36999989</v>
      </c>
    </row>
    <row r="277" spans="1:7" x14ac:dyDescent="0.25">
      <c r="A277" s="36">
        <v>43136</v>
      </c>
      <c r="B277" s="71">
        <f t="shared" si="37"/>
        <v>31</v>
      </c>
      <c r="C277" s="33">
        <f t="shared" si="38"/>
        <v>13083690</v>
      </c>
      <c r="D277" s="48">
        <f t="shared" si="39"/>
        <v>745491.02999999933</v>
      </c>
      <c r="E277" s="47">
        <f t="shared" si="40"/>
        <v>12338198.970000001</v>
      </c>
      <c r="F277" s="33">
        <f t="shared" si="41"/>
        <v>968482284.36999989</v>
      </c>
      <c r="G277" s="47">
        <f t="shared" si="42"/>
        <v>967736793.33999991</v>
      </c>
    </row>
    <row r="278" spans="1:7" x14ac:dyDescent="0.25">
      <c r="A278" s="36">
        <v>43164</v>
      </c>
      <c r="B278" s="71">
        <f t="shared" si="37"/>
        <v>28</v>
      </c>
      <c r="C278" s="33">
        <f t="shared" si="38"/>
        <v>13083690</v>
      </c>
      <c r="D278" s="48">
        <f t="shared" si="39"/>
        <v>1948088.5399999991</v>
      </c>
      <c r="E278" s="47">
        <f t="shared" si="40"/>
        <v>11135601.460000001</v>
      </c>
      <c r="F278" s="33">
        <f t="shared" si="41"/>
        <v>967736793.33999991</v>
      </c>
      <c r="G278" s="47">
        <f t="shared" si="42"/>
        <v>965788704.79999995</v>
      </c>
    </row>
    <row r="279" spans="1:7" x14ac:dyDescent="0.25">
      <c r="A279" s="36">
        <v>43195</v>
      </c>
      <c r="B279" s="71">
        <f t="shared" si="37"/>
        <v>31</v>
      </c>
      <c r="C279" s="33">
        <f t="shared" si="38"/>
        <v>13083690</v>
      </c>
      <c r="D279" s="48">
        <f t="shared" si="39"/>
        <v>779806.5</v>
      </c>
      <c r="E279" s="47">
        <f t="shared" si="40"/>
        <v>12303883.5</v>
      </c>
      <c r="F279" s="33">
        <f t="shared" si="41"/>
        <v>965788704.79999995</v>
      </c>
      <c r="G279" s="47">
        <f t="shared" si="42"/>
        <v>965008898.29999995</v>
      </c>
    </row>
    <row r="280" spans="1:7" x14ac:dyDescent="0.25">
      <c r="A280" s="36">
        <v>43225</v>
      </c>
      <c r="B280" s="71">
        <f t="shared" si="37"/>
        <v>30</v>
      </c>
      <c r="C280" s="33">
        <f t="shared" si="38"/>
        <v>13083690</v>
      </c>
      <c r="D280" s="48">
        <f t="shared" si="39"/>
        <v>1186320.0199999996</v>
      </c>
      <c r="E280" s="47">
        <f t="shared" si="40"/>
        <v>11897369.98</v>
      </c>
      <c r="F280" s="33">
        <f t="shared" si="41"/>
        <v>965008898.29999995</v>
      </c>
      <c r="G280" s="47">
        <f t="shared" si="42"/>
        <v>963822578.27999997</v>
      </c>
    </row>
    <row r="281" spans="1:7" x14ac:dyDescent="0.25">
      <c r="A281" s="36">
        <v>43256</v>
      </c>
      <c r="B281" s="71">
        <f t="shared" si="37"/>
        <v>31</v>
      </c>
      <c r="C281" s="33">
        <f t="shared" si="38"/>
        <v>13083690</v>
      </c>
      <c r="D281" s="48">
        <f t="shared" si="39"/>
        <v>804854.41000000015</v>
      </c>
      <c r="E281" s="47">
        <f t="shared" si="40"/>
        <v>12278835.59</v>
      </c>
      <c r="F281" s="33">
        <f t="shared" si="41"/>
        <v>963822578.27999997</v>
      </c>
      <c r="G281" s="47">
        <f t="shared" si="42"/>
        <v>963017723.87</v>
      </c>
    </row>
    <row r="282" spans="1:7" x14ac:dyDescent="0.25">
      <c r="A282" s="36">
        <v>43286</v>
      </c>
      <c r="B282" s="71">
        <f t="shared" si="37"/>
        <v>30</v>
      </c>
      <c r="C282" s="33">
        <f t="shared" si="38"/>
        <v>13083690</v>
      </c>
      <c r="D282" s="48">
        <f t="shared" si="39"/>
        <v>1210868.75</v>
      </c>
      <c r="E282" s="47">
        <f t="shared" si="40"/>
        <v>11872821.25</v>
      </c>
      <c r="F282" s="33">
        <f t="shared" si="41"/>
        <v>963017723.87</v>
      </c>
      <c r="G282" s="47">
        <f t="shared" si="42"/>
        <v>961806855.12</v>
      </c>
    </row>
    <row r="283" spans="1:7" x14ac:dyDescent="0.25">
      <c r="A283" s="36">
        <v>43317</v>
      </c>
      <c r="B283" s="71">
        <f t="shared" si="37"/>
        <v>31</v>
      </c>
      <c r="C283" s="33">
        <f t="shared" si="38"/>
        <v>13083690</v>
      </c>
      <c r="D283" s="48">
        <f t="shared" si="39"/>
        <v>830534.16999999993</v>
      </c>
      <c r="E283" s="47">
        <f t="shared" si="40"/>
        <v>12253155.83</v>
      </c>
      <c r="F283" s="33">
        <f t="shared" si="41"/>
        <v>961806855.12</v>
      </c>
      <c r="G283" s="47">
        <f t="shared" si="42"/>
        <v>960976320.95000005</v>
      </c>
    </row>
    <row r="284" spans="1:7" x14ac:dyDescent="0.25">
      <c r="A284" s="36">
        <v>43348</v>
      </c>
      <c r="B284" s="71">
        <f t="shared" si="37"/>
        <v>31</v>
      </c>
      <c r="C284" s="33">
        <f t="shared" si="38"/>
        <v>13083690</v>
      </c>
      <c r="D284" s="48">
        <f t="shared" si="39"/>
        <v>841114.94999999925</v>
      </c>
      <c r="E284" s="47">
        <f t="shared" si="40"/>
        <v>12242575.050000001</v>
      </c>
      <c r="F284" s="33">
        <f t="shared" si="41"/>
        <v>960976320.95000005</v>
      </c>
      <c r="G284" s="47">
        <f t="shared" si="42"/>
        <v>960135206</v>
      </c>
    </row>
    <row r="285" spans="1:7" x14ac:dyDescent="0.25">
      <c r="A285" s="36">
        <v>43378</v>
      </c>
      <c r="B285" s="71">
        <f t="shared" si="37"/>
        <v>30</v>
      </c>
      <c r="C285" s="33">
        <f t="shared" si="38"/>
        <v>13083690</v>
      </c>
      <c r="D285" s="48">
        <f t="shared" si="39"/>
        <v>1246406.6400000006</v>
      </c>
      <c r="E285" s="47">
        <f t="shared" si="40"/>
        <v>11837283.359999999</v>
      </c>
      <c r="F285" s="33">
        <f t="shared" si="41"/>
        <v>960135206</v>
      </c>
      <c r="G285" s="47">
        <f t="shared" si="42"/>
        <v>958888799.36000001</v>
      </c>
    </row>
    <row r="286" spans="1:7" x14ac:dyDescent="0.25">
      <c r="A286" s="36">
        <v>43409</v>
      </c>
      <c r="B286" s="71">
        <f t="shared" si="37"/>
        <v>31</v>
      </c>
      <c r="C286" s="33">
        <f t="shared" si="38"/>
        <v>13083690</v>
      </c>
      <c r="D286" s="48">
        <f t="shared" si="39"/>
        <v>867709.41000000015</v>
      </c>
      <c r="E286" s="47">
        <f t="shared" si="40"/>
        <v>12215980.59</v>
      </c>
      <c r="F286" s="33">
        <f t="shared" si="41"/>
        <v>958888799.36000001</v>
      </c>
      <c r="G286" s="47">
        <f t="shared" si="42"/>
        <v>958021089.95000005</v>
      </c>
    </row>
    <row r="287" spans="1:7" x14ac:dyDescent="0.25">
      <c r="A287" s="36">
        <v>43439</v>
      </c>
      <c r="B287" s="71">
        <f t="shared" si="37"/>
        <v>30</v>
      </c>
      <c r="C287" s="33">
        <f t="shared" si="38"/>
        <v>13083690</v>
      </c>
      <c r="D287" s="48">
        <f t="shared" si="39"/>
        <v>1272471.08</v>
      </c>
      <c r="E287" s="47">
        <f t="shared" si="40"/>
        <v>11811218.92</v>
      </c>
      <c r="F287" s="33">
        <f t="shared" si="41"/>
        <v>958021089.95000005</v>
      </c>
      <c r="G287" s="47">
        <f t="shared" si="42"/>
        <v>956748618.87</v>
      </c>
    </row>
    <row r="288" spans="1:7" x14ac:dyDescent="0.25">
      <c r="A288" s="36">
        <v>43470</v>
      </c>
      <c r="B288" s="71">
        <f t="shared" si="37"/>
        <v>31</v>
      </c>
      <c r="C288" s="33">
        <f t="shared" si="38"/>
        <v>13083690</v>
      </c>
      <c r="D288" s="48">
        <f t="shared" si="39"/>
        <v>894974.72000000067</v>
      </c>
      <c r="E288" s="47">
        <f t="shared" si="40"/>
        <v>12188715.279999999</v>
      </c>
      <c r="F288" s="33">
        <f t="shared" si="41"/>
        <v>956748618.87</v>
      </c>
      <c r="G288" s="47">
        <f t="shared" si="42"/>
        <v>955853644.14999998</v>
      </c>
    </row>
    <row r="289" spans="1:7" x14ac:dyDescent="0.25">
      <c r="A289" s="36">
        <v>43501</v>
      </c>
      <c r="B289" s="71">
        <f t="shared" si="37"/>
        <v>31</v>
      </c>
      <c r="C289" s="33">
        <f t="shared" si="38"/>
        <v>13083690</v>
      </c>
      <c r="D289" s="48">
        <f t="shared" si="39"/>
        <v>906376.44999999925</v>
      </c>
      <c r="E289" s="47">
        <f t="shared" si="40"/>
        <v>12177313.550000001</v>
      </c>
      <c r="F289" s="33">
        <f t="shared" si="41"/>
        <v>955853644.14999998</v>
      </c>
      <c r="G289" s="47">
        <f t="shared" si="42"/>
        <v>954947267.69999993</v>
      </c>
    </row>
    <row r="290" spans="1:7" x14ac:dyDescent="0.25">
      <c r="A290" s="36">
        <v>43529</v>
      </c>
      <c r="B290" s="71">
        <f t="shared" si="37"/>
        <v>28</v>
      </c>
      <c r="C290" s="33">
        <f t="shared" si="38"/>
        <v>13083690</v>
      </c>
      <c r="D290" s="48">
        <f t="shared" si="39"/>
        <v>2095255.6899999995</v>
      </c>
      <c r="E290" s="47">
        <f t="shared" si="40"/>
        <v>10988434.310000001</v>
      </c>
      <c r="F290" s="33">
        <f t="shared" si="41"/>
        <v>954947267.69999993</v>
      </c>
      <c r="G290" s="47">
        <f t="shared" si="42"/>
        <v>952852012.00999987</v>
      </c>
    </row>
    <row r="291" spans="1:7" x14ac:dyDescent="0.25">
      <c r="A291" s="36">
        <v>43560</v>
      </c>
      <c r="B291" s="71">
        <f t="shared" si="37"/>
        <v>31</v>
      </c>
      <c r="C291" s="33">
        <f t="shared" si="38"/>
        <v>13083690</v>
      </c>
      <c r="D291" s="48">
        <f t="shared" si="39"/>
        <v>944616.41999999993</v>
      </c>
      <c r="E291" s="47">
        <f t="shared" si="40"/>
        <v>12139073.58</v>
      </c>
      <c r="F291" s="33">
        <f t="shared" si="41"/>
        <v>952852012.00999987</v>
      </c>
      <c r="G291" s="47">
        <f t="shared" si="42"/>
        <v>951907395.58999991</v>
      </c>
    </row>
    <row r="292" spans="1:7" x14ac:dyDescent="0.25">
      <c r="A292" s="36">
        <v>43590</v>
      </c>
      <c r="B292" s="71">
        <f t="shared" si="37"/>
        <v>30</v>
      </c>
      <c r="C292" s="33">
        <f t="shared" si="38"/>
        <v>13083690</v>
      </c>
      <c r="D292" s="48">
        <f t="shared" si="39"/>
        <v>1347845.4000000004</v>
      </c>
      <c r="E292" s="47">
        <f t="shared" si="40"/>
        <v>11735844.6</v>
      </c>
      <c r="F292" s="33">
        <f t="shared" si="41"/>
        <v>951907395.58999991</v>
      </c>
      <c r="G292" s="47">
        <f t="shared" si="42"/>
        <v>950559550.18999994</v>
      </c>
    </row>
    <row r="293" spans="1:7" x14ac:dyDescent="0.25">
      <c r="A293" s="36">
        <v>43621</v>
      </c>
      <c r="B293" s="71">
        <f t="shared" si="37"/>
        <v>31</v>
      </c>
      <c r="C293" s="33">
        <f t="shared" si="38"/>
        <v>13083690</v>
      </c>
      <c r="D293" s="48">
        <f t="shared" si="39"/>
        <v>973821.75999999978</v>
      </c>
      <c r="E293" s="47">
        <f t="shared" si="40"/>
        <v>12109868.24</v>
      </c>
      <c r="F293" s="33">
        <f t="shared" si="41"/>
        <v>950559550.18999994</v>
      </c>
      <c r="G293" s="47">
        <f t="shared" si="42"/>
        <v>949585728.42999995</v>
      </c>
    </row>
    <row r="294" spans="1:7" x14ac:dyDescent="0.25">
      <c r="A294" s="36">
        <v>43651</v>
      </c>
      <c r="B294" s="71">
        <f t="shared" si="37"/>
        <v>30</v>
      </c>
      <c r="C294" s="33">
        <f t="shared" si="38"/>
        <v>13083690</v>
      </c>
      <c r="D294" s="48">
        <f t="shared" si="39"/>
        <v>1376468.6899999995</v>
      </c>
      <c r="E294" s="47">
        <f t="shared" si="40"/>
        <v>11707221.310000001</v>
      </c>
      <c r="F294" s="33">
        <f t="shared" si="41"/>
        <v>949585728.42999995</v>
      </c>
      <c r="G294" s="47">
        <f t="shared" si="42"/>
        <v>948209259.73999989</v>
      </c>
    </row>
    <row r="295" spans="1:7" x14ac:dyDescent="0.25">
      <c r="A295" s="36">
        <v>43682</v>
      </c>
      <c r="B295" s="71">
        <f t="shared" si="37"/>
        <v>31</v>
      </c>
      <c r="C295" s="33">
        <f t="shared" si="38"/>
        <v>13083690</v>
      </c>
      <c r="D295" s="48">
        <f t="shared" si="39"/>
        <v>1003763.8100000005</v>
      </c>
      <c r="E295" s="47">
        <f t="shared" si="40"/>
        <v>12079926.189999999</v>
      </c>
      <c r="F295" s="33">
        <f t="shared" si="41"/>
        <v>948209259.73999989</v>
      </c>
      <c r="G295" s="47">
        <f t="shared" si="42"/>
        <v>947205495.92999995</v>
      </c>
    </row>
    <row r="296" spans="1:7" x14ac:dyDescent="0.25">
      <c r="A296" s="36">
        <v>43713</v>
      </c>
      <c r="B296" s="71">
        <f t="shared" si="37"/>
        <v>31</v>
      </c>
      <c r="C296" s="33">
        <f t="shared" si="38"/>
        <v>13083690</v>
      </c>
      <c r="D296" s="48">
        <f t="shared" si="39"/>
        <v>1016551.4900000002</v>
      </c>
      <c r="E296" s="47">
        <f t="shared" si="40"/>
        <v>12067138.51</v>
      </c>
      <c r="F296" s="33">
        <f t="shared" si="41"/>
        <v>947205495.92999995</v>
      </c>
      <c r="G296" s="47">
        <f t="shared" si="42"/>
        <v>946188944.43999994</v>
      </c>
    </row>
    <row r="297" spans="1:7" x14ac:dyDescent="0.25">
      <c r="A297" s="36">
        <v>43743</v>
      </c>
      <c r="B297" s="71">
        <f t="shared" si="37"/>
        <v>30</v>
      </c>
      <c r="C297" s="33">
        <f t="shared" si="38"/>
        <v>13083690</v>
      </c>
      <c r="D297" s="48">
        <f t="shared" si="39"/>
        <v>1418346.8499999996</v>
      </c>
      <c r="E297" s="47">
        <f t="shared" si="40"/>
        <v>11665343.15</v>
      </c>
      <c r="F297" s="33">
        <f t="shared" si="41"/>
        <v>946188944.43999994</v>
      </c>
      <c r="G297" s="47">
        <f t="shared" si="42"/>
        <v>944770597.58999991</v>
      </c>
    </row>
    <row r="298" spans="1:7" x14ac:dyDescent="0.25">
      <c r="A298" s="36">
        <v>43774</v>
      </c>
      <c r="B298" s="71">
        <f t="shared" si="37"/>
        <v>31</v>
      </c>
      <c r="C298" s="33">
        <f t="shared" si="38"/>
        <v>13083690</v>
      </c>
      <c r="D298" s="48">
        <f t="shared" si="39"/>
        <v>1047571.4299999997</v>
      </c>
      <c r="E298" s="47">
        <f t="shared" si="40"/>
        <v>12036118.57</v>
      </c>
      <c r="F298" s="33">
        <f t="shared" si="41"/>
        <v>944770597.58999991</v>
      </c>
      <c r="G298" s="47">
        <f t="shared" si="42"/>
        <v>943723026.15999997</v>
      </c>
    </row>
    <row r="299" spans="1:7" x14ac:dyDescent="0.25">
      <c r="A299" s="36">
        <v>43804</v>
      </c>
      <c r="B299" s="71">
        <f t="shared" si="37"/>
        <v>30</v>
      </c>
      <c r="C299" s="33">
        <f t="shared" si="38"/>
        <v>13083690</v>
      </c>
      <c r="D299" s="48">
        <f t="shared" si="39"/>
        <v>1448748.58</v>
      </c>
      <c r="E299" s="47">
        <f t="shared" si="40"/>
        <v>11634941.42</v>
      </c>
      <c r="F299" s="33">
        <f t="shared" si="41"/>
        <v>943723026.15999997</v>
      </c>
      <c r="G299" s="47">
        <f t="shared" si="42"/>
        <v>942274277.57999992</v>
      </c>
    </row>
    <row r="300" spans="1:7" x14ac:dyDescent="0.25">
      <c r="A300" s="36">
        <v>43835</v>
      </c>
      <c r="B300" s="71">
        <f t="shared" si="37"/>
        <v>31</v>
      </c>
      <c r="C300" s="33">
        <f t="shared" si="38"/>
        <v>13083690</v>
      </c>
      <c r="D300" s="48">
        <f t="shared" si="39"/>
        <v>1079373.8599999994</v>
      </c>
      <c r="E300" s="47">
        <f t="shared" si="40"/>
        <v>12004316.140000001</v>
      </c>
      <c r="F300" s="33">
        <f t="shared" si="41"/>
        <v>942274277.57999992</v>
      </c>
      <c r="G300" s="47">
        <f t="shared" si="42"/>
        <v>941194903.71999991</v>
      </c>
    </row>
    <row r="301" spans="1:7" x14ac:dyDescent="0.25">
      <c r="A301" s="36">
        <v>43866</v>
      </c>
      <c r="B301" s="71">
        <f t="shared" si="37"/>
        <v>31</v>
      </c>
      <c r="C301" s="33">
        <f t="shared" si="38"/>
        <v>13083690</v>
      </c>
      <c r="D301" s="48">
        <f t="shared" si="39"/>
        <v>1093124.7899999991</v>
      </c>
      <c r="E301" s="47">
        <f t="shared" si="40"/>
        <v>11990565.210000001</v>
      </c>
      <c r="F301" s="33">
        <f t="shared" si="41"/>
        <v>941194903.71999991</v>
      </c>
      <c r="G301" s="47">
        <f t="shared" si="42"/>
        <v>940101778.92999995</v>
      </c>
    </row>
    <row r="302" spans="1:7" x14ac:dyDescent="0.25">
      <c r="A302" s="36">
        <v>43895</v>
      </c>
      <c r="B302" s="71">
        <f t="shared" si="37"/>
        <v>29</v>
      </c>
      <c r="C302" s="33">
        <f t="shared" si="38"/>
        <v>13083690</v>
      </c>
      <c r="D302" s="48">
        <f t="shared" si="39"/>
        <v>1879737.2899999991</v>
      </c>
      <c r="E302" s="47">
        <f t="shared" si="40"/>
        <v>11203952.710000001</v>
      </c>
      <c r="F302" s="33">
        <f t="shared" si="41"/>
        <v>940101778.92999995</v>
      </c>
      <c r="G302" s="47">
        <f t="shared" si="42"/>
        <v>938222041.63999999</v>
      </c>
    </row>
    <row r="303" spans="1:7" x14ac:dyDescent="0.25">
      <c r="A303" s="36">
        <v>43926</v>
      </c>
      <c r="B303" s="71">
        <f t="shared" si="37"/>
        <v>31</v>
      </c>
      <c r="C303" s="33">
        <f t="shared" si="38"/>
        <v>13083690</v>
      </c>
      <c r="D303" s="48">
        <f t="shared" si="39"/>
        <v>1130998.2400000002</v>
      </c>
      <c r="E303" s="47">
        <f t="shared" si="40"/>
        <v>11952691.76</v>
      </c>
      <c r="F303" s="33">
        <f t="shared" si="41"/>
        <v>938222041.63999999</v>
      </c>
      <c r="G303" s="47">
        <f t="shared" si="42"/>
        <v>937091043.39999998</v>
      </c>
    </row>
    <row r="304" spans="1:7" x14ac:dyDescent="0.25">
      <c r="A304" s="36">
        <v>43956</v>
      </c>
      <c r="B304" s="71">
        <f t="shared" si="37"/>
        <v>30</v>
      </c>
      <c r="C304" s="33">
        <f t="shared" si="38"/>
        <v>13083690</v>
      </c>
      <c r="D304" s="48">
        <f t="shared" si="39"/>
        <v>1530512.75</v>
      </c>
      <c r="E304" s="47">
        <f t="shared" si="40"/>
        <v>11553177.25</v>
      </c>
      <c r="F304" s="33">
        <f t="shared" si="41"/>
        <v>937091043.39999998</v>
      </c>
      <c r="G304" s="47">
        <f t="shared" si="42"/>
        <v>935560530.64999998</v>
      </c>
    </row>
    <row r="305" spans="1:7" x14ac:dyDescent="0.25">
      <c r="A305" s="36">
        <v>43987</v>
      </c>
      <c r="B305" s="71">
        <f t="shared" si="37"/>
        <v>31</v>
      </c>
      <c r="C305" s="33">
        <f t="shared" si="38"/>
        <v>13083690</v>
      </c>
      <c r="D305" s="48">
        <f t="shared" si="39"/>
        <v>1164905.1600000001</v>
      </c>
      <c r="E305" s="47">
        <f t="shared" si="40"/>
        <v>11918784.84</v>
      </c>
      <c r="F305" s="33">
        <f t="shared" si="41"/>
        <v>935560530.64999998</v>
      </c>
      <c r="G305" s="47">
        <f t="shared" si="42"/>
        <v>934395625.49000001</v>
      </c>
    </row>
    <row r="306" spans="1:7" x14ac:dyDescent="0.25">
      <c r="A306" s="36">
        <v>44017</v>
      </c>
      <c r="B306" s="71">
        <f t="shared" si="37"/>
        <v>30</v>
      </c>
      <c r="C306" s="33">
        <f t="shared" si="38"/>
        <v>13083690</v>
      </c>
      <c r="D306" s="48">
        <f t="shared" si="39"/>
        <v>1563743.9299999997</v>
      </c>
      <c r="E306" s="47">
        <f t="shared" si="40"/>
        <v>11519946.07</v>
      </c>
      <c r="F306" s="33">
        <f t="shared" si="41"/>
        <v>934395625.49000001</v>
      </c>
      <c r="G306" s="47">
        <f t="shared" si="42"/>
        <v>932831881.56000006</v>
      </c>
    </row>
    <row r="307" spans="1:7" x14ac:dyDescent="0.25">
      <c r="A307" s="36">
        <v>44048</v>
      </c>
      <c r="B307" s="71">
        <f t="shared" si="37"/>
        <v>31</v>
      </c>
      <c r="C307" s="33">
        <f t="shared" si="38"/>
        <v>13083690</v>
      </c>
      <c r="D307" s="48">
        <f t="shared" si="39"/>
        <v>1199667.4000000004</v>
      </c>
      <c r="E307" s="47">
        <f t="shared" si="40"/>
        <v>11884022.6</v>
      </c>
      <c r="F307" s="33">
        <f t="shared" si="41"/>
        <v>932831881.56000006</v>
      </c>
      <c r="G307" s="47">
        <f t="shared" si="42"/>
        <v>931632214.16000009</v>
      </c>
    </row>
    <row r="308" spans="1:7" x14ac:dyDescent="0.25">
      <c r="A308" s="36">
        <v>44079</v>
      </c>
      <c r="B308" s="71">
        <f t="shared" si="37"/>
        <v>31</v>
      </c>
      <c r="C308" s="33">
        <f t="shared" si="38"/>
        <v>13083690</v>
      </c>
      <c r="D308" s="48">
        <f t="shared" si="39"/>
        <v>1214950.83</v>
      </c>
      <c r="E308" s="47">
        <f t="shared" si="40"/>
        <v>11868739.17</v>
      </c>
      <c r="F308" s="33">
        <f t="shared" si="41"/>
        <v>931632214.16000009</v>
      </c>
      <c r="G308" s="47">
        <f t="shared" si="42"/>
        <v>930417263.33000004</v>
      </c>
    </row>
    <row r="309" spans="1:7" x14ac:dyDescent="0.25">
      <c r="A309" s="36">
        <v>44109</v>
      </c>
      <c r="B309" s="71">
        <f t="shared" si="37"/>
        <v>30</v>
      </c>
      <c r="C309" s="33">
        <f t="shared" si="38"/>
        <v>13083690</v>
      </c>
      <c r="D309" s="48">
        <f t="shared" si="39"/>
        <v>1612792.2300000004</v>
      </c>
      <c r="E309" s="47">
        <f t="shared" si="40"/>
        <v>11470897.77</v>
      </c>
      <c r="F309" s="33">
        <f t="shared" si="41"/>
        <v>930417263.33000004</v>
      </c>
      <c r="G309" s="47">
        <f t="shared" si="42"/>
        <v>928804471.10000002</v>
      </c>
    </row>
    <row r="310" spans="1:7" x14ac:dyDescent="0.25">
      <c r="A310" s="36">
        <v>44140</v>
      </c>
      <c r="B310" s="71">
        <f t="shared" si="37"/>
        <v>31</v>
      </c>
      <c r="C310" s="33">
        <f t="shared" si="38"/>
        <v>13083690</v>
      </c>
      <c r="D310" s="48">
        <f t="shared" si="39"/>
        <v>1250975.5099999998</v>
      </c>
      <c r="E310" s="47">
        <f t="shared" si="40"/>
        <v>11832714.49</v>
      </c>
      <c r="F310" s="33">
        <f t="shared" si="41"/>
        <v>928804471.10000002</v>
      </c>
      <c r="G310" s="47">
        <f t="shared" si="42"/>
        <v>927553495.59000003</v>
      </c>
    </row>
    <row r="311" spans="1:7" x14ac:dyDescent="0.25">
      <c r="A311" s="36">
        <v>44170</v>
      </c>
      <c r="B311" s="71">
        <f t="shared" ref="B311:B374" si="43">_xlfn.DAYS(A311,A310)</f>
        <v>30</v>
      </c>
      <c r="C311" s="33">
        <f t="shared" ref="C311:C374" si="44">$F$1</f>
        <v>13083690</v>
      </c>
      <c r="D311" s="48">
        <f t="shared" ref="D311:D374" si="45">C311-E311</f>
        <v>1648098.9600000009</v>
      </c>
      <c r="E311" s="47">
        <f t="shared" ref="E311:E374" si="46">ROUND(F311*$B$2*B311/365,2)</f>
        <v>11435591.039999999</v>
      </c>
      <c r="F311" s="33">
        <f t="shared" ref="F311:F374" si="47">G310</f>
        <v>927553495.59000003</v>
      </c>
      <c r="G311" s="47">
        <f t="shared" ref="G311:G374" si="48">F311-D311</f>
        <v>925905396.63</v>
      </c>
    </row>
    <row r="312" spans="1:7" x14ac:dyDescent="0.25">
      <c r="A312" s="36">
        <v>44201</v>
      </c>
      <c r="B312" s="71">
        <f t="shared" si="43"/>
        <v>31</v>
      </c>
      <c r="C312" s="33">
        <f t="shared" si="44"/>
        <v>13083690</v>
      </c>
      <c r="D312" s="48">
        <f t="shared" si="45"/>
        <v>1287908.92</v>
      </c>
      <c r="E312" s="47">
        <f t="shared" si="46"/>
        <v>11795781.08</v>
      </c>
      <c r="F312" s="33">
        <f t="shared" si="47"/>
        <v>925905396.63</v>
      </c>
      <c r="G312" s="47">
        <f t="shared" si="48"/>
        <v>924617487.71000004</v>
      </c>
    </row>
    <row r="313" spans="1:7" x14ac:dyDescent="0.25">
      <c r="A313" s="36">
        <v>44232</v>
      </c>
      <c r="B313" s="71">
        <f t="shared" si="43"/>
        <v>31</v>
      </c>
      <c r="C313" s="33">
        <f t="shared" si="44"/>
        <v>13083690</v>
      </c>
      <c r="D313" s="48">
        <f t="shared" si="45"/>
        <v>1304316.5299999993</v>
      </c>
      <c r="E313" s="47">
        <f t="shared" si="46"/>
        <v>11779373.470000001</v>
      </c>
      <c r="F313" s="33">
        <f t="shared" si="47"/>
        <v>924617487.71000004</v>
      </c>
      <c r="G313" s="47">
        <f t="shared" si="48"/>
        <v>923313171.18000007</v>
      </c>
    </row>
    <row r="314" spans="1:7" x14ac:dyDescent="0.25">
      <c r="A314" s="36">
        <v>44260</v>
      </c>
      <c r="B314" s="71">
        <f t="shared" si="43"/>
        <v>28</v>
      </c>
      <c r="C314" s="33">
        <f t="shared" si="44"/>
        <v>13083690</v>
      </c>
      <c r="D314" s="48">
        <f t="shared" si="45"/>
        <v>2459264.4700000007</v>
      </c>
      <c r="E314" s="47">
        <f t="shared" si="46"/>
        <v>10624425.529999999</v>
      </c>
      <c r="F314" s="33">
        <f t="shared" si="47"/>
        <v>923313171.18000007</v>
      </c>
      <c r="G314" s="47">
        <f t="shared" si="48"/>
        <v>920853906.71000004</v>
      </c>
    </row>
    <row r="315" spans="1:7" x14ac:dyDescent="0.25">
      <c r="A315" s="36">
        <v>44291</v>
      </c>
      <c r="B315" s="71">
        <f t="shared" si="43"/>
        <v>31</v>
      </c>
      <c r="C315" s="33">
        <f t="shared" si="44"/>
        <v>13083690</v>
      </c>
      <c r="D315" s="48">
        <f t="shared" si="45"/>
        <v>1352263.5199999996</v>
      </c>
      <c r="E315" s="47">
        <f t="shared" si="46"/>
        <v>11731426.48</v>
      </c>
      <c r="F315" s="33">
        <f t="shared" si="47"/>
        <v>920853906.71000004</v>
      </c>
      <c r="G315" s="47">
        <f t="shared" si="48"/>
        <v>919501643.19000006</v>
      </c>
    </row>
    <row r="316" spans="1:7" x14ac:dyDescent="0.25">
      <c r="A316" s="36">
        <v>44321</v>
      </c>
      <c r="B316" s="71">
        <f t="shared" si="43"/>
        <v>30</v>
      </c>
      <c r="C316" s="33">
        <f t="shared" si="44"/>
        <v>13083690</v>
      </c>
      <c r="D316" s="48">
        <f t="shared" si="45"/>
        <v>1747368.3699999992</v>
      </c>
      <c r="E316" s="47">
        <f t="shared" si="46"/>
        <v>11336321.630000001</v>
      </c>
      <c r="F316" s="33">
        <f t="shared" si="47"/>
        <v>919501643.19000006</v>
      </c>
      <c r="G316" s="47">
        <f t="shared" si="48"/>
        <v>917754274.82000005</v>
      </c>
    </row>
    <row r="317" spans="1:7" x14ac:dyDescent="0.25">
      <c r="A317" s="36">
        <v>44352</v>
      </c>
      <c r="B317" s="71">
        <f t="shared" si="43"/>
        <v>31</v>
      </c>
      <c r="C317" s="33">
        <f t="shared" si="44"/>
        <v>13083690</v>
      </c>
      <c r="D317" s="48">
        <f t="shared" si="45"/>
        <v>1391751.9800000004</v>
      </c>
      <c r="E317" s="47">
        <f t="shared" si="46"/>
        <v>11691938.02</v>
      </c>
      <c r="F317" s="33">
        <f t="shared" si="47"/>
        <v>917754274.82000005</v>
      </c>
      <c r="G317" s="47">
        <f t="shared" si="48"/>
        <v>916362522.84000003</v>
      </c>
    </row>
    <row r="318" spans="1:7" x14ac:dyDescent="0.25">
      <c r="A318" s="36">
        <v>44382</v>
      </c>
      <c r="B318" s="71">
        <f t="shared" si="43"/>
        <v>30</v>
      </c>
      <c r="C318" s="33">
        <f t="shared" si="44"/>
        <v>13083690</v>
      </c>
      <c r="D318" s="48">
        <f t="shared" si="45"/>
        <v>1786069.8599999994</v>
      </c>
      <c r="E318" s="47">
        <f t="shared" si="46"/>
        <v>11297620.140000001</v>
      </c>
      <c r="F318" s="33">
        <f t="shared" si="47"/>
        <v>916362522.84000003</v>
      </c>
      <c r="G318" s="47">
        <f t="shared" si="48"/>
        <v>914576452.98000002</v>
      </c>
    </row>
    <row r="319" spans="1:7" x14ac:dyDescent="0.25">
      <c r="A319" s="36">
        <v>44413</v>
      </c>
      <c r="B319" s="71">
        <f t="shared" si="43"/>
        <v>31</v>
      </c>
      <c r="C319" s="33">
        <f t="shared" si="44"/>
        <v>13083690</v>
      </c>
      <c r="D319" s="48">
        <f t="shared" si="45"/>
        <v>1432236.5600000005</v>
      </c>
      <c r="E319" s="47">
        <f t="shared" si="46"/>
        <v>11651453.439999999</v>
      </c>
      <c r="F319" s="33">
        <f t="shared" si="47"/>
        <v>914576452.98000002</v>
      </c>
      <c r="G319" s="47">
        <f t="shared" si="48"/>
        <v>913144216.42000008</v>
      </c>
    </row>
    <row r="320" spans="1:7" x14ac:dyDescent="0.25">
      <c r="A320" s="36">
        <v>44444</v>
      </c>
      <c r="B320" s="71">
        <f t="shared" si="43"/>
        <v>31</v>
      </c>
      <c r="C320" s="33">
        <f t="shared" si="44"/>
        <v>13083690</v>
      </c>
      <c r="D320" s="48">
        <f t="shared" si="45"/>
        <v>1450482.8599999994</v>
      </c>
      <c r="E320" s="47">
        <f t="shared" si="46"/>
        <v>11633207.140000001</v>
      </c>
      <c r="F320" s="33">
        <f t="shared" si="47"/>
        <v>913144216.42000008</v>
      </c>
      <c r="G320" s="47">
        <f t="shared" si="48"/>
        <v>911693733.56000006</v>
      </c>
    </row>
    <row r="321" spans="1:7" x14ac:dyDescent="0.25">
      <c r="A321" s="36">
        <v>44474</v>
      </c>
      <c r="B321" s="71">
        <f t="shared" si="43"/>
        <v>30</v>
      </c>
      <c r="C321" s="33">
        <f t="shared" si="44"/>
        <v>13083690</v>
      </c>
      <c r="D321" s="48">
        <f t="shared" si="45"/>
        <v>1843630.2699999996</v>
      </c>
      <c r="E321" s="47">
        <f t="shared" si="46"/>
        <v>11240059.73</v>
      </c>
      <c r="F321" s="33">
        <f t="shared" si="47"/>
        <v>911693733.56000006</v>
      </c>
      <c r="G321" s="47">
        <f t="shared" si="48"/>
        <v>909850103.29000008</v>
      </c>
    </row>
    <row r="322" spans="1:7" x14ac:dyDescent="0.25">
      <c r="A322" s="36">
        <v>44505</v>
      </c>
      <c r="B322" s="71">
        <f t="shared" si="43"/>
        <v>31</v>
      </c>
      <c r="C322" s="33">
        <f t="shared" si="44"/>
        <v>13083690</v>
      </c>
      <c r="D322" s="48">
        <f t="shared" si="45"/>
        <v>1492448.9600000009</v>
      </c>
      <c r="E322" s="47">
        <f t="shared" si="46"/>
        <v>11591241.039999999</v>
      </c>
      <c r="F322" s="33">
        <f t="shared" si="47"/>
        <v>909850103.29000008</v>
      </c>
      <c r="G322" s="47">
        <f t="shared" si="48"/>
        <v>908357654.33000004</v>
      </c>
    </row>
    <row r="323" spans="1:7" x14ac:dyDescent="0.25">
      <c r="A323" s="36">
        <v>44535</v>
      </c>
      <c r="B323" s="71">
        <f t="shared" si="43"/>
        <v>30</v>
      </c>
      <c r="C323" s="33">
        <f t="shared" si="44"/>
        <v>13083690</v>
      </c>
      <c r="D323" s="48">
        <f t="shared" si="45"/>
        <v>1884760.0199999996</v>
      </c>
      <c r="E323" s="47">
        <f t="shared" si="46"/>
        <v>11198929.98</v>
      </c>
      <c r="F323" s="33">
        <f t="shared" si="47"/>
        <v>908357654.33000004</v>
      </c>
      <c r="G323" s="47">
        <f t="shared" si="48"/>
        <v>906472894.31000006</v>
      </c>
    </row>
    <row r="324" spans="1:7" x14ac:dyDescent="0.25">
      <c r="A324" s="36">
        <v>44566</v>
      </c>
      <c r="B324" s="71">
        <f t="shared" si="43"/>
        <v>31</v>
      </c>
      <c r="C324" s="33">
        <f t="shared" si="44"/>
        <v>13083690</v>
      </c>
      <c r="D324" s="48">
        <f t="shared" si="45"/>
        <v>1535473.6799999997</v>
      </c>
      <c r="E324" s="47">
        <f t="shared" si="46"/>
        <v>11548216.32</v>
      </c>
      <c r="F324" s="33">
        <f t="shared" si="47"/>
        <v>906472894.31000006</v>
      </c>
      <c r="G324" s="47">
        <f t="shared" si="48"/>
        <v>904937420.63000011</v>
      </c>
    </row>
    <row r="325" spans="1:7" x14ac:dyDescent="0.25">
      <c r="A325" s="36">
        <v>44597</v>
      </c>
      <c r="B325" s="71">
        <f t="shared" si="43"/>
        <v>31</v>
      </c>
      <c r="C325" s="33">
        <f t="shared" si="44"/>
        <v>13083690</v>
      </c>
      <c r="D325" s="48">
        <f t="shared" si="45"/>
        <v>1555035.1899999995</v>
      </c>
      <c r="E325" s="47">
        <f t="shared" si="46"/>
        <v>11528654.810000001</v>
      </c>
      <c r="F325" s="33">
        <f t="shared" si="47"/>
        <v>904937420.63000011</v>
      </c>
      <c r="G325" s="47">
        <f t="shared" si="48"/>
        <v>903382385.44000006</v>
      </c>
    </row>
    <row r="326" spans="1:7" x14ac:dyDescent="0.25">
      <c r="A326" s="36">
        <v>44625</v>
      </c>
      <c r="B326" s="71">
        <f t="shared" si="43"/>
        <v>28</v>
      </c>
      <c r="C326" s="33">
        <f t="shared" si="44"/>
        <v>13083690</v>
      </c>
      <c r="D326" s="48">
        <f t="shared" si="45"/>
        <v>2688605.0199999996</v>
      </c>
      <c r="E326" s="47">
        <f t="shared" si="46"/>
        <v>10395084.98</v>
      </c>
      <c r="F326" s="33">
        <f t="shared" si="47"/>
        <v>903382385.44000006</v>
      </c>
      <c r="G326" s="47">
        <f t="shared" si="48"/>
        <v>900693780.42000008</v>
      </c>
    </row>
    <row r="327" spans="1:7" x14ac:dyDescent="0.25">
      <c r="A327" s="36">
        <v>44656</v>
      </c>
      <c r="B327" s="71">
        <f t="shared" si="43"/>
        <v>31</v>
      </c>
      <c r="C327" s="33">
        <f t="shared" si="44"/>
        <v>13083690</v>
      </c>
      <c r="D327" s="48">
        <f t="shared" si="45"/>
        <v>1609098</v>
      </c>
      <c r="E327" s="47">
        <f t="shared" si="46"/>
        <v>11474592</v>
      </c>
      <c r="F327" s="33">
        <f t="shared" si="47"/>
        <v>900693780.42000008</v>
      </c>
      <c r="G327" s="47">
        <f t="shared" si="48"/>
        <v>899084682.42000008</v>
      </c>
    </row>
    <row r="328" spans="1:7" x14ac:dyDescent="0.25">
      <c r="A328" s="36">
        <v>44686</v>
      </c>
      <c r="B328" s="71">
        <f t="shared" si="43"/>
        <v>30</v>
      </c>
      <c r="C328" s="33">
        <f t="shared" si="44"/>
        <v>13083690</v>
      </c>
      <c r="D328" s="48">
        <f t="shared" si="45"/>
        <v>1999084.33</v>
      </c>
      <c r="E328" s="47">
        <f t="shared" si="46"/>
        <v>11084605.67</v>
      </c>
      <c r="F328" s="33">
        <f t="shared" si="47"/>
        <v>899084682.42000008</v>
      </c>
      <c r="G328" s="47">
        <f t="shared" si="48"/>
        <v>897085598.09000003</v>
      </c>
    </row>
    <row r="329" spans="1:7" x14ac:dyDescent="0.25">
      <c r="A329" s="36">
        <v>44717</v>
      </c>
      <c r="B329" s="71">
        <f t="shared" si="43"/>
        <v>31</v>
      </c>
      <c r="C329" s="33">
        <f t="shared" si="44"/>
        <v>13083690</v>
      </c>
      <c r="D329" s="48">
        <f t="shared" si="45"/>
        <v>1655065.2599999998</v>
      </c>
      <c r="E329" s="47">
        <f t="shared" si="46"/>
        <v>11428624.74</v>
      </c>
      <c r="F329" s="33">
        <f t="shared" si="47"/>
        <v>897085598.09000003</v>
      </c>
      <c r="G329" s="47">
        <f t="shared" si="48"/>
        <v>895430532.83000004</v>
      </c>
    </row>
    <row r="330" spans="1:7" x14ac:dyDescent="0.25">
      <c r="A330" s="36">
        <v>44747</v>
      </c>
      <c r="B330" s="71">
        <f t="shared" si="43"/>
        <v>30</v>
      </c>
      <c r="C330" s="33">
        <f t="shared" si="44"/>
        <v>13083690</v>
      </c>
      <c r="D330" s="48">
        <f t="shared" si="45"/>
        <v>2044135.4900000002</v>
      </c>
      <c r="E330" s="47">
        <f t="shared" si="46"/>
        <v>11039554.51</v>
      </c>
      <c r="F330" s="33">
        <f t="shared" si="47"/>
        <v>895430532.83000004</v>
      </c>
      <c r="G330" s="47">
        <f t="shared" si="48"/>
        <v>893386397.34000003</v>
      </c>
    </row>
    <row r="331" spans="1:7" x14ac:dyDescent="0.25">
      <c r="A331" s="36">
        <v>44778</v>
      </c>
      <c r="B331" s="71">
        <f t="shared" si="43"/>
        <v>31</v>
      </c>
      <c r="C331" s="33">
        <f t="shared" si="44"/>
        <v>13083690</v>
      </c>
      <c r="D331" s="48">
        <f t="shared" si="45"/>
        <v>1702192.0600000005</v>
      </c>
      <c r="E331" s="47">
        <f t="shared" si="46"/>
        <v>11381497.939999999</v>
      </c>
      <c r="F331" s="33">
        <f t="shared" si="47"/>
        <v>893386397.34000003</v>
      </c>
      <c r="G331" s="47">
        <f t="shared" si="48"/>
        <v>891684205.28000009</v>
      </c>
    </row>
    <row r="332" spans="1:7" x14ac:dyDescent="0.25">
      <c r="A332" s="36">
        <v>44809</v>
      </c>
      <c r="B332" s="71">
        <f t="shared" si="43"/>
        <v>31</v>
      </c>
      <c r="C332" s="33">
        <f t="shared" si="44"/>
        <v>13083690</v>
      </c>
      <c r="D332" s="48">
        <f t="shared" si="45"/>
        <v>1723877.5199999996</v>
      </c>
      <c r="E332" s="47">
        <f t="shared" si="46"/>
        <v>11359812.48</v>
      </c>
      <c r="F332" s="33">
        <f t="shared" si="47"/>
        <v>891684205.28000009</v>
      </c>
      <c r="G332" s="47">
        <f t="shared" si="48"/>
        <v>889960327.76000011</v>
      </c>
    </row>
    <row r="333" spans="1:7" x14ac:dyDescent="0.25">
      <c r="A333" s="36">
        <v>44839</v>
      </c>
      <c r="B333" s="71">
        <f t="shared" si="43"/>
        <v>30</v>
      </c>
      <c r="C333" s="33">
        <f t="shared" si="44"/>
        <v>13083690</v>
      </c>
      <c r="D333" s="48">
        <f t="shared" si="45"/>
        <v>2111576.3699999992</v>
      </c>
      <c r="E333" s="47">
        <f t="shared" si="46"/>
        <v>10972113.630000001</v>
      </c>
      <c r="F333" s="33">
        <f t="shared" si="47"/>
        <v>889960327.76000011</v>
      </c>
      <c r="G333" s="47">
        <f t="shared" si="48"/>
        <v>887848751.3900001</v>
      </c>
    </row>
    <row r="334" spans="1:7" x14ac:dyDescent="0.25">
      <c r="A334" s="36">
        <v>44870</v>
      </c>
      <c r="B334" s="71">
        <f t="shared" si="43"/>
        <v>31</v>
      </c>
      <c r="C334" s="33">
        <f t="shared" si="44"/>
        <v>13083690</v>
      </c>
      <c r="D334" s="48">
        <f t="shared" si="45"/>
        <v>1772740.1500000004</v>
      </c>
      <c r="E334" s="47">
        <f t="shared" si="46"/>
        <v>11310949.85</v>
      </c>
      <c r="F334" s="33">
        <f t="shared" si="47"/>
        <v>887848751.3900001</v>
      </c>
      <c r="G334" s="47">
        <f t="shared" si="48"/>
        <v>886076011.24000013</v>
      </c>
    </row>
    <row r="335" spans="1:7" x14ac:dyDescent="0.25">
      <c r="A335" s="36">
        <v>44900</v>
      </c>
      <c r="B335" s="71">
        <f t="shared" si="43"/>
        <v>30</v>
      </c>
      <c r="C335" s="33">
        <f t="shared" si="44"/>
        <v>13083690</v>
      </c>
      <c r="D335" s="48">
        <f t="shared" si="45"/>
        <v>2159465.1999999993</v>
      </c>
      <c r="E335" s="47">
        <f t="shared" si="46"/>
        <v>10924224.800000001</v>
      </c>
      <c r="F335" s="33">
        <f t="shared" si="47"/>
        <v>886076011.24000013</v>
      </c>
      <c r="G335" s="47">
        <f t="shared" si="48"/>
        <v>883916546.04000008</v>
      </c>
    </row>
    <row r="336" spans="1:7" x14ac:dyDescent="0.25">
      <c r="A336" s="36">
        <v>44931</v>
      </c>
      <c r="B336" s="71">
        <f t="shared" si="43"/>
        <v>31</v>
      </c>
      <c r="C336" s="33">
        <f t="shared" si="44"/>
        <v>13083690</v>
      </c>
      <c r="D336" s="48">
        <f t="shared" si="45"/>
        <v>1822835.3699999992</v>
      </c>
      <c r="E336" s="47">
        <f t="shared" si="46"/>
        <v>11260854.630000001</v>
      </c>
      <c r="F336" s="33">
        <f t="shared" si="47"/>
        <v>883916546.04000008</v>
      </c>
      <c r="G336" s="47">
        <f t="shared" si="48"/>
        <v>882093710.67000008</v>
      </c>
    </row>
    <row r="337" spans="1:7" x14ac:dyDescent="0.25">
      <c r="A337" s="36">
        <v>44962</v>
      </c>
      <c r="B337" s="71">
        <f t="shared" si="43"/>
        <v>31</v>
      </c>
      <c r="C337" s="33">
        <f t="shared" si="44"/>
        <v>13083690</v>
      </c>
      <c r="D337" s="48">
        <f t="shared" si="45"/>
        <v>1846057.8000000007</v>
      </c>
      <c r="E337" s="47">
        <f t="shared" si="46"/>
        <v>11237632.199999999</v>
      </c>
      <c r="F337" s="33">
        <f t="shared" si="47"/>
        <v>882093710.67000008</v>
      </c>
      <c r="G337" s="47">
        <f t="shared" si="48"/>
        <v>880247652.87000012</v>
      </c>
    </row>
    <row r="338" spans="1:7" x14ac:dyDescent="0.25">
      <c r="A338" s="36">
        <v>44990</v>
      </c>
      <c r="B338" s="71">
        <f t="shared" si="43"/>
        <v>28</v>
      </c>
      <c r="C338" s="33">
        <f t="shared" si="44"/>
        <v>13083690</v>
      </c>
      <c r="D338" s="48">
        <f t="shared" si="45"/>
        <v>2954812.9000000004</v>
      </c>
      <c r="E338" s="47">
        <f t="shared" si="46"/>
        <v>10128877.1</v>
      </c>
      <c r="F338" s="33">
        <f t="shared" si="47"/>
        <v>880247652.87000012</v>
      </c>
      <c r="G338" s="47">
        <f t="shared" si="48"/>
        <v>877292839.97000015</v>
      </c>
    </row>
    <row r="339" spans="1:7" x14ac:dyDescent="0.25">
      <c r="A339" s="36">
        <v>45021</v>
      </c>
      <c r="B339" s="71">
        <f t="shared" si="43"/>
        <v>31</v>
      </c>
      <c r="C339" s="33">
        <f t="shared" si="44"/>
        <v>13083690</v>
      </c>
      <c r="D339" s="48">
        <f t="shared" si="45"/>
        <v>1907219.5700000003</v>
      </c>
      <c r="E339" s="47">
        <f t="shared" si="46"/>
        <v>11176470.43</v>
      </c>
      <c r="F339" s="33">
        <f t="shared" si="47"/>
        <v>877292839.97000015</v>
      </c>
      <c r="G339" s="47">
        <f t="shared" si="48"/>
        <v>875385620.4000001</v>
      </c>
    </row>
    <row r="340" spans="1:7" x14ac:dyDescent="0.25">
      <c r="A340" s="36">
        <v>45051</v>
      </c>
      <c r="B340" s="71">
        <f t="shared" si="43"/>
        <v>30</v>
      </c>
      <c r="C340" s="33">
        <f t="shared" si="44"/>
        <v>13083690</v>
      </c>
      <c r="D340" s="48">
        <f t="shared" si="45"/>
        <v>2291264.5399999991</v>
      </c>
      <c r="E340" s="47">
        <f t="shared" si="46"/>
        <v>10792425.460000001</v>
      </c>
      <c r="F340" s="33">
        <f t="shared" si="47"/>
        <v>875385620.4000001</v>
      </c>
      <c r="G340" s="47">
        <f t="shared" si="48"/>
        <v>873094355.86000013</v>
      </c>
    </row>
    <row r="341" spans="1:7" x14ac:dyDescent="0.25">
      <c r="A341" s="36">
        <v>45082</v>
      </c>
      <c r="B341" s="71">
        <f t="shared" si="43"/>
        <v>31</v>
      </c>
      <c r="C341" s="33">
        <f t="shared" si="44"/>
        <v>13083690</v>
      </c>
      <c r="D341" s="48">
        <f t="shared" si="45"/>
        <v>1960707.1099999994</v>
      </c>
      <c r="E341" s="47">
        <f t="shared" si="46"/>
        <v>11122982.890000001</v>
      </c>
      <c r="F341" s="33">
        <f t="shared" si="47"/>
        <v>873094355.86000013</v>
      </c>
      <c r="G341" s="47">
        <f t="shared" si="48"/>
        <v>871133648.75000012</v>
      </c>
    </row>
    <row r="342" spans="1:7" x14ac:dyDescent="0.25">
      <c r="A342" s="36">
        <v>45112</v>
      </c>
      <c r="B342" s="71">
        <f t="shared" si="43"/>
        <v>30</v>
      </c>
      <c r="C342" s="33">
        <f t="shared" si="44"/>
        <v>13083690</v>
      </c>
      <c r="D342" s="48">
        <f t="shared" si="45"/>
        <v>2343686.1099999994</v>
      </c>
      <c r="E342" s="47">
        <f t="shared" si="46"/>
        <v>10740003.890000001</v>
      </c>
      <c r="F342" s="33">
        <f t="shared" si="47"/>
        <v>871133648.75000012</v>
      </c>
      <c r="G342" s="47">
        <f t="shared" si="48"/>
        <v>868789962.6400001</v>
      </c>
    </row>
    <row r="343" spans="1:7" x14ac:dyDescent="0.25">
      <c r="A343" s="36">
        <v>45143</v>
      </c>
      <c r="B343" s="71">
        <f t="shared" si="43"/>
        <v>31</v>
      </c>
      <c r="C343" s="33">
        <f t="shared" si="44"/>
        <v>13083690</v>
      </c>
      <c r="D343" s="48">
        <f t="shared" si="45"/>
        <v>2015543.9000000004</v>
      </c>
      <c r="E343" s="47">
        <f t="shared" si="46"/>
        <v>11068146.1</v>
      </c>
      <c r="F343" s="33">
        <f t="shared" si="47"/>
        <v>868789962.6400001</v>
      </c>
      <c r="G343" s="47">
        <f t="shared" si="48"/>
        <v>866774418.74000013</v>
      </c>
    </row>
    <row r="344" spans="1:7" x14ac:dyDescent="0.25">
      <c r="A344" s="36">
        <v>45174</v>
      </c>
      <c r="B344" s="71">
        <f t="shared" si="43"/>
        <v>31</v>
      </c>
      <c r="C344" s="33">
        <f t="shared" si="44"/>
        <v>13083690</v>
      </c>
      <c r="D344" s="48">
        <f t="shared" si="45"/>
        <v>2041221.3800000008</v>
      </c>
      <c r="E344" s="47">
        <f t="shared" si="46"/>
        <v>11042468.619999999</v>
      </c>
      <c r="F344" s="33">
        <f t="shared" si="47"/>
        <v>866774418.74000013</v>
      </c>
      <c r="G344" s="47">
        <f t="shared" si="48"/>
        <v>864733197.36000013</v>
      </c>
    </row>
    <row r="345" spans="1:7" x14ac:dyDescent="0.25">
      <c r="A345" s="36">
        <v>45204</v>
      </c>
      <c r="B345" s="71">
        <f t="shared" si="43"/>
        <v>30</v>
      </c>
      <c r="C345" s="33">
        <f t="shared" si="44"/>
        <v>13083690</v>
      </c>
      <c r="D345" s="48">
        <f t="shared" si="45"/>
        <v>2422595.7899999991</v>
      </c>
      <c r="E345" s="47">
        <f t="shared" si="46"/>
        <v>10661094.210000001</v>
      </c>
      <c r="F345" s="33">
        <f t="shared" si="47"/>
        <v>864733197.36000013</v>
      </c>
      <c r="G345" s="47">
        <f t="shared" si="48"/>
        <v>862310601.57000017</v>
      </c>
    </row>
    <row r="346" spans="1:7" x14ac:dyDescent="0.25">
      <c r="A346" s="36">
        <v>45235</v>
      </c>
      <c r="B346" s="71">
        <f t="shared" si="43"/>
        <v>31</v>
      </c>
      <c r="C346" s="33">
        <f t="shared" si="44"/>
        <v>13083690</v>
      </c>
      <c r="D346" s="48">
        <f t="shared" si="45"/>
        <v>2098089.1899999995</v>
      </c>
      <c r="E346" s="47">
        <f t="shared" si="46"/>
        <v>10985600.810000001</v>
      </c>
      <c r="F346" s="33">
        <f t="shared" si="47"/>
        <v>862310601.57000017</v>
      </c>
      <c r="G346" s="47">
        <f t="shared" si="48"/>
        <v>860212512.38000011</v>
      </c>
    </row>
    <row r="347" spans="1:7" x14ac:dyDescent="0.25">
      <c r="A347" s="36">
        <v>45265</v>
      </c>
      <c r="B347" s="71">
        <f t="shared" si="43"/>
        <v>30</v>
      </c>
      <c r="C347" s="33">
        <f t="shared" si="44"/>
        <v>13083690</v>
      </c>
      <c r="D347" s="48">
        <f t="shared" si="45"/>
        <v>2478330.2599999998</v>
      </c>
      <c r="E347" s="47">
        <f t="shared" si="46"/>
        <v>10605359.74</v>
      </c>
      <c r="F347" s="33">
        <f t="shared" si="47"/>
        <v>860212512.38000011</v>
      </c>
      <c r="G347" s="47">
        <f t="shared" si="48"/>
        <v>857734182.12000012</v>
      </c>
    </row>
    <row r="348" spans="1:7" x14ac:dyDescent="0.25">
      <c r="A348" s="36">
        <v>45296</v>
      </c>
      <c r="B348" s="71">
        <f t="shared" si="43"/>
        <v>31</v>
      </c>
      <c r="C348" s="33">
        <f t="shared" si="44"/>
        <v>13083690</v>
      </c>
      <c r="D348" s="48">
        <f t="shared" si="45"/>
        <v>2156391.5199999996</v>
      </c>
      <c r="E348" s="47">
        <f t="shared" si="46"/>
        <v>10927298.48</v>
      </c>
      <c r="F348" s="33">
        <f t="shared" si="47"/>
        <v>857734182.12000012</v>
      </c>
      <c r="G348" s="47">
        <f t="shared" si="48"/>
        <v>855577790.60000014</v>
      </c>
    </row>
    <row r="349" spans="1:7" x14ac:dyDescent="0.25">
      <c r="A349" s="36">
        <v>45327</v>
      </c>
      <c r="B349" s="71">
        <f t="shared" si="43"/>
        <v>31</v>
      </c>
      <c r="C349" s="33">
        <f t="shared" si="44"/>
        <v>13083690</v>
      </c>
      <c r="D349" s="48">
        <f t="shared" si="45"/>
        <v>2183863.3499999996</v>
      </c>
      <c r="E349" s="47">
        <f t="shared" si="46"/>
        <v>10899826.65</v>
      </c>
      <c r="F349" s="33">
        <f t="shared" si="47"/>
        <v>855577790.60000014</v>
      </c>
      <c r="G349" s="47">
        <f t="shared" si="48"/>
        <v>853393927.25000012</v>
      </c>
    </row>
    <row r="350" spans="1:7" x14ac:dyDescent="0.25">
      <c r="A350" s="36">
        <v>45356</v>
      </c>
      <c r="B350" s="71">
        <f t="shared" si="43"/>
        <v>29</v>
      </c>
      <c r="C350" s="33">
        <f t="shared" si="44"/>
        <v>13083690</v>
      </c>
      <c r="D350" s="48">
        <f t="shared" si="45"/>
        <v>2913104.84</v>
      </c>
      <c r="E350" s="47">
        <f t="shared" si="46"/>
        <v>10170585.16</v>
      </c>
      <c r="F350" s="33">
        <f t="shared" si="47"/>
        <v>853393927.25000012</v>
      </c>
      <c r="G350" s="47">
        <f t="shared" si="48"/>
        <v>850480822.41000009</v>
      </c>
    </row>
    <row r="351" spans="1:7" x14ac:dyDescent="0.25">
      <c r="A351" s="36">
        <v>45387</v>
      </c>
      <c r="B351" s="71">
        <f t="shared" si="43"/>
        <v>31</v>
      </c>
      <c r="C351" s="33">
        <f t="shared" si="44"/>
        <v>13083690</v>
      </c>
      <c r="D351" s="48">
        <f t="shared" si="45"/>
        <v>2248797.33</v>
      </c>
      <c r="E351" s="47">
        <f t="shared" si="46"/>
        <v>10834892.67</v>
      </c>
      <c r="F351" s="33">
        <f t="shared" si="47"/>
        <v>850480822.41000009</v>
      </c>
      <c r="G351" s="47">
        <f t="shared" si="48"/>
        <v>848232025.08000004</v>
      </c>
    </row>
    <row r="352" spans="1:7" x14ac:dyDescent="0.25">
      <c r="A352" s="36">
        <v>45417</v>
      </c>
      <c r="B352" s="71">
        <f t="shared" si="43"/>
        <v>30</v>
      </c>
      <c r="C352" s="33">
        <f t="shared" si="44"/>
        <v>13083690</v>
      </c>
      <c r="D352" s="48">
        <f t="shared" si="45"/>
        <v>2626034.9000000004</v>
      </c>
      <c r="E352" s="47">
        <f t="shared" si="46"/>
        <v>10457655.1</v>
      </c>
      <c r="F352" s="33">
        <f t="shared" si="47"/>
        <v>848232025.08000004</v>
      </c>
      <c r="G352" s="47">
        <f t="shared" si="48"/>
        <v>845605990.18000007</v>
      </c>
    </row>
    <row r="353" spans="1:7" x14ac:dyDescent="0.25">
      <c r="A353" s="36">
        <v>45448</v>
      </c>
      <c r="B353" s="71">
        <f t="shared" si="43"/>
        <v>31</v>
      </c>
      <c r="C353" s="33">
        <f t="shared" si="44"/>
        <v>13083690</v>
      </c>
      <c r="D353" s="48">
        <f t="shared" si="45"/>
        <v>2310901.3599999994</v>
      </c>
      <c r="E353" s="47">
        <f t="shared" si="46"/>
        <v>10772788.640000001</v>
      </c>
      <c r="F353" s="33">
        <f t="shared" si="47"/>
        <v>845605990.18000007</v>
      </c>
      <c r="G353" s="47">
        <f t="shared" si="48"/>
        <v>843295088.82000005</v>
      </c>
    </row>
    <row r="354" spans="1:7" x14ac:dyDescent="0.25">
      <c r="A354" s="36">
        <v>45478</v>
      </c>
      <c r="B354" s="71">
        <f t="shared" si="43"/>
        <v>30</v>
      </c>
      <c r="C354" s="33">
        <f t="shared" si="44"/>
        <v>13083690</v>
      </c>
      <c r="D354" s="48">
        <f t="shared" si="45"/>
        <v>2686901.2300000004</v>
      </c>
      <c r="E354" s="47">
        <f t="shared" si="46"/>
        <v>10396788.77</v>
      </c>
      <c r="F354" s="33">
        <f t="shared" si="47"/>
        <v>843295088.82000005</v>
      </c>
      <c r="G354" s="47">
        <f t="shared" si="48"/>
        <v>840608187.59000003</v>
      </c>
    </row>
    <row r="355" spans="1:7" x14ac:dyDescent="0.25">
      <c r="A355" s="36">
        <v>45509</v>
      </c>
      <c r="B355" s="71">
        <f t="shared" si="43"/>
        <v>31</v>
      </c>
      <c r="C355" s="33">
        <f t="shared" si="44"/>
        <v>13083690</v>
      </c>
      <c r="D355" s="48">
        <f t="shared" si="45"/>
        <v>2374571.9900000002</v>
      </c>
      <c r="E355" s="47">
        <f t="shared" si="46"/>
        <v>10709118.01</v>
      </c>
      <c r="F355" s="33">
        <f t="shared" si="47"/>
        <v>840608187.59000003</v>
      </c>
      <c r="G355" s="47">
        <f t="shared" si="48"/>
        <v>838233615.60000002</v>
      </c>
    </row>
    <row r="356" spans="1:7" x14ac:dyDescent="0.25">
      <c r="A356" s="36">
        <v>45540</v>
      </c>
      <c r="B356" s="71">
        <f t="shared" si="43"/>
        <v>31</v>
      </c>
      <c r="C356" s="33">
        <f t="shared" si="44"/>
        <v>13083690</v>
      </c>
      <c r="D356" s="48">
        <f t="shared" si="45"/>
        <v>2404823.3900000006</v>
      </c>
      <c r="E356" s="47">
        <f t="shared" si="46"/>
        <v>10678866.609999999</v>
      </c>
      <c r="F356" s="33">
        <f t="shared" si="47"/>
        <v>838233615.60000002</v>
      </c>
      <c r="G356" s="47">
        <f t="shared" si="48"/>
        <v>835828792.21000004</v>
      </c>
    </row>
    <row r="357" spans="1:7" x14ac:dyDescent="0.25">
      <c r="A357" s="36">
        <v>45570</v>
      </c>
      <c r="B357" s="71">
        <f t="shared" si="43"/>
        <v>30</v>
      </c>
      <c r="C357" s="33">
        <f t="shared" si="44"/>
        <v>13083690</v>
      </c>
      <c r="D357" s="48">
        <f t="shared" si="45"/>
        <v>2778951.4700000007</v>
      </c>
      <c r="E357" s="47">
        <f t="shared" si="46"/>
        <v>10304738.529999999</v>
      </c>
      <c r="F357" s="33">
        <f t="shared" si="47"/>
        <v>835828792.21000004</v>
      </c>
      <c r="G357" s="47">
        <f t="shared" si="48"/>
        <v>833049840.74000001</v>
      </c>
    </row>
    <row r="358" spans="1:7" x14ac:dyDescent="0.25">
      <c r="A358" s="36">
        <v>45601</v>
      </c>
      <c r="B358" s="71">
        <f t="shared" si="43"/>
        <v>31</v>
      </c>
      <c r="C358" s="33">
        <f t="shared" si="44"/>
        <v>13083690</v>
      </c>
      <c r="D358" s="48">
        <f t="shared" si="45"/>
        <v>2470863.2599999998</v>
      </c>
      <c r="E358" s="47">
        <f t="shared" si="46"/>
        <v>10612826.74</v>
      </c>
      <c r="F358" s="33">
        <f t="shared" si="47"/>
        <v>833049840.74000001</v>
      </c>
      <c r="G358" s="47">
        <f t="shared" si="48"/>
        <v>830578977.48000002</v>
      </c>
    </row>
    <row r="359" spans="1:7" x14ac:dyDescent="0.25">
      <c r="A359" s="36">
        <v>45631</v>
      </c>
      <c r="B359" s="71">
        <f t="shared" si="43"/>
        <v>30</v>
      </c>
      <c r="C359" s="33">
        <f t="shared" si="44"/>
        <v>13083690</v>
      </c>
      <c r="D359" s="48">
        <f t="shared" si="45"/>
        <v>2843675.2100000009</v>
      </c>
      <c r="E359" s="47">
        <f t="shared" si="46"/>
        <v>10240014.789999999</v>
      </c>
      <c r="F359" s="33">
        <f t="shared" si="47"/>
        <v>830578977.48000002</v>
      </c>
      <c r="G359" s="47">
        <f t="shared" si="48"/>
        <v>827735302.26999998</v>
      </c>
    </row>
    <row r="360" spans="1:7" x14ac:dyDescent="0.25">
      <c r="A360" s="36">
        <v>45662</v>
      </c>
      <c r="B360" s="71">
        <f t="shared" si="43"/>
        <v>31</v>
      </c>
      <c r="C360" s="33">
        <f t="shared" si="44"/>
        <v>13083690</v>
      </c>
      <c r="D360" s="48">
        <f t="shared" si="45"/>
        <v>2538569.0299999993</v>
      </c>
      <c r="E360" s="47">
        <f t="shared" si="46"/>
        <v>10545120.970000001</v>
      </c>
      <c r="F360" s="33">
        <f t="shared" si="47"/>
        <v>827735302.26999998</v>
      </c>
      <c r="G360" s="47">
        <f t="shared" si="48"/>
        <v>825196733.24000001</v>
      </c>
    </row>
    <row r="361" spans="1:7" x14ac:dyDescent="0.25">
      <c r="A361" s="36">
        <v>45693</v>
      </c>
      <c r="B361" s="71">
        <f t="shared" si="43"/>
        <v>31</v>
      </c>
      <c r="C361" s="33">
        <f t="shared" si="44"/>
        <v>13083690</v>
      </c>
      <c r="D361" s="48">
        <f t="shared" si="45"/>
        <v>2570909.6999999993</v>
      </c>
      <c r="E361" s="47">
        <f t="shared" si="46"/>
        <v>10512780.300000001</v>
      </c>
      <c r="F361" s="33">
        <f t="shared" si="47"/>
        <v>825196733.24000001</v>
      </c>
      <c r="G361" s="47">
        <f t="shared" si="48"/>
        <v>822625823.53999996</v>
      </c>
    </row>
    <row r="362" spans="1:7" x14ac:dyDescent="0.25">
      <c r="A362" s="36">
        <v>45721</v>
      </c>
      <c r="B362" s="71">
        <f t="shared" si="43"/>
        <v>28</v>
      </c>
      <c r="C362" s="33">
        <f t="shared" si="44"/>
        <v>13083690</v>
      </c>
      <c r="D362" s="48">
        <f t="shared" si="45"/>
        <v>3617858.6099999994</v>
      </c>
      <c r="E362" s="47">
        <f t="shared" si="46"/>
        <v>9465831.3900000006</v>
      </c>
      <c r="F362" s="33">
        <f t="shared" si="47"/>
        <v>822625823.53999996</v>
      </c>
      <c r="G362" s="47">
        <f t="shared" si="48"/>
        <v>819007964.92999995</v>
      </c>
    </row>
    <row r="363" spans="1:7" x14ac:dyDescent="0.25">
      <c r="A363" s="36">
        <v>45752</v>
      </c>
      <c r="B363" s="71">
        <f t="shared" si="43"/>
        <v>31</v>
      </c>
      <c r="C363" s="33">
        <f t="shared" si="44"/>
        <v>13083690</v>
      </c>
      <c r="D363" s="48">
        <f t="shared" si="45"/>
        <v>2649752.91</v>
      </c>
      <c r="E363" s="47">
        <f t="shared" si="46"/>
        <v>10433937.09</v>
      </c>
      <c r="F363" s="33">
        <f t="shared" si="47"/>
        <v>819007964.92999995</v>
      </c>
      <c r="G363" s="47">
        <f t="shared" si="48"/>
        <v>816358212.01999998</v>
      </c>
    </row>
    <row r="364" spans="1:7" x14ac:dyDescent="0.25">
      <c r="A364" s="36">
        <v>45782</v>
      </c>
      <c r="B364" s="71">
        <f t="shared" si="43"/>
        <v>30</v>
      </c>
      <c r="C364" s="33">
        <f t="shared" si="44"/>
        <v>13083690</v>
      </c>
      <c r="D364" s="48">
        <f t="shared" si="45"/>
        <v>3018999.7100000009</v>
      </c>
      <c r="E364" s="47">
        <f t="shared" si="46"/>
        <v>10064690.289999999</v>
      </c>
      <c r="F364" s="33">
        <f t="shared" si="47"/>
        <v>816358212.01999998</v>
      </c>
      <c r="G364" s="47">
        <f t="shared" si="48"/>
        <v>813339212.30999994</v>
      </c>
    </row>
    <row r="365" spans="1:7" x14ac:dyDescent="0.25">
      <c r="A365" s="36">
        <v>45813</v>
      </c>
      <c r="B365" s="71">
        <f t="shared" si="43"/>
        <v>31</v>
      </c>
      <c r="C365" s="33">
        <f t="shared" si="44"/>
        <v>13083690</v>
      </c>
      <c r="D365" s="48">
        <f t="shared" si="45"/>
        <v>2721971.2699999996</v>
      </c>
      <c r="E365" s="47">
        <f t="shared" si="46"/>
        <v>10361718.73</v>
      </c>
      <c r="F365" s="33">
        <f t="shared" si="47"/>
        <v>813339212.30999994</v>
      </c>
      <c r="G365" s="47">
        <f t="shared" si="48"/>
        <v>810617241.03999996</v>
      </c>
    </row>
    <row r="366" spans="1:7" x14ac:dyDescent="0.25">
      <c r="A366" s="36">
        <v>45843</v>
      </c>
      <c r="B366" s="71">
        <f t="shared" si="43"/>
        <v>30</v>
      </c>
      <c r="C366" s="33">
        <f t="shared" si="44"/>
        <v>13083690</v>
      </c>
      <c r="D366" s="48">
        <f t="shared" si="45"/>
        <v>3089778.8100000005</v>
      </c>
      <c r="E366" s="47">
        <f t="shared" si="46"/>
        <v>9993911.1899999995</v>
      </c>
      <c r="F366" s="33">
        <f t="shared" si="47"/>
        <v>810617241.03999996</v>
      </c>
      <c r="G366" s="47">
        <f t="shared" si="48"/>
        <v>807527462.23000002</v>
      </c>
    </row>
    <row r="367" spans="1:7" x14ac:dyDescent="0.25">
      <c r="A367" s="36">
        <v>45874</v>
      </c>
      <c r="B367" s="71">
        <f t="shared" si="43"/>
        <v>31</v>
      </c>
      <c r="C367" s="33">
        <f t="shared" si="44"/>
        <v>13083690</v>
      </c>
      <c r="D367" s="48">
        <f t="shared" si="45"/>
        <v>2796011.3699999992</v>
      </c>
      <c r="E367" s="47">
        <f t="shared" si="46"/>
        <v>10287678.630000001</v>
      </c>
      <c r="F367" s="33">
        <f t="shared" si="47"/>
        <v>807527462.23000002</v>
      </c>
      <c r="G367" s="47">
        <f t="shared" si="48"/>
        <v>804731450.86000001</v>
      </c>
    </row>
    <row r="368" spans="1:7" x14ac:dyDescent="0.25">
      <c r="A368" s="36">
        <v>45905</v>
      </c>
      <c r="B368" s="71">
        <f t="shared" si="43"/>
        <v>31</v>
      </c>
      <c r="C368" s="33">
        <f t="shared" si="44"/>
        <v>13083690</v>
      </c>
      <c r="D368" s="48">
        <f t="shared" si="45"/>
        <v>2831631.7899999991</v>
      </c>
      <c r="E368" s="47">
        <f t="shared" si="46"/>
        <v>10252058.210000001</v>
      </c>
      <c r="F368" s="33">
        <f t="shared" si="47"/>
        <v>804731450.86000001</v>
      </c>
      <c r="G368" s="47">
        <f t="shared" si="48"/>
        <v>801899819.07000005</v>
      </c>
    </row>
    <row r="369" spans="1:7" x14ac:dyDescent="0.25">
      <c r="A369" s="36">
        <v>45935</v>
      </c>
      <c r="B369" s="71">
        <f t="shared" si="43"/>
        <v>30</v>
      </c>
      <c r="C369" s="33">
        <f t="shared" si="44"/>
        <v>13083690</v>
      </c>
      <c r="D369" s="48">
        <f t="shared" si="45"/>
        <v>3197253.8699999992</v>
      </c>
      <c r="E369" s="47">
        <f t="shared" si="46"/>
        <v>9886436.1300000008</v>
      </c>
      <c r="F369" s="33">
        <f t="shared" si="47"/>
        <v>801899819.07000005</v>
      </c>
      <c r="G369" s="47">
        <f t="shared" si="48"/>
        <v>798702565.20000005</v>
      </c>
    </row>
    <row r="370" spans="1:7" x14ac:dyDescent="0.25">
      <c r="A370" s="36">
        <v>45966</v>
      </c>
      <c r="B370" s="71">
        <f t="shared" si="43"/>
        <v>31</v>
      </c>
      <c r="C370" s="33">
        <f t="shared" si="44"/>
        <v>13083690</v>
      </c>
      <c r="D370" s="48">
        <f t="shared" si="45"/>
        <v>2908438.1400000006</v>
      </c>
      <c r="E370" s="47">
        <f t="shared" si="46"/>
        <v>10175251.859999999</v>
      </c>
      <c r="F370" s="33">
        <f t="shared" si="47"/>
        <v>798702565.20000005</v>
      </c>
      <c r="G370" s="47">
        <f t="shared" si="48"/>
        <v>795794127.06000006</v>
      </c>
    </row>
    <row r="371" spans="1:7" x14ac:dyDescent="0.25">
      <c r="A371" s="36">
        <v>45996</v>
      </c>
      <c r="B371" s="71">
        <f t="shared" si="43"/>
        <v>30</v>
      </c>
      <c r="C371" s="33">
        <f t="shared" si="44"/>
        <v>13083690</v>
      </c>
      <c r="D371" s="48">
        <f t="shared" si="45"/>
        <v>3272529.5299999993</v>
      </c>
      <c r="E371" s="47">
        <f t="shared" si="46"/>
        <v>9811160.4700000007</v>
      </c>
      <c r="F371" s="33">
        <f t="shared" si="47"/>
        <v>795794127.06000006</v>
      </c>
      <c r="G371" s="47">
        <f t="shared" si="48"/>
        <v>792521597.53000009</v>
      </c>
    </row>
    <row r="372" spans="1:7" x14ac:dyDescent="0.25">
      <c r="A372" s="36">
        <v>46027</v>
      </c>
      <c r="B372" s="71">
        <f t="shared" si="43"/>
        <v>31</v>
      </c>
      <c r="C372" s="33">
        <f t="shared" si="44"/>
        <v>13083690</v>
      </c>
      <c r="D372" s="48">
        <f t="shared" si="45"/>
        <v>2987181.9800000004</v>
      </c>
      <c r="E372" s="47">
        <f t="shared" si="46"/>
        <v>10096508.02</v>
      </c>
      <c r="F372" s="33">
        <f t="shared" si="47"/>
        <v>792521597.53000009</v>
      </c>
      <c r="G372" s="47">
        <f t="shared" si="48"/>
        <v>789534415.55000007</v>
      </c>
    </row>
    <row r="373" spans="1:7" x14ac:dyDescent="0.25">
      <c r="A373" s="36">
        <v>46058</v>
      </c>
      <c r="B373" s="71">
        <f t="shared" si="43"/>
        <v>31</v>
      </c>
      <c r="C373" s="33">
        <f t="shared" si="44"/>
        <v>13083690</v>
      </c>
      <c r="D373" s="48">
        <f t="shared" si="45"/>
        <v>3025237.8599999994</v>
      </c>
      <c r="E373" s="47">
        <f t="shared" si="46"/>
        <v>10058452.140000001</v>
      </c>
      <c r="F373" s="33">
        <f t="shared" si="47"/>
        <v>789534415.55000007</v>
      </c>
      <c r="G373" s="47">
        <f t="shared" si="48"/>
        <v>786509177.69000006</v>
      </c>
    </row>
    <row r="374" spans="1:7" x14ac:dyDescent="0.25">
      <c r="A374" s="36">
        <v>46086</v>
      </c>
      <c r="B374" s="71">
        <f t="shared" si="43"/>
        <v>28</v>
      </c>
      <c r="C374" s="33">
        <f t="shared" si="44"/>
        <v>13083690</v>
      </c>
      <c r="D374" s="48">
        <f t="shared" si="45"/>
        <v>4033447.41</v>
      </c>
      <c r="E374" s="47">
        <f t="shared" si="46"/>
        <v>9050242.5899999999</v>
      </c>
      <c r="F374" s="33">
        <f t="shared" si="47"/>
        <v>786509177.69000006</v>
      </c>
      <c r="G374" s="47">
        <f t="shared" si="48"/>
        <v>782475730.28000009</v>
      </c>
    </row>
    <row r="375" spans="1:7" x14ac:dyDescent="0.25">
      <c r="A375" s="36">
        <v>46117</v>
      </c>
      <c r="B375" s="71">
        <f t="shared" ref="B375:B438" si="49">_xlfn.DAYS(A375,A374)</f>
        <v>31</v>
      </c>
      <c r="C375" s="33">
        <f t="shared" ref="C375:C438" si="50">$F$1</f>
        <v>13083690</v>
      </c>
      <c r="D375" s="48">
        <f t="shared" ref="D375:D438" si="51">C375-E375</f>
        <v>3115163.5700000003</v>
      </c>
      <c r="E375" s="47">
        <f t="shared" ref="E375:E438" si="52">ROUND(F375*$B$2*B375/365,2)</f>
        <v>9968526.4299999997</v>
      </c>
      <c r="F375" s="33">
        <f t="shared" ref="F375:F438" si="53">G374</f>
        <v>782475730.28000009</v>
      </c>
      <c r="G375" s="47">
        <f t="shared" ref="G375:G438" si="54">F375-D375</f>
        <v>779360566.71000004</v>
      </c>
    </row>
    <row r="376" spans="1:7" x14ac:dyDescent="0.25">
      <c r="A376" s="36">
        <v>46147</v>
      </c>
      <c r="B376" s="71">
        <f t="shared" si="49"/>
        <v>30</v>
      </c>
      <c r="C376" s="33">
        <f t="shared" si="50"/>
        <v>13083690</v>
      </c>
      <c r="D376" s="48">
        <f t="shared" si="51"/>
        <v>3475135.0700000003</v>
      </c>
      <c r="E376" s="47">
        <f t="shared" si="52"/>
        <v>9608554.9299999997</v>
      </c>
      <c r="F376" s="33">
        <f t="shared" si="53"/>
        <v>779360566.71000004</v>
      </c>
      <c r="G376" s="47">
        <f t="shared" si="54"/>
        <v>775885431.63999999</v>
      </c>
    </row>
    <row r="377" spans="1:7" x14ac:dyDescent="0.25">
      <c r="A377" s="36">
        <v>46178</v>
      </c>
      <c r="B377" s="71">
        <f t="shared" si="49"/>
        <v>31</v>
      </c>
      <c r="C377" s="33">
        <f t="shared" si="50"/>
        <v>13083690</v>
      </c>
      <c r="D377" s="48">
        <f t="shared" si="51"/>
        <v>3199122.17</v>
      </c>
      <c r="E377" s="47">
        <f t="shared" si="52"/>
        <v>9884567.8300000001</v>
      </c>
      <c r="F377" s="33">
        <f t="shared" si="53"/>
        <v>775885431.63999999</v>
      </c>
      <c r="G377" s="47">
        <f t="shared" si="54"/>
        <v>772686309.47000003</v>
      </c>
    </row>
    <row r="378" spans="1:7" x14ac:dyDescent="0.25">
      <c r="A378" s="36">
        <v>46208</v>
      </c>
      <c r="B378" s="71">
        <f t="shared" si="49"/>
        <v>30</v>
      </c>
      <c r="C378" s="33">
        <f t="shared" si="50"/>
        <v>13083690</v>
      </c>
      <c r="D378" s="48">
        <f t="shared" si="51"/>
        <v>3557420.4299999997</v>
      </c>
      <c r="E378" s="47">
        <f t="shared" si="52"/>
        <v>9526269.5700000003</v>
      </c>
      <c r="F378" s="33">
        <f t="shared" si="53"/>
        <v>772686309.47000003</v>
      </c>
      <c r="G378" s="47">
        <f t="shared" si="54"/>
        <v>769128889.04000008</v>
      </c>
    </row>
    <row r="379" spans="1:7" x14ac:dyDescent="0.25">
      <c r="A379" s="36">
        <v>46239</v>
      </c>
      <c r="B379" s="71">
        <f t="shared" si="49"/>
        <v>31</v>
      </c>
      <c r="C379" s="33">
        <f t="shared" si="50"/>
        <v>13083690</v>
      </c>
      <c r="D379" s="48">
        <f t="shared" si="51"/>
        <v>3285198.67</v>
      </c>
      <c r="E379" s="47">
        <f t="shared" si="52"/>
        <v>9798491.3300000001</v>
      </c>
      <c r="F379" s="33">
        <f t="shared" si="53"/>
        <v>769128889.04000008</v>
      </c>
      <c r="G379" s="47">
        <f t="shared" si="54"/>
        <v>765843690.37000012</v>
      </c>
    </row>
    <row r="380" spans="1:7" x14ac:dyDescent="0.25">
      <c r="A380" s="36">
        <v>46270</v>
      </c>
      <c r="B380" s="71">
        <f t="shared" si="49"/>
        <v>31</v>
      </c>
      <c r="C380" s="33">
        <f t="shared" si="50"/>
        <v>13083690</v>
      </c>
      <c r="D380" s="48">
        <f t="shared" si="51"/>
        <v>3327051.1999999993</v>
      </c>
      <c r="E380" s="47">
        <f t="shared" si="52"/>
        <v>9756638.8000000007</v>
      </c>
      <c r="F380" s="33">
        <f t="shared" si="53"/>
        <v>765843690.37000012</v>
      </c>
      <c r="G380" s="47">
        <f t="shared" si="54"/>
        <v>762516639.17000008</v>
      </c>
    </row>
    <row r="381" spans="1:7" x14ac:dyDescent="0.25">
      <c r="A381" s="36">
        <v>46300</v>
      </c>
      <c r="B381" s="71">
        <f t="shared" si="49"/>
        <v>30</v>
      </c>
      <c r="C381" s="33">
        <f t="shared" si="50"/>
        <v>13083690</v>
      </c>
      <c r="D381" s="48">
        <f t="shared" si="51"/>
        <v>3682799.9299999997</v>
      </c>
      <c r="E381" s="47">
        <f t="shared" si="52"/>
        <v>9400890.0700000003</v>
      </c>
      <c r="F381" s="33">
        <f t="shared" si="53"/>
        <v>762516639.17000008</v>
      </c>
      <c r="G381" s="47">
        <f t="shared" si="54"/>
        <v>758833839.24000013</v>
      </c>
    </row>
    <row r="382" spans="1:7" x14ac:dyDescent="0.25">
      <c r="A382" s="36">
        <v>46331</v>
      </c>
      <c r="B382" s="71">
        <f t="shared" si="49"/>
        <v>31</v>
      </c>
      <c r="C382" s="33">
        <f t="shared" si="50"/>
        <v>13083690</v>
      </c>
      <c r="D382" s="48">
        <f t="shared" si="51"/>
        <v>3416354.7899999991</v>
      </c>
      <c r="E382" s="47">
        <f t="shared" si="52"/>
        <v>9667335.2100000009</v>
      </c>
      <c r="F382" s="33">
        <f t="shared" si="53"/>
        <v>758833839.24000013</v>
      </c>
      <c r="G382" s="47">
        <f t="shared" si="54"/>
        <v>755417484.45000017</v>
      </c>
    </row>
    <row r="383" spans="1:7" x14ac:dyDescent="0.25">
      <c r="A383" s="36">
        <v>46361</v>
      </c>
      <c r="B383" s="71">
        <f t="shared" si="49"/>
        <v>30</v>
      </c>
      <c r="C383" s="33">
        <f t="shared" si="50"/>
        <v>13083690</v>
      </c>
      <c r="D383" s="48">
        <f t="shared" si="51"/>
        <v>3770323.75</v>
      </c>
      <c r="E383" s="47">
        <f t="shared" si="52"/>
        <v>9313366.25</v>
      </c>
      <c r="F383" s="33">
        <f t="shared" si="53"/>
        <v>755417484.45000017</v>
      </c>
      <c r="G383" s="47">
        <f t="shared" si="54"/>
        <v>751647160.70000017</v>
      </c>
    </row>
    <row r="384" spans="1:7" x14ac:dyDescent="0.25">
      <c r="A384" s="36">
        <v>46392</v>
      </c>
      <c r="B384" s="71">
        <f t="shared" si="49"/>
        <v>31</v>
      </c>
      <c r="C384" s="33">
        <f t="shared" si="50"/>
        <v>13083690</v>
      </c>
      <c r="D384" s="48">
        <f t="shared" si="51"/>
        <v>3507911.0999999996</v>
      </c>
      <c r="E384" s="47">
        <f t="shared" si="52"/>
        <v>9575778.9000000004</v>
      </c>
      <c r="F384" s="33">
        <f t="shared" si="53"/>
        <v>751647160.70000017</v>
      </c>
      <c r="G384" s="47">
        <f t="shared" si="54"/>
        <v>748139249.60000014</v>
      </c>
    </row>
    <row r="385" spans="1:7" x14ac:dyDescent="0.25">
      <c r="A385" s="36">
        <v>46423</v>
      </c>
      <c r="B385" s="71">
        <f t="shared" si="49"/>
        <v>31</v>
      </c>
      <c r="C385" s="33">
        <f t="shared" si="50"/>
        <v>13083690</v>
      </c>
      <c r="D385" s="48">
        <f t="shared" si="51"/>
        <v>3552600.9299999997</v>
      </c>
      <c r="E385" s="47">
        <f t="shared" si="52"/>
        <v>9531089.0700000003</v>
      </c>
      <c r="F385" s="33">
        <f t="shared" si="53"/>
        <v>748139249.60000014</v>
      </c>
      <c r="G385" s="47">
        <f t="shared" si="54"/>
        <v>744586648.6700002</v>
      </c>
    </row>
    <row r="386" spans="1:7" x14ac:dyDescent="0.25">
      <c r="A386" s="36">
        <v>46451</v>
      </c>
      <c r="B386" s="71">
        <f t="shared" si="49"/>
        <v>28</v>
      </c>
      <c r="C386" s="33">
        <f t="shared" si="50"/>
        <v>13083690</v>
      </c>
      <c r="D386" s="48">
        <f t="shared" si="51"/>
        <v>4515843.6300000008</v>
      </c>
      <c r="E386" s="47">
        <f t="shared" si="52"/>
        <v>8567846.3699999992</v>
      </c>
      <c r="F386" s="33">
        <f t="shared" si="53"/>
        <v>744586648.6700002</v>
      </c>
      <c r="G386" s="47">
        <f t="shared" si="54"/>
        <v>740070805.0400002</v>
      </c>
    </row>
    <row r="387" spans="1:7" x14ac:dyDescent="0.25">
      <c r="A387" s="36">
        <v>46482</v>
      </c>
      <c r="B387" s="71">
        <f t="shared" si="49"/>
        <v>31</v>
      </c>
      <c r="C387" s="33">
        <f t="shared" si="50"/>
        <v>13083690</v>
      </c>
      <c r="D387" s="48">
        <f t="shared" si="51"/>
        <v>3655390.6999999993</v>
      </c>
      <c r="E387" s="47">
        <f t="shared" si="52"/>
        <v>9428299.3000000007</v>
      </c>
      <c r="F387" s="33">
        <f t="shared" si="53"/>
        <v>740070805.0400002</v>
      </c>
      <c r="G387" s="47">
        <f t="shared" si="54"/>
        <v>736415414.34000015</v>
      </c>
    </row>
    <row r="388" spans="1:7" x14ac:dyDescent="0.25">
      <c r="A388" s="36">
        <v>46512</v>
      </c>
      <c r="B388" s="71">
        <f t="shared" si="49"/>
        <v>30</v>
      </c>
      <c r="C388" s="33">
        <f t="shared" si="50"/>
        <v>13083690</v>
      </c>
      <c r="D388" s="48">
        <f t="shared" si="51"/>
        <v>4004595.8499999996</v>
      </c>
      <c r="E388" s="47">
        <f t="shared" si="52"/>
        <v>9079094.1500000004</v>
      </c>
      <c r="F388" s="33">
        <f t="shared" si="53"/>
        <v>736415414.34000015</v>
      </c>
      <c r="G388" s="47">
        <f t="shared" si="54"/>
        <v>732410818.49000013</v>
      </c>
    </row>
    <row r="389" spans="1:7" x14ac:dyDescent="0.25">
      <c r="A389" s="36">
        <v>46543</v>
      </c>
      <c r="B389" s="71">
        <f t="shared" si="49"/>
        <v>31</v>
      </c>
      <c r="C389" s="33">
        <f t="shared" si="50"/>
        <v>13083690</v>
      </c>
      <c r="D389" s="48">
        <f t="shared" si="51"/>
        <v>3752976.83</v>
      </c>
      <c r="E389" s="47">
        <f t="shared" si="52"/>
        <v>9330713.1699999999</v>
      </c>
      <c r="F389" s="33">
        <f t="shared" si="53"/>
        <v>732410818.49000013</v>
      </c>
      <c r="G389" s="47">
        <f t="shared" si="54"/>
        <v>728657841.66000009</v>
      </c>
    </row>
    <row r="390" spans="1:7" x14ac:dyDescent="0.25">
      <c r="A390" s="36">
        <v>46573</v>
      </c>
      <c r="B390" s="71">
        <f t="shared" si="49"/>
        <v>30</v>
      </c>
      <c r="C390" s="33">
        <f t="shared" si="50"/>
        <v>13083690</v>
      </c>
      <c r="D390" s="48">
        <f t="shared" si="51"/>
        <v>4100237.16</v>
      </c>
      <c r="E390" s="47">
        <f t="shared" si="52"/>
        <v>8983452.8399999999</v>
      </c>
      <c r="F390" s="33">
        <f t="shared" si="53"/>
        <v>728657841.66000009</v>
      </c>
      <c r="G390" s="47">
        <f t="shared" si="54"/>
        <v>724557604.50000012</v>
      </c>
    </row>
    <row r="391" spans="1:7" x14ac:dyDescent="0.25">
      <c r="A391" s="36">
        <v>46604</v>
      </c>
      <c r="B391" s="71">
        <f t="shared" si="49"/>
        <v>31</v>
      </c>
      <c r="C391" s="33">
        <f t="shared" si="50"/>
        <v>13083690</v>
      </c>
      <c r="D391" s="48">
        <f t="shared" si="51"/>
        <v>3853024.6300000008</v>
      </c>
      <c r="E391" s="47">
        <f t="shared" si="52"/>
        <v>9230665.3699999992</v>
      </c>
      <c r="F391" s="33">
        <f t="shared" si="53"/>
        <v>724557604.50000012</v>
      </c>
      <c r="G391" s="47">
        <f t="shared" si="54"/>
        <v>720704579.87000012</v>
      </c>
    </row>
    <row r="392" spans="1:7" x14ac:dyDescent="0.25">
      <c r="A392" s="36">
        <v>46635</v>
      </c>
      <c r="B392" s="71">
        <f t="shared" si="49"/>
        <v>31</v>
      </c>
      <c r="C392" s="33">
        <f t="shared" si="50"/>
        <v>13083690</v>
      </c>
      <c r="D392" s="48">
        <f t="shared" si="51"/>
        <v>3902111.1099999994</v>
      </c>
      <c r="E392" s="47">
        <f t="shared" si="52"/>
        <v>9181578.8900000006</v>
      </c>
      <c r="F392" s="33">
        <f t="shared" si="53"/>
        <v>720704579.87000012</v>
      </c>
      <c r="G392" s="47">
        <f t="shared" si="54"/>
        <v>716802468.76000011</v>
      </c>
    </row>
    <row r="393" spans="1:7" x14ac:dyDescent="0.25">
      <c r="A393" s="36">
        <v>46665</v>
      </c>
      <c r="B393" s="71">
        <f t="shared" si="49"/>
        <v>30</v>
      </c>
      <c r="C393" s="33">
        <f t="shared" si="50"/>
        <v>13083690</v>
      </c>
      <c r="D393" s="48">
        <f t="shared" si="51"/>
        <v>4246399.2899999991</v>
      </c>
      <c r="E393" s="47">
        <f t="shared" si="52"/>
        <v>8837290.7100000009</v>
      </c>
      <c r="F393" s="33">
        <f t="shared" si="53"/>
        <v>716802468.76000011</v>
      </c>
      <c r="G393" s="47">
        <f t="shared" si="54"/>
        <v>712556069.47000015</v>
      </c>
    </row>
    <row r="394" spans="1:7" x14ac:dyDescent="0.25">
      <c r="A394" s="36">
        <v>46696</v>
      </c>
      <c r="B394" s="71">
        <f t="shared" si="49"/>
        <v>31</v>
      </c>
      <c r="C394" s="33">
        <f t="shared" si="50"/>
        <v>13083690</v>
      </c>
      <c r="D394" s="48">
        <f t="shared" si="51"/>
        <v>4005920.9000000004</v>
      </c>
      <c r="E394" s="47">
        <f t="shared" si="52"/>
        <v>9077769.0999999996</v>
      </c>
      <c r="F394" s="33">
        <f t="shared" si="53"/>
        <v>712556069.47000015</v>
      </c>
      <c r="G394" s="47">
        <f t="shared" si="54"/>
        <v>708550148.57000017</v>
      </c>
    </row>
    <row r="395" spans="1:7" x14ac:dyDescent="0.25">
      <c r="A395" s="36">
        <v>46726</v>
      </c>
      <c r="B395" s="71">
        <f t="shared" si="49"/>
        <v>30</v>
      </c>
      <c r="C395" s="33">
        <f t="shared" si="50"/>
        <v>13083690</v>
      </c>
      <c r="D395" s="48">
        <f t="shared" si="51"/>
        <v>4348140.2200000007</v>
      </c>
      <c r="E395" s="47">
        <f t="shared" si="52"/>
        <v>8735549.7799999993</v>
      </c>
      <c r="F395" s="33">
        <f t="shared" si="53"/>
        <v>708550148.57000017</v>
      </c>
      <c r="G395" s="47">
        <f t="shared" si="54"/>
        <v>704202008.35000014</v>
      </c>
    </row>
    <row r="396" spans="1:7" x14ac:dyDescent="0.25">
      <c r="A396" s="36">
        <v>46757</v>
      </c>
      <c r="B396" s="71">
        <f t="shared" si="49"/>
        <v>31</v>
      </c>
      <c r="C396" s="33">
        <f t="shared" si="50"/>
        <v>13083690</v>
      </c>
      <c r="D396" s="48">
        <f t="shared" si="51"/>
        <v>4112349.3499999996</v>
      </c>
      <c r="E396" s="47">
        <f t="shared" si="52"/>
        <v>8971340.6500000004</v>
      </c>
      <c r="F396" s="33">
        <f t="shared" si="53"/>
        <v>704202008.35000014</v>
      </c>
      <c r="G396" s="47">
        <f t="shared" si="54"/>
        <v>700089659.00000012</v>
      </c>
    </row>
    <row r="397" spans="1:7" x14ac:dyDescent="0.25">
      <c r="A397" s="36">
        <v>46788</v>
      </c>
      <c r="B397" s="71">
        <f t="shared" si="49"/>
        <v>31</v>
      </c>
      <c r="C397" s="33">
        <f t="shared" si="50"/>
        <v>13083690</v>
      </c>
      <c r="D397" s="48">
        <f t="shared" si="51"/>
        <v>4164739.5500000007</v>
      </c>
      <c r="E397" s="47">
        <f t="shared" si="52"/>
        <v>8918950.4499999993</v>
      </c>
      <c r="F397" s="33">
        <f t="shared" si="53"/>
        <v>700089659.00000012</v>
      </c>
      <c r="G397" s="47">
        <f t="shared" si="54"/>
        <v>695924919.45000017</v>
      </c>
    </row>
    <row r="398" spans="1:7" x14ac:dyDescent="0.25">
      <c r="A398" s="36">
        <v>46817</v>
      </c>
      <c r="B398" s="71">
        <f t="shared" si="49"/>
        <v>29</v>
      </c>
      <c r="C398" s="33">
        <f t="shared" si="50"/>
        <v>13083690</v>
      </c>
      <c r="D398" s="48">
        <f t="shared" si="51"/>
        <v>4789790.28</v>
      </c>
      <c r="E398" s="47">
        <f t="shared" si="52"/>
        <v>8293899.7199999997</v>
      </c>
      <c r="F398" s="33">
        <f t="shared" si="53"/>
        <v>695924919.45000017</v>
      </c>
      <c r="G398" s="47">
        <f t="shared" si="54"/>
        <v>691135129.1700002</v>
      </c>
    </row>
    <row r="399" spans="1:7" x14ac:dyDescent="0.25">
      <c r="A399" s="36">
        <v>46848</v>
      </c>
      <c r="B399" s="71">
        <f t="shared" si="49"/>
        <v>31</v>
      </c>
      <c r="C399" s="33">
        <f t="shared" si="50"/>
        <v>13083690</v>
      </c>
      <c r="D399" s="48">
        <f t="shared" si="51"/>
        <v>4278817.8100000005</v>
      </c>
      <c r="E399" s="47">
        <f t="shared" si="52"/>
        <v>8804872.1899999995</v>
      </c>
      <c r="F399" s="33">
        <f t="shared" si="53"/>
        <v>691135129.1700002</v>
      </c>
      <c r="G399" s="47">
        <f t="shared" si="54"/>
        <v>686856311.36000025</v>
      </c>
    </row>
    <row r="400" spans="1:7" x14ac:dyDescent="0.25">
      <c r="A400" s="36">
        <v>46878</v>
      </c>
      <c r="B400" s="71">
        <f t="shared" si="49"/>
        <v>30</v>
      </c>
      <c r="C400" s="33">
        <f t="shared" si="50"/>
        <v>13083690</v>
      </c>
      <c r="D400" s="48">
        <f t="shared" si="51"/>
        <v>4615598.49</v>
      </c>
      <c r="E400" s="47">
        <f t="shared" si="52"/>
        <v>8468091.5099999998</v>
      </c>
      <c r="F400" s="33">
        <f t="shared" si="53"/>
        <v>686856311.36000025</v>
      </c>
      <c r="G400" s="47">
        <f t="shared" si="54"/>
        <v>682240712.87000024</v>
      </c>
    </row>
    <row r="401" spans="1:7" x14ac:dyDescent="0.25">
      <c r="A401" s="36">
        <v>46909</v>
      </c>
      <c r="B401" s="71">
        <f t="shared" si="49"/>
        <v>31</v>
      </c>
      <c r="C401" s="33">
        <f t="shared" si="50"/>
        <v>13083690</v>
      </c>
      <c r="D401" s="48">
        <f t="shared" si="51"/>
        <v>4392130.2300000004</v>
      </c>
      <c r="E401" s="47">
        <f t="shared" si="52"/>
        <v>8691559.7699999996</v>
      </c>
      <c r="F401" s="33">
        <f t="shared" si="53"/>
        <v>682240712.87000024</v>
      </c>
      <c r="G401" s="47">
        <f t="shared" si="54"/>
        <v>677848582.64000022</v>
      </c>
    </row>
    <row r="402" spans="1:7" x14ac:dyDescent="0.25">
      <c r="A402" s="36">
        <v>46939</v>
      </c>
      <c r="B402" s="71">
        <f t="shared" si="49"/>
        <v>30</v>
      </c>
      <c r="C402" s="33">
        <f t="shared" si="50"/>
        <v>13083690</v>
      </c>
      <c r="D402" s="48">
        <f t="shared" si="51"/>
        <v>4726652.68</v>
      </c>
      <c r="E402" s="47">
        <f t="shared" si="52"/>
        <v>8357037.3200000003</v>
      </c>
      <c r="F402" s="33">
        <f t="shared" si="53"/>
        <v>677848582.64000022</v>
      </c>
      <c r="G402" s="47">
        <f t="shared" si="54"/>
        <v>673121929.96000028</v>
      </c>
    </row>
    <row r="403" spans="1:7" x14ac:dyDescent="0.25">
      <c r="A403" s="36">
        <v>46970</v>
      </c>
      <c r="B403" s="71">
        <f t="shared" si="49"/>
        <v>31</v>
      </c>
      <c r="C403" s="33">
        <f t="shared" si="50"/>
        <v>13083690</v>
      </c>
      <c r="D403" s="48">
        <f t="shared" si="51"/>
        <v>4508301.0299999993</v>
      </c>
      <c r="E403" s="47">
        <f t="shared" si="52"/>
        <v>8575388.9700000007</v>
      </c>
      <c r="F403" s="33">
        <f t="shared" si="53"/>
        <v>673121929.96000028</v>
      </c>
      <c r="G403" s="47">
        <f t="shared" si="54"/>
        <v>668613628.93000031</v>
      </c>
    </row>
    <row r="404" spans="1:7" x14ac:dyDescent="0.25">
      <c r="A404" s="36">
        <v>47001</v>
      </c>
      <c r="B404" s="71">
        <f t="shared" si="49"/>
        <v>31</v>
      </c>
      <c r="C404" s="33">
        <f t="shared" si="50"/>
        <v>13083690</v>
      </c>
      <c r="D404" s="48">
        <f t="shared" si="51"/>
        <v>4565735.5500000007</v>
      </c>
      <c r="E404" s="47">
        <f t="shared" si="52"/>
        <v>8517954.4499999993</v>
      </c>
      <c r="F404" s="33">
        <f t="shared" si="53"/>
        <v>668613628.93000031</v>
      </c>
      <c r="G404" s="47">
        <f t="shared" si="54"/>
        <v>664047893.38000035</v>
      </c>
    </row>
    <row r="405" spans="1:7" x14ac:dyDescent="0.25">
      <c r="A405" s="36">
        <v>47031</v>
      </c>
      <c r="B405" s="71">
        <f t="shared" si="49"/>
        <v>30</v>
      </c>
      <c r="C405" s="33">
        <f t="shared" si="50"/>
        <v>13083690</v>
      </c>
      <c r="D405" s="48">
        <f t="shared" si="51"/>
        <v>4896798.16</v>
      </c>
      <c r="E405" s="47">
        <f t="shared" si="52"/>
        <v>8186891.8399999999</v>
      </c>
      <c r="F405" s="33">
        <f t="shared" si="53"/>
        <v>664047893.38000035</v>
      </c>
      <c r="G405" s="47">
        <f t="shared" si="54"/>
        <v>659151095.22000039</v>
      </c>
    </row>
    <row r="406" spans="1:7" x14ac:dyDescent="0.25">
      <c r="A406" s="36">
        <v>47062</v>
      </c>
      <c r="B406" s="71">
        <f t="shared" si="49"/>
        <v>31</v>
      </c>
      <c r="C406" s="33">
        <f t="shared" si="50"/>
        <v>13083690</v>
      </c>
      <c r="D406" s="48">
        <f t="shared" si="51"/>
        <v>4686285.6400000006</v>
      </c>
      <c r="E406" s="47">
        <f t="shared" si="52"/>
        <v>8397404.3599999994</v>
      </c>
      <c r="F406" s="33">
        <f t="shared" si="53"/>
        <v>659151095.22000039</v>
      </c>
      <c r="G406" s="47">
        <f t="shared" si="54"/>
        <v>654464809.5800004</v>
      </c>
    </row>
    <row r="407" spans="1:7" x14ac:dyDescent="0.25">
      <c r="A407" s="36">
        <v>47092</v>
      </c>
      <c r="B407" s="71">
        <f t="shared" si="49"/>
        <v>30</v>
      </c>
      <c r="C407" s="33">
        <f t="shared" si="50"/>
        <v>13083690</v>
      </c>
      <c r="D407" s="48">
        <f t="shared" si="51"/>
        <v>5014945.7699999996</v>
      </c>
      <c r="E407" s="47">
        <f t="shared" si="52"/>
        <v>8068744.2300000004</v>
      </c>
      <c r="F407" s="33">
        <f t="shared" si="53"/>
        <v>654464809.5800004</v>
      </c>
      <c r="G407" s="47">
        <f t="shared" si="54"/>
        <v>649449863.81000042</v>
      </c>
    </row>
    <row r="408" spans="1:7" x14ac:dyDescent="0.25">
      <c r="A408" s="36">
        <v>47123</v>
      </c>
      <c r="B408" s="71">
        <f t="shared" si="49"/>
        <v>31</v>
      </c>
      <c r="C408" s="33">
        <f t="shared" si="50"/>
        <v>13083690</v>
      </c>
      <c r="D408" s="48">
        <f t="shared" si="51"/>
        <v>4809876.67</v>
      </c>
      <c r="E408" s="47">
        <f t="shared" si="52"/>
        <v>8273813.3300000001</v>
      </c>
      <c r="F408" s="33">
        <f t="shared" si="53"/>
        <v>649449863.81000042</v>
      </c>
      <c r="G408" s="47">
        <f t="shared" si="54"/>
        <v>644639987.14000046</v>
      </c>
    </row>
    <row r="409" spans="1:7" x14ac:dyDescent="0.25">
      <c r="A409" s="36">
        <v>47154</v>
      </c>
      <c r="B409" s="71">
        <f t="shared" si="49"/>
        <v>31</v>
      </c>
      <c r="C409" s="33">
        <f t="shared" si="50"/>
        <v>13083690</v>
      </c>
      <c r="D409" s="48">
        <f t="shared" si="51"/>
        <v>4871153.18</v>
      </c>
      <c r="E409" s="47">
        <f t="shared" si="52"/>
        <v>8212536.8200000003</v>
      </c>
      <c r="F409" s="33">
        <f t="shared" si="53"/>
        <v>644639987.14000046</v>
      </c>
      <c r="G409" s="47">
        <f t="shared" si="54"/>
        <v>639768833.96000051</v>
      </c>
    </row>
    <row r="410" spans="1:7" x14ac:dyDescent="0.25">
      <c r="A410" s="36">
        <v>47182</v>
      </c>
      <c r="B410" s="71">
        <f t="shared" si="49"/>
        <v>28</v>
      </c>
      <c r="C410" s="33">
        <f t="shared" si="50"/>
        <v>13083690</v>
      </c>
      <c r="D410" s="48">
        <f t="shared" si="51"/>
        <v>5721966.4299999997</v>
      </c>
      <c r="E410" s="47">
        <f t="shared" si="52"/>
        <v>7361723.5700000003</v>
      </c>
      <c r="F410" s="33">
        <f t="shared" si="53"/>
        <v>639768833.96000051</v>
      </c>
      <c r="G410" s="47">
        <f t="shared" si="54"/>
        <v>634046867.53000057</v>
      </c>
    </row>
    <row r="411" spans="1:7" x14ac:dyDescent="0.25">
      <c r="A411" s="36">
        <v>47213</v>
      </c>
      <c r="B411" s="71">
        <f t="shared" si="49"/>
        <v>31</v>
      </c>
      <c r="C411" s="33">
        <f t="shared" si="50"/>
        <v>13083690</v>
      </c>
      <c r="D411" s="48">
        <f t="shared" si="51"/>
        <v>5006106.62</v>
      </c>
      <c r="E411" s="47">
        <f t="shared" si="52"/>
        <v>8077583.3799999999</v>
      </c>
      <c r="F411" s="33">
        <f t="shared" si="53"/>
        <v>634046867.53000057</v>
      </c>
      <c r="G411" s="47">
        <f t="shared" si="54"/>
        <v>629040760.91000056</v>
      </c>
    </row>
    <row r="412" spans="1:7" x14ac:dyDescent="0.25">
      <c r="A412" s="36">
        <v>47243</v>
      </c>
      <c r="B412" s="71">
        <f t="shared" si="49"/>
        <v>30</v>
      </c>
      <c r="C412" s="33">
        <f t="shared" si="50"/>
        <v>13083690</v>
      </c>
      <c r="D412" s="48">
        <f t="shared" si="51"/>
        <v>5328392.95</v>
      </c>
      <c r="E412" s="47">
        <f t="shared" si="52"/>
        <v>7755297.0499999998</v>
      </c>
      <c r="F412" s="33">
        <f t="shared" si="53"/>
        <v>629040760.91000056</v>
      </c>
      <c r="G412" s="47">
        <f t="shared" si="54"/>
        <v>623712367.96000051</v>
      </c>
    </row>
    <row r="413" spans="1:7" x14ac:dyDescent="0.25">
      <c r="A413" s="36">
        <v>47274</v>
      </c>
      <c r="B413" s="71">
        <f t="shared" si="49"/>
        <v>31</v>
      </c>
      <c r="C413" s="33">
        <f t="shared" si="50"/>
        <v>13083690</v>
      </c>
      <c r="D413" s="48">
        <f t="shared" si="51"/>
        <v>5137765.3099999996</v>
      </c>
      <c r="E413" s="47">
        <f t="shared" si="52"/>
        <v>7945924.6900000004</v>
      </c>
      <c r="F413" s="33">
        <f t="shared" si="53"/>
        <v>623712367.96000051</v>
      </c>
      <c r="G413" s="47">
        <f t="shared" si="54"/>
        <v>618574602.65000057</v>
      </c>
    </row>
    <row r="414" spans="1:7" x14ac:dyDescent="0.25">
      <c r="A414" s="36">
        <v>47304</v>
      </c>
      <c r="B414" s="71">
        <f t="shared" si="49"/>
        <v>30</v>
      </c>
      <c r="C414" s="33">
        <f t="shared" si="50"/>
        <v>13083690</v>
      </c>
      <c r="D414" s="48">
        <f t="shared" si="51"/>
        <v>5457427.7800000003</v>
      </c>
      <c r="E414" s="47">
        <f t="shared" si="52"/>
        <v>7626262.2199999997</v>
      </c>
      <c r="F414" s="33">
        <f t="shared" si="53"/>
        <v>618574602.65000057</v>
      </c>
      <c r="G414" s="47">
        <f t="shared" si="54"/>
        <v>613117174.8700006</v>
      </c>
    </row>
    <row r="415" spans="1:7" x14ac:dyDescent="0.25">
      <c r="A415" s="36">
        <v>47335</v>
      </c>
      <c r="B415" s="71">
        <f t="shared" si="49"/>
        <v>31</v>
      </c>
      <c r="C415" s="33">
        <f t="shared" si="50"/>
        <v>13083690</v>
      </c>
      <c r="D415" s="48">
        <f t="shared" si="51"/>
        <v>5272745.17</v>
      </c>
      <c r="E415" s="47">
        <f t="shared" si="52"/>
        <v>7810944.8300000001</v>
      </c>
      <c r="F415" s="33">
        <f t="shared" si="53"/>
        <v>613117174.8700006</v>
      </c>
      <c r="G415" s="47">
        <f t="shared" si="54"/>
        <v>607844429.70000064</v>
      </c>
    </row>
    <row r="416" spans="1:7" x14ac:dyDescent="0.25">
      <c r="A416" s="36">
        <v>47366</v>
      </c>
      <c r="B416" s="71">
        <f t="shared" si="49"/>
        <v>31</v>
      </c>
      <c r="C416" s="33">
        <f t="shared" si="50"/>
        <v>13083690</v>
      </c>
      <c r="D416" s="48">
        <f t="shared" si="51"/>
        <v>5339918.5</v>
      </c>
      <c r="E416" s="47">
        <f t="shared" si="52"/>
        <v>7743771.5</v>
      </c>
      <c r="F416" s="33">
        <f t="shared" si="53"/>
        <v>607844429.70000064</v>
      </c>
      <c r="G416" s="47">
        <f t="shared" si="54"/>
        <v>602504511.20000064</v>
      </c>
    </row>
    <row r="417" spans="1:7" x14ac:dyDescent="0.25">
      <c r="A417" s="36">
        <v>47396</v>
      </c>
      <c r="B417" s="71">
        <f t="shared" si="49"/>
        <v>30</v>
      </c>
      <c r="C417" s="33">
        <f t="shared" si="50"/>
        <v>13083690</v>
      </c>
      <c r="D417" s="48">
        <f t="shared" si="51"/>
        <v>5655552.1900000004</v>
      </c>
      <c r="E417" s="47">
        <f t="shared" si="52"/>
        <v>7428137.8099999996</v>
      </c>
      <c r="F417" s="33">
        <f t="shared" si="53"/>
        <v>602504511.20000064</v>
      </c>
      <c r="G417" s="47">
        <f t="shared" si="54"/>
        <v>596848959.01000059</v>
      </c>
    </row>
    <row r="418" spans="1:7" x14ac:dyDescent="0.25">
      <c r="A418" s="36">
        <v>47427</v>
      </c>
      <c r="B418" s="71">
        <f t="shared" si="49"/>
        <v>31</v>
      </c>
      <c r="C418" s="33">
        <f t="shared" si="50"/>
        <v>13083690</v>
      </c>
      <c r="D418" s="48">
        <f t="shared" si="51"/>
        <v>5479997.7800000003</v>
      </c>
      <c r="E418" s="47">
        <f t="shared" si="52"/>
        <v>7603692.2199999997</v>
      </c>
      <c r="F418" s="33">
        <f t="shared" si="53"/>
        <v>596848959.01000059</v>
      </c>
      <c r="G418" s="47">
        <f t="shared" si="54"/>
        <v>591368961.23000062</v>
      </c>
    </row>
    <row r="419" spans="1:7" x14ac:dyDescent="0.25">
      <c r="A419" s="36">
        <v>47457</v>
      </c>
      <c r="B419" s="71">
        <f t="shared" si="49"/>
        <v>30</v>
      </c>
      <c r="C419" s="33">
        <f t="shared" si="50"/>
        <v>13083690</v>
      </c>
      <c r="D419" s="48">
        <f t="shared" si="51"/>
        <v>5792839.79</v>
      </c>
      <c r="E419" s="47">
        <f t="shared" si="52"/>
        <v>7290850.21</v>
      </c>
      <c r="F419" s="33">
        <f t="shared" si="53"/>
        <v>591368961.23000062</v>
      </c>
      <c r="G419" s="47">
        <f t="shared" si="54"/>
        <v>585576121.44000065</v>
      </c>
    </row>
    <row r="420" spans="1:7" x14ac:dyDescent="0.25">
      <c r="A420" s="36">
        <v>47488</v>
      </c>
      <c r="B420" s="71">
        <f t="shared" si="49"/>
        <v>31</v>
      </c>
      <c r="C420" s="33">
        <f t="shared" si="50"/>
        <v>13083690</v>
      </c>
      <c r="D420" s="48">
        <f t="shared" si="51"/>
        <v>5623610.6399999997</v>
      </c>
      <c r="E420" s="47">
        <f t="shared" si="52"/>
        <v>7460079.3600000003</v>
      </c>
      <c r="F420" s="33">
        <f t="shared" si="53"/>
        <v>585576121.44000065</v>
      </c>
      <c r="G420" s="47">
        <f t="shared" si="54"/>
        <v>579952510.80000067</v>
      </c>
    </row>
    <row r="421" spans="1:7" x14ac:dyDescent="0.25">
      <c r="A421" s="36">
        <v>47519</v>
      </c>
      <c r="B421" s="71">
        <f t="shared" si="49"/>
        <v>31</v>
      </c>
      <c r="C421" s="33">
        <f t="shared" si="50"/>
        <v>13083690</v>
      </c>
      <c r="D421" s="48">
        <f t="shared" si="51"/>
        <v>5695253.9000000004</v>
      </c>
      <c r="E421" s="47">
        <f t="shared" si="52"/>
        <v>7388436.0999999996</v>
      </c>
      <c r="F421" s="33">
        <f t="shared" si="53"/>
        <v>579952510.80000067</v>
      </c>
      <c r="G421" s="47">
        <f t="shared" si="54"/>
        <v>574257256.90000069</v>
      </c>
    </row>
    <row r="422" spans="1:7" x14ac:dyDescent="0.25">
      <c r="A422" s="36">
        <v>47547</v>
      </c>
      <c r="B422" s="71">
        <f t="shared" si="49"/>
        <v>28</v>
      </c>
      <c r="C422" s="33">
        <f t="shared" si="50"/>
        <v>13083690</v>
      </c>
      <c r="D422" s="48">
        <f t="shared" si="51"/>
        <v>6475798.2800000003</v>
      </c>
      <c r="E422" s="47">
        <f t="shared" si="52"/>
        <v>6607891.7199999997</v>
      </c>
      <c r="F422" s="33">
        <f t="shared" si="53"/>
        <v>574257256.90000069</v>
      </c>
      <c r="G422" s="47">
        <f t="shared" si="54"/>
        <v>567781458.62000072</v>
      </c>
    </row>
    <row r="423" spans="1:7" x14ac:dyDescent="0.25">
      <c r="A423" s="36">
        <v>47578</v>
      </c>
      <c r="B423" s="71">
        <f t="shared" si="49"/>
        <v>31</v>
      </c>
      <c r="C423" s="33">
        <f t="shared" si="50"/>
        <v>13083690</v>
      </c>
      <c r="D423" s="48">
        <f t="shared" si="51"/>
        <v>5850309.7699999996</v>
      </c>
      <c r="E423" s="47">
        <f t="shared" si="52"/>
        <v>7233380.2300000004</v>
      </c>
      <c r="F423" s="33">
        <f t="shared" si="53"/>
        <v>567781458.62000072</v>
      </c>
      <c r="G423" s="47">
        <f t="shared" si="54"/>
        <v>561931148.85000074</v>
      </c>
    </row>
    <row r="424" spans="1:7" x14ac:dyDescent="0.25">
      <c r="A424" s="36">
        <v>47608</v>
      </c>
      <c r="B424" s="71">
        <f t="shared" si="49"/>
        <v>30</v>
      </c>
      <c r="C424" s="33">
        <f t="shared" si="50"/>
        <v>13083690</v>
      </c>
      <c r="D424" s="48">
        <f t="shared" si="51"/>
        <v>6155771.7300000004</v>
      </c>
      <c r="E424" s="47">
        <f t="shared" si="52"/>
        <v>6927918.2699999996</v>
      </c>
      <c r="F424" s="33">
        <f t="shared" si="53"/>
        <v>561931148.85000074</v>
      </c>
      <c r="G424" s="47">
        <f t="shared" si="54"/>
        <v>555775377.12000072</v>
      </c>
    </row>
    <row r="425" spans="1:7" x14ac:dyDescent="0.25">
      <c r="A425" s="36">
        <v>47639</v>
      </c>
      <c r="B425" s="71">
        <f t="shared" si="49"/>
        <v>31</v>
      </c>
      <c r="C425" s="33">
        <f t="shared" si="50"/>
        <v>13083690</v>
      </c>
      <c r="D425" s="48">
        <f t="shared" si="51"/>
        <v>6003263.96</v>
      </c>
      <c r="E425" s="47">
        <f t="shared" si="52"/>
        <v>7080426.04</v>
      </c>
      <c r="F425" s="33">
        <f t="shared" si="53"/>
        <v>555775377.12000072</v>
      </c>
      <c r="G425" s="47">
        <f t="shared" si="54"/>
        <v>549772113.16000068</v>
      </c>
    </row>
    <row r="426" spans="1:7" x14ac:dyDescent="0.25">
      <c r="A426" s="36">
        <v>47669</v>
      </c>
      <c r="B426" s="71">
        <f t="shared" si="49"/>
        <v>30</v>
      </c>
      <c r="C426" s="33">
        <f t="shared" si="50"/>
        <v>13083690</v>
      </c>
      <c r="D426" s="48">
        <f t="shared" si="51"/>
        <v>6305677.6500000004</v>
      </c>
      <c r="E426" s="47">
        <f t="shared" si="52"/>
        <v>6778012.3499999996</v>
      </c>
      <c r="F426" s="33">
        <f t="shared" si="53"/>
        <v>549772113.16000068</v>
      </c>
      <c r="G426" s="47">
        <f t="shared" si="54"/>
        <v>543466435.51000071</v>
      </c>
    </row>
    <row r="427" spans="1:7" x14ac:dyDescent="0.25">
      <c r="A427" s="36">
        <v>47700</v>
      </c>
      <c r="B427" s="71">
        <f t="shared" si="49"/>
        <v>31</v>
      </c>
      <c r="C427" s="33">
        <f t="shared" si="50"/>
        <v>13083690</v>
      </c>
      <c r="D427" s="48">
        <f t="shared" si="51"/>
        <v>6160076.5099999998</v>
      </c>
      <c r="E427" s="47">
        <f t="shared" si="52"/>
        <v>6923613.4900000002</v>
      </c>
      <c r="F427" s="33">
        <f t="shared" si="53"/>
        <v>543466435.51000071</v>
      </c>
      <c r="G427" s="47">
        <f t="shared" si="54"/>
        <v>537306359.00000072</v>
      </c>
    </row>
    <row r="428" spans="1:7" x14ac:dyDescent="0.25">
      <c r="A428" s="36">
        <v>47731</v>
      </c>
      <c r="B428" s="71">
        <f t="shared" si="49"/>
        <v>31</v>
      </c>
      <c r="C428" s="33">
        <f t="shared" si="50"/>
        <v>13083690</v>
      </c>
      <c r="D428" s="48">
        <f t="shared" si="51"/>
        <v>6238554.1900000004</v>
      </c>
      <c r="E428" s="47">
        <f t="shared" si="52"/>
        <v>6845135.8099999996</v>
      </c>
      <c r="F428" s="33">
        <f t="shared" si="53"/>
        <v>537306359.00000072</v>
      </c>
      <c r="G428" s="47">
        <f t="shared" si="54"/>
        <v>531067804.81000072</v>
      </c>
    </row>
    <row r="429" spans="1:7" x14ac:dyDescent="0.25">
      <c r="A429" s="36">
        <v>47761</v>
      </c>
      <c r="B429" s="71">
        <f t="shared" si="49"/>
        <v>30</v>
      </c>
      <c r="C429" s="33">
        <f t="shared" si="50"/>
        <v>13083690</v>
      </c>
      <c r="D429" s="48">
        <f t="shared" si="51"/>
        <v>6536278.71</v>
      </c>
      <c r="E429" s="47">
        <f t="shared" si="52"/>
        <v>6547411.29</v>
      </c>
      <c r="F429" s="33">
        <f t="shared" si="53"/>
        <v>531067804.81000072</v>
      </c>
      <c r="G429" s="47">
        <f t="shared" si="54"/>
        <v>524531526.10000074</v>
      </c>
    </row>
    <row r="430" spans="1:7" x14ac:dyDescent="0.25">
      <c r="A430" s="36">
        <v>47792</v>
      </c>
      <c r="B430" s="71">
        <f t="shared" si="49"/>
        <v>31</v>
      </c>
      <c r="C430" s="33">
        <f t="shared" si="50"/>
        <v>13083690</v>
      </c>
      <c r="D430" s="48">
        <f t="shared" si="51"/>
        <v>6401302.0599999996</v>
      </c>
      <c r="E430" s="47">
        <f t="shared" si="52"/>
        <v>6682387.9400000004</v>
      </c>
      <c r="F430" s="33">
        <f t="shared" si="53"/>
        <v>524531526.10000074</v>
      </c>
      <c r="G430" s="47">
        <f t="shared" si="54"/>
        <v>518130224.04000074</v>
      </c>
    </row>
    <row r="431" spans="1:7" x14ac:dyDescent="0.25">
      <c r="A431" s="36">
        <v>47822</v>
      </c>
      <c r="B431" s="71">
        <f t="shared" si="49"/>
        <v>30</v>
      </c>
      <c r="C431" s="33">
        <f t="shared" si="50"/>
        <v>13083690</v>
      </c>
      <c r="D431" s="48">
        <f t="shared" si="51"/>
        <v>6695783.1299999999</v>
      </c>
      <c r="E431" s="47">
        <f t="shared" si="52"/>
        <v>6387906.8700000001</v>
      </c>
      <c r="F431" s="33">
        <f t="shared" si="53"/>
        <v>518130224.04000074</v>
      </c>
      <c r="G431" s="47">
        <f t="shared" si="54"/>
        <v>511434440.91000074</v>
      </c>
    </row>
    <row r="432" spans="1:7" x14ac:dyDescent="0.25">
      <c r="A432" s="36">
        <v>47853</v>
      </c>
      <c r="B432" s="71">
        <f t="shared" si="49"/>
        <v>31</v>
      </c>
      <c r="C432" s="33">
        <f t="shared" si="50"/>
        <v>13083690</v>
      </c>
      <c r="D432" s="48">
        <f t="shared" si="51"/>
        <v>6568155.3399999999</v>
      </c>
      <c r="E432" s="47">
        <f t="shared" si="52"/>
        <v>6515534.6600000001</v>
      </c>
      <c r="F432" s="33">
        <f t="shared" si="53"/>
        <v>511434440.91000074</v>
      </c>
      <c r="G432" s="47">
        <f t="shared" si="54"/>
        <v>504866285.57000077</v>
      </c>
    </row>
    <row r="433" spans="1:7" x14ac:dyDescent="0.25">
      <c r="A433" s="36">
        <v>47884</v>
      </c>
      <c r="B433" s="71">
        <f t="shared" si="49"/>
        <v>31</v>
      </c>
      <c r="C433" s="33">
        <f t="shared" si="50"/>
        <v>13083690</v>
      </c>
      <c r="D433" s="48">
        <f t="shared" si="51"/>
        <v>6651831.8399999999</v>
      </c>
      <c r="E433" s="47">
        <f t="shared" si="52"/>
        <v>6431858.1600000001</v>
      </c>
      <c r="F433" s="33">
        <f t="shared" si="53"/>
        <v>504866285.57000077</v>
      </c>
      <c r="G433" s="47">
        <f t="shared" si="54"/>
        <v>498214453.73000079</v>
      </c>
    </row>
    <row r="434" spans="1:7" x14ac:dyDescent="0.25">
      <c r="A434" s="36">
        <v>47912</v>
      </c>
      <c r="B434" s="71">
        <f t="shared" si="49"/>
        <v>28</v>
      </c>
      <c r="C434" s="33">
        <f t="shared" si="50"/>
        <v>13083690</v>
      </c>
      <c r="D434" s="48">
        <f t="shared" si="51"/>
        <v>7350811.3499999996</v>
      </c>
      <c r="E434" s="47">
        <f t="shared" si="52"/>
        <v>5732878.6500000004</v>
      </c>
      <c r="F434" s="33">
        <f t="shared" si="53"/>
        <v>498214453.73000079</v>
      </c>
      <c r="G434" s="47">
        <f t="shared" si="54"/>
        <v>490863642.38000077</v>
      </c>
    </row>
    <row r="435" spans="1:7" x14ac:dyDescent="0.25">
      <c r="A435" s="36">
        <v>47943</v>
      </c>
      <c r="B435" s="71">
        <f t="shared" si="49"/>
        <v>31</v>
      </c>
      <c r="C435" s="33">
        <f t="shared" si="50"/>
        <v>13083690</v>
      </c>
      <c r="D435" s="48">
        <f t="shared" si="51"/>
        <v>6830221.6799999997</v>
      </c>
      <c r="E435" s="47">
        <f t="shared" si="52"/>
        <v>6253468.3200000003</v>
      </c>
      <c r="F435" s="33">
        <f t="shared" si="53"/>
        <v>490863642.38000077</v>
      </c>
      <c r="G435" s="47">
        <f t="shared" si="54"/>
        <v>484033420.70000076</v>
      </c>
    </row>
    <row r="436" spans="1:7" x14ac:dyDescent="0.25">
      <c r="A436" s="36">
        <v>47973</v>
      </c>
      <c r="B436" s="71">
        <f t="shared" si="49"/>
        <v>30</v>
      </c>
      <c r="C436" s="33">
        <f t="shared" si="50"/>
        <v>13083690</v>
      </c>
      <c r="D436" s="48">
        <f t="shared" si="51"/>
        <v>7116154.6799999997</v>
      </c>
      <c r="E436" s="47">
        <f t="shared" si="52"/>
        <v>5967535.3200000003</v>
      </c>
      <c r="F436" s="33">
        <f t="shared" si="53"/>
        <v>484033420.70000076</v>
      </c>
      <c r="G436" s="47">
        <f t="shared" si="54"/>
        <v>476917266.02000076</v>
      </c>
    </row>
    <row r="437" spans="1:7" x14ac:dyDescent="0.25">
      <c r="A437" s="36">
        <v>48004</v>
      </c>
      <c r="B437" s="71">
        <f t="shared" si="49"/>
        <v>31</v>
      </c>
      <c r="C437" s="33">
        <f t="shared" si="50"/>
        <v>13083690</v>
      </c>
      <c r="D437" s="48">
        <f t="shared" si="51"/>
        <v>7007894.6900000004</v>
      </c>
      <c r="E437" s="47">
        <f t="shared" si="52"/>
        <v>6075795.3099999996</v>
      </c>
      <c r="F437" s="33">
        <f t="shared" si="53"/>
        <v>476917266.02000076</v>
      </c>
      <c r="G437" s="47">
        <f t="shared" si="54"/>
        <v>469909371.33000076</v>
      </c>
    </row>
    <row r="438" spans="1:7" x14ac:dyDescent="0.25">
      <c r="A438" s="36">
        <v>48034</v>
      </c>
      <c r="B438" s="71">
        <f t="shared" si="49"/>
        <v>30</v>
      </c>
      <c r="C438" s="33">
        <f t="shared" si="50"/>
        <v>13083690</v>
      </c>
      <c r="D438" s="48">
        <f t="shared" si="51"/>
        <v>7290286.79</v>
      </c>
      <c r="E438" s="47">
        <f t="shared" si="52"/>
        <v>5793403.21</v>
      </c>
      <c r="F438" s="33">
        <f t="shared" si="53"/>
        <v>469909371.33000076</v>
      </c>
      <c r="G438" s="47">
        <f t="shared" si="54"/>
        <v>462619084.54000074</v>
      </c>
    </row>
    <row r="439" spans="1:7" x14ac:dyDescent="0.25">
      <c r="A439" s="36">
        <v>48065</v>
      </c>
      <c r="B439" s="71">
        <f t="shared" ref="B439:B475" si="55">_xlfn.DAYS(A439,A438)</f>
        <v>31</v>
      </c>
      <c r="C439" s="33">
        <f t="shared" ref="C439:C485" si="56">$F$1</f>
        <v>13083690</v>
      </c>
      <c r="D439" s="48">
        <f t="shared" ref="D439:D475" si="57">C439-E439</f>
        <v>7190049.6100000003</v>
      </c>
      <c r="E439" s="47">
        <f t="shared" ref="E439:E475" si="58">ROUND(F439*$B$2*B439/365,2)</f>
        <v>5893640.3899999997</v>
      </c>
      <c r="F439" s="33">
        <f t="shared" ref="F439:F475" si="59">G438</f>
        <v>462619084.54000074</v>
      </c>
      <c r="G439" s="47">
        <f t="shared" ref="G439:G475" si="60">F439-D439</f>
        <v>455429034.93000072</v>
      </c>
    </row>
    <row r="440" spans="1:7" x14ac:dyDescent="0.25">
      <c r="A440" s="36">
        <v>48096</v>
      </c>
      <c r="B440" s="71">
        <f t="shared" si="55"/>
        <v>31</v>
      </c>
      <c r="C440" s="33">
        <f t="shared" si="56"/>
        <v>13083690</v>
      </c>
      <c r="D440" s="48">
        <f t="shared" si="57"/>
        <v>7281648.8700000001</v>
      </c>
      <c r="E440" s="47">
        <f t="shared" si="58"/>
        <v>5802041.1299999999</v>
      </c>
      <c r="F440" s="33">
        <f t="shared" si="59"/>
        <v>455429034.93000072</v>
      </c>
      <c r="G440" s="47">
        <f t="shared" si="60"/>
        <v>448147386.06000072</v>
      </c>
    </row>
    <row r="441" spans="1:7" x14ac:dyDescent="0.25">
      <c r="A441" s="36">
        <v>48126</v>
      </c>
      <c r="B441" s="71">
        <f t="shared" si="55"/>
        <v>30</v>
      </c>
      <c r="C441" s="33">
        <f t="shared" si="56"/>
        <v>13083690</v>
      </c>
      <c r="D441" s="48">
        <f t="shared" si="57"/>
        <v>7558585.2400000002</v>
      </c>
      <c r="E441" s="47">
        <f t="shared" si="58"/>
        <v>5525104.7599999998</v>
      </c>
      <c r="F441" s="33">
        <f t="shared" si="59"/>
        <v>448147386.06000072</v>
      </c>
      <c r="G441" s="47">
        <f t="shared" si="60"/>
        <v>440588800.82000071</v>
      </c>
    </row>
    <row r="442" spans="1:7" x14ac:dyDescent="0.25">
      <c r="A442" s="36">
        <v>48157</v>
      </c>
      <c r="B442" s="71">
        <f t="shared" si="55"/>
        <v>31</v>
      </c>
      <c r="C442" s="33">
        <f t="shared" si="56"/>
        <v>13083690</v>
      </c>
      <c r="D442" s="48">
        <f t="shared" si="57"/>
        <v>7470709.3899999997</v>
      </c>
      <c r="E442" s="47">
        <f t="shared" si="58"/>
        <v>5612980.6100000003</v>
      </c>
      <c r="F442" s="33">
        <f t="shared" si="59"/>
        <v>440588800.82000071</v>
      </c>
      <c r="G442" s="47">
        <f t="shared" si="60"/>
        <v>433118091.43000072</v>
      </c>
    </row>
    <row r="443" spans="1:7" x14ac:dyDescent="0.25">
      <c r="A443" s="36">
        <v>48187</v>
      </c>
      <c r="B443" s="71">
        <f t="shared" si="55"/>
        <v>30</v>
      </c>
      <c r="C443" s="33">
        <f t="shared" si="56"/>
        <v>13083690</v>
      </c>
      <c r="D443" s="48">
        <f t="shared" si="57"/>
        <v>7743877.9100000001</v>
      </c>
      <c r="E443" s="47">
        <f t="shared" si="58"/>
        <v>5339812.09</v>
      </c>
      <c r="F443" s="33">
        <f t="shared" si="59"/>
        <v>433118091.43000072</v>
      </c>
      <c r="G443" s="47">
        <f t="shared" si="60"/>
        <v>425374213.5200007</v>
      </c>
    </row>
    <row r="444" spans="1:7" x14ac:dyDescent="0.25">
      <c r="A444" s="36">
        <v>48218</v>
      </c>
      <c r="B444" s="71">
        <f t="shared" si="55"/>
        <v>31</v>
      </c>
      <c r="C444" s="33">
        <f t="shared" si="56"/>
        <v>13083690</v>
      </c>
      <c r="D444" s="48">
        <f t="shared" si="57"/>
        <v>7664539.0599999996</v>
      </c>
      <c r="E444" s="47">
        <f t="shared" si="58"/>
        <v>5419150.9400000004</v>
      </c>
      <c r="F444" s="33">
        <f t="shared" si="59"/>
        <v>425374213.5200007</v>
      </c>
      <c r="G444" s="47">
        <f t="shared" si="60"/>
        <v>417709674.46000069</v>
      </c>
    </row>
    <row r="445" spans="1:7" x14ac:dyDescent="0.25">
      <c r="A445" s="36">
        <v>48249</v>
      </c>
      <c r="B445" s="71">
        <f t="shared" si="55"/>
        <v>31</v>
      </c>
      <c r="C445" s="33">
        <f t="shared" si="56"/>
        <v>13083690</v>
      </c>
      <c r="D445" s="48">
        <f t="shared" si="57"/>
        <v>7762183.1900000004</v>
      </c>
      <c r="E445" s="47">
        <f t="shared" si="58"/>
        <v>5321506.8099999996</v>
      </c>
      <c r="F445" s="33">
        <f t="shared" si="59"/>
        <v>417709674.46000069</v>
      </c>
      <c r="G445" s="47">
        <f t="shared" si="60"/>
        <v>409947491.2700007</v>
      </c>
    </row>
    <row r="446" spans="1:7" x14ac:dyDescent="0.25">
      <c r="A446" s="36">
        <v>48278</v>
      </c>
      <c r="B446" s="71">
        <f t="shared" si="55"/>
        <v>29</v>
      </c>
      <c r="C446" s="33">
        <f t="shared" si="56"/>
        <v>13083690</v>
      </c>
      <c r="D446" s="48">
        <f t="shared" si="57"/>
        <v>8198014.4199999999</v>
      </c>
      <c r="E446" s="47">
        <f t="shared" si="58"/>
        <v>4885675.58</v>
      </c>
      <c r="F446" s="33">
        <f t="shared" si="59"/>
        <v>409947491.2700007</v>
      </c>
      <c r="G446" s="47">
        <f t="shared" si="60"/>
        <v>401749476.85000068</v>
      </c>
    </row>
    <row r="447" spans="1:7" x14ac:dyDescent="0.25">
      <c r="A447" s="36">
        <v>48309</v>
      </c>
      <c r="B447" s="71">
        <f t="shared" si="55"/>
        <v>31</v>
      </c>
      <c r="C447" s="33">
        <f t="shared" si="56"/>
        <v>13083690</v>
      </c>
      <c r="D447" s="48">
        <f t="shared" si="57"/>
        <v>7965511.7300000004</v>
      </c>
      <c r="E447" s="47">
        <f t="shared" si="58"/>
        <v>5118178.2699999996</v>
      </c>
      <c r="F447" s="33">
        <f t="shared" si="59"/>
        <v>401749476.85000068</v>
      </c>
      <c r="G447" s="47">
        <f t="shared" si="60"/>
        <v>393783965.12000066</v>
      </c>
    </row>
    <row r="448" spans="1:7" x14ac:dyDescent="0.25">
      <c r="A448" s="36">
        <v>48339</v>
      </c>
      <c r="B448" s="71">
        <f t="shared" si="55"/>
        <v>30</v>
      </c>
      <c r="C448" s="33">
        <f t="shared" si="56"/>
        <v>13083690</v>
      </c>
      <c r="D448" s="48">
        <f t="shared" si="57"/>
        <v>8228819.2000000002</v>
      </c>
      <c r="E448" s="47">
        <f t="shared" si="58"/>
        <v>4854870.8</v>
      </c>
      <c r="F448" s="33">
        <f t="shared" si="59"/>
        <v>393783965.12000066</v>
      </c>
      <c r="G448" s="47">
        <f t="shared" si="60"/>
        <v>385555145.92000067</v>
      </c>
    </row>
    <row r="449" spans="1:7" x14ac:dyDescent="0.25">
      <c r="A449" s="36">
        <v>48370</v>
      </c>
      <c r="B449" s="71">
        <f t="shared" si="55"/>
        <v>31</v>
      </c>
      <c r="C449" s="33">
        <f t="shared" si="56"/>
        <v>13083690</v>
      </c>
      <c r="D449" s="48">
        <f t="shared" si="57"/>
        <v>8171823.0700000003</v>
      </c>
      <c r="E449" s="47">
        <f t="shared" si="58"/>
        <v>4911866.93</v>
      </c>
      <c r="F449" s="33">
        <f t="shared" si="59"/>
        <v>385555145.92000067</v>
      </c>
      <c r="G449" s="47">
        <f t="shared" si="60"/>
        <v>377383322.85000068</v>
      </c>
    </row>
    <row r="450" spans="1:7" x14ac:dyDescent="0.25">
      <c r="A450" s="36">
        <v>48400</v>
      </c>
      <c r="B450" s="71">
        <f t="shared" si="55"/>
        <v>30</v>
      </c>
      <c r="C450" s="33">
        <f t="shared" si="56"/>
        <v>13083690</v>
      </c>
      <c r="D450" s="48">
        <f t="shared" si="57"/>
        <v>8431018.9000000004</v>
      </c>
      <c r="E450" s="47">
        <f t="shared" si="58"/>
        <v>4652671.0999999996</v>
      </c>
      <c r="F450" s="33">
        <f t="shared" si="59"/>
        <v>377383322.85000068</v>
      </c>
      <c r="G450" s="47">
        <f t="shared" si="60"/>
        <v>368952303.9500007</v>
      </c>
    </row>
    <row r="451" spans="1:7" x14ac:dyDescent="0.25">
      <c r="A451" s="36">
        <v>48431</v>
      </c>
      <c r="B451" s="71">
        <f t="shared" si="55"/>
        <v>31</v>
      </c>
      <c r="C451" s="33">
        <f t="shared" si="56"/>
        <v>13083690</v>
      </c>
      <c r="D451" s="48">
        <f t="shared" si="57"/>
        <v>8383338.7300000004</v>
      </c>
      <c r="E451" s="47">
        <f t="shared" si="58"/>
        <v>4700351.2699999996</v>
      </c>
      <c r="F451" s="33">
        <f t="shared" si="59"/>
        <v>368952303.9500007</v>
      </c>
      <c r="G451" s="47">
        <f t="shared" si="60"/>
        <v>360568965.22000068</v>
      </c>
    </row>
    <row r="452" spans="1:7" x14ac:dyDescent="0.25">
      <c r="A452" s="36">
        <v>48462</v>
      </c>
      <c r="B452" s="71">
        <f t="shared" si="55"/>
        <v>31</v>
      </c>
      <c r="C452" s="33">
        <f t="shared" si="56"/>
        <v>13083690</v>
      </c>
      <c r="D452" s="48">
        <f t="shared" si="57"/>
        <v>8490140.1699999999</v>
      </c>
      <c r="E452" s="47">
        <f t="shared" si="58"/>
        <v>4593549.83</v>
      </c>
      <c r="F452" s="33">
        <f t="shared" si="59"/>
        <v>360568965.22000068</v>
      </c>
      <c r="G452" s="47">
        <f t="shared" si="60"/>
        <v>352078825.05000067</v>
      </c>
    </row>
    <row r="453" spans="1:7" x14ac:dyDescent="0.25">
      <c r="A453" s="36">
        <v>48492</v>
      </c>
      <c r="B453" s="71">
        <f t="shared" si="55"/>
        <v>30</v>
      </c>
      <c r="C453" s="33">
        <f t="shared" si="56"/>
        <v>13083690</v>
      </c>
      <c r="D453" s="48">
        <f t="shared" si="57"/>
        <v>8742992.1600000001</v>
      </c>
      <c r="E453" s="47">
        <f t="shared" si="58"/>
        <v>4340697.84</v>
      </c>
      <c r="F453" s="33">
        <f t="shared" si="59"/>
        <v>352078825.05000067</v>
      </c>
      <c r="G453" s="47">
        <f t="shared" si="60"/>
        <v>343335832.89000064</v>
      </c>
    </row>
    <row r="454" spans="1:7" x14ac:dyDescent="0.25">
      <c r="A454" s="36">
        <v>48523</v>
      </c>
      <c r="B454" s="71">
        <f t="shared" si="55"/>
        <v>31</v>
      </c>
      <c r="C454" s="33">
        <f t="shared" si="56"/>
        <v>13083690</v>
      </c>
      <c r="D454" s="48">
        <f t="shared" si="57"/>
        <v>8709685.5500000007</v>
      </c>
      <c r="E454" s="47">
        <f t="shared" si="58"/>
        <v>4374004.45</v>
      </c>
      <c r="F454" s="33">
        <f t="shared" si="59"/>
        <v>343335832.89000064</v>
      </c>
      <c r="G454" s="47">
        <f t="shared" si="60"/>
        <v>334626147.34000063</v>
      </c>
    </row>
    <row r="455" spans="1:7" x14ac:dyDescent="0.25">
      <c r="A455" s="36">
        <v>48553</v>
      </c>
      <c r="B455" s="71">
        <f t="shared" si="55"/>
        <v>30</v>
      </c>
      <c r="C455" s="33">
        <f t="shared" si="56"/>
        <v>13083690</v>
      </c>
      <c r="D455" s="48">
        <f t="shared" si="57"/>
        <v>8958162.1600000001</v>
      </c>
      <c r="E455" s="47">
        <f t="shared" si="58"/>
        <v>4125527.84</v>
      </c>
      <c r="F455" s="33">
        <f t="shared" si="59"/>
        <v>334626147.34000063</v>
      </c>
      <c r="G455" s="47">
        <f t="shared" si="60"/>
        <v>325667985.1800006</v>
      </c>
    </row>
    <row r="456" spans="1:7" x14ac:dyDescent="0.25">
      <c r="A456" s="36">
        <v>48584</v>
      </c>
      <c r="B456" s="71">
        <f t="shared" si="55"/>
        <v>31</v>
      </c>
      <c r="C456" s="33">
        <f t="shared" si="56"/>
        <v>13083690</v>
      </c>
      <c r="D456" s="48">
        <f t="shared" si="57"/>
        <v>8934769.0899999999</v>
      </c>
      <c r="E456" s="47">
        <f t="shared" si="58"/>
        <v>4148920.91</v>
      </c>
      <c r="F456" s="33">
        <f t="shared" si="59"/>
        <v>325667985.1800006</v>
      </c>
      <c r="G456" s="47">
        <f t="shared" si="60"/>
        <v>316733216.09000063</v>
      </c>
    </row>
    <row r="457" spans="1:7" x14ac:dyDescent="0.25">
      <c r="A457" s="36">
        <v>48615</v>
      </c>
      <c r="B457" s="71">
        <f t="shared" si="55"/>
        <v>31</v>
      </c>
      <c r="C457" s="33">
        <f t="shared" si="56"/>
        <v>13083690</v>
      </c>
      <c r="D457" s="48">
        <f t="shared" si="57"/>
        <v>9048595.5999999996</v>
      </c>
      <c r="E457" s="47">
        <f t="shared" si="58"/>
        <v>4035094.4</v>
      </c>
      <c r="F457" s="33">
        <f t="shared" si="59"/>
        <v>316733216.09000063</v>
      </c>
      <c r="G457" s="47">
        <f t="shared" si="60"/>
        <v>307684620.49000061</v>
      </c>
    </row>
    <row r="458" spans="1:7" x14ac:dyDescent="0.25">
      <c r="A458" s="36">
        <v>48643</v>
      </c>
      <c r="B458" s="71">
        <f t="shared" si="55"/>
        <v>28</v>
      </c>
      <c r="C458" s="33">
        <f t="shared" si="56"/>
        <v>13083690</v>
      </c>
      <c r="D458" s="48">
        <f t="shared" si="57"/>
        <v>9543209.4399999995</v>
      </c>
      <c r="E458" s="47">
        <f t="shared" si="58"/>
        <v>3540480.56</v>
      </c>
      <c r="F458" s="33">
        <f t="shared" si="59"/>
        <v>307684620.49000061</v>
      </c>
      <c r="G458" s="47">
        <f t="shared" si="60"/>
        <v>298141411.05000061</v>
      </c>
    </row>
    <row r="459" spans="1:7" x14ac:dyDescent="0.25">
      <c r="A459" s="36">
        <v>48674</v>
      </c>
      <c r="B459" s="71">
        <f t="shared" si="55"/>
        <v>31</v>
      </c>
      <c r="C459" s="33">
        <f t="shared" si="56"/>
        <v>13083690</v>
      </c>
      <c r="D459" s="48">
        <f t="shared" si="57"/>
        <v>9285450.1099999994</v>
      </c>
      <c r="E459" s="47">
        <f t="shared" si="58"/>
        <v>3798239.89</v>
      </c>
      <c r="F459" s="33">
        <f t="shared" si="59"/>
        <v>298141411.05000061</v>
      </c>
      <c r="G459" s="47">
        <f t="shared" si="60"/>
        <v>288855960.94000059</v>
      </c>
    </row>
    <row r="460" spans="1:7" x14ac:dyDescent="0.25">
      <c r="A460" s="36">
        <v>48704</v>
      </c>
      <c r="B460" s="71">
        <f t="shared" si="55"/>
        <v>30</v>
      </c>
      <c r="C460" s="33">
        <f t="shared" si="56"/>
        <v>13083690</v>
      </c>
      <c r="D460" s="48">
        <f t="shared" si="57"/>
        <v>9522452.129999999</v>
      </c>
      <c r="E460" s="47">
        <f t="shared" si="58"/>
        <v>3561237.87</v>
      </c>
      <c r="F460" s="33">
        <f t="shared" si="59"/>
        <v>288855960.94000059</v>
      </c>
      <c r="G460" s="47">
        <f t="shared" si="60"/>
        <v>279333508.8100006</v>
      </c>
    </row>
    <row r="461" spans="1:7" x14ac:dyDescent="0.25">
      <c r="A461" s="36">
        <v>48735</v>
      </c>
      <c r="B461" s="71">
        <f t="shared" si="55"/>
        <v>31</v>
      </c>
      <c r="C461" s="33">
        <f t="shared" si="56"/>
        <v>13083690</v>
      </c>
      <c r="D461" s="48">
        <f t="shared" si="57"/>
        <v>9525057.629999999</v>
      </c>
      <c r="E461" s="47">
        <f t="shared" si="58"/>
        <v>3558632.37</v>
      </c>
      <c r="F461" s="33">
        <f t="shared" si="59"/>
        <v>279333508.8100006</v>
      </c>
      <c r="G461" s="47">
        <f t="shared" si="60"/>
        <v>269808451.1800006</v>
      </c>
    </row>
    <row r="462" spans="1:7" x14ac:dyDescent="0.25">
      <c r="A462" s="36">
        <v>48765</v>
      </c>
      <c r="B462" s="71">
        <f t="shared" si="55"/>
        <v>30</v>
      </c>
      <c r="C462" s="33">
        <f t="shared" si="56"/>
        <v>13083690</v>
      </c>
      <c r="D462" s="48">
        <f t="shared" si="57"/>
        <v>9757284.4399999995</v>
      </c>
      <c r="E462" s="47">
        <f t="shared" si="58"/>
        <v>3326405.56</v>
      </c>
      <c r="F462" s="33">
        <f t="shared" si="59"/>
        <v>269808451.1800006</v>
      </c>
      <c r="G462" s="47">
        <f t="shared" si="60"/>
        <v>260051166.74000061</v>
      </c>
    </row>
    <row r="463" spans="1:7" x14ac:dyDescent="0.25">
      <c r="A463" s="36">
        <v>48796</v>
      </c>
      <c r="B463" s="71">
        <f t="shared" si="55"/>
        <v>31</v>
      </c>
      <c r="C463" s="33">
        <f t="shared" si="56"/>
        <v>13083690</v>
      </c>
      <c r="D463" s="48">
        <f t="shared" si="57"/>
        <v>9770709.379999999</v>
      </c>
      <c r="E463" s="47">
        <f t="shared" si="58"/>
        <v>3312980.62</v>
      </c>
      <c r="F463" s="33">
        <f t="shared" si="59"/>
        <v>260051166.74000061</v>
      </c>
      <c r="G463" s="47">
        <f t="shared" si="60"/>
        <v>250280457.36000061</v>
      </c>
    </row>
    <row r="464" spans="1:7" x14ac:dyDescent="0.25">
      <c r="A464" s="36">
        <v>48827</v>
      </c>
      <c r="B464" s="71">
        <f t="shared" si="55"/>
        <v>31</v>
      </c>
      <c r="C464" s="33">
        <f t="shared" si="56"/>
        <v>13083690</v>
      </c>
      <c r="D464" s="48">
        <f t="shared" si="57"/>
        <v>9895185.5399999991</v>
      </c>
      <c r="E464" s="47">
        <f t="shared" si="58"/>
        <v>3188504.46</v>
      </c>
      <c r="F464" s="33">
        <f t="shared" si="59"/>
        <v>250280457.36000061</v>
      </c>
      <c r="G464" s="47">
        <f t="shared" si="60"/>
        <v>240385271.82000062</v>
      </c>
    </row>
    <row r="465" spans="1:7" x14ac:dyDescent="0.25">
      <c r="A465" s="36">
        <v>48857</v>
      </c>
      <c r="B465" s="71">
        <f t="shared" si="55"/>
        <v>30</v>
      </c>
      <c r="C465" s="33">
        <f t="shared" si="56"/>
        <v>13083690</v>
      </c>
      <c r="D465" s="48">
        <f t="shared" si="57"/>
        <v>10120035.960000001</v>
      </c>
      <c r="E465" s="47">
        <f t="shared" si="58"/>
        <v>2963654.04</v>
      </c>
      <c r="F465" s="33">
        <f t="shared" si="59"/>
        <v>240385271.82000062</v>
      </c>
      <c r="G465" s="47">
        <f t="shared" si="60"/>
        <v>230265235.86000061</v>
      </c>
    </row>
    <row r="466" spans="1:7" x14ac:dyDescent="0.25">
      <c r="A466" s="36">
        <v>48888</v>
      </c>
      <c r="B466" s="71">
        <f t="shared" si="55"/>
        <v>31</v>
      </c>
      <c r="C466" s="33">
        <f t="shared" si="56"/>
        <v>13083690</v>
      </c>
      <c r="D466" s="48">
        <f t="shared" si="57"/>
        <v>10150173.98</v>
      </c>
      <c r="E466" s="47">
        <f t="shared" si="58"/>
        <v>2933516.02</v>
      </c>
      <c r="F466" s="33">
        <f t="shared" si="59"/>
        <v>230265235.86000061</v>
      </c>
      <c r="G466" s="47">
        <f t="shared" si="60"/>
        <v>220115061.88000062</v>
      </c>
    </row>
    <row r="467" spans="1:7" x14ac:dyDescent="0.25">
      <c r="A467" s="36">
        <v>48918</v>
      </c>
      <c r="B467" s="71">
        <f t="shared" si="55"/>
        <v>30</v>
      </c>
      <c r="C467" s="33">
        <f t="shared" si="56"/>
        <v>13083690</v>
      </c>
      <c r="D467" s="48">
        <f t="shared" si="57"/>
        <v>10369942.66</v>
      </c>
      <c r="E467" s="47">
        <f t="shared" si="58"/>
        <v>2713747.34</v>
      </c>
      <c r="F467" s="33">
        <f t="shared" si="59"/>
        <v>220115061.88000062</v>
      </c>
      <c r="G467" s="47">
        <f t="shared" si="60"/>
        <v>209745119.22000062</v>
      </c>
    </row>
    <row r="468" spans="1:7" x14ac:dyDescent="0.25">
      <c r="A468" s="36">
        <v>48949</v>
      </c>
      <c r="B468" s="71">
        <f t="shared" si="55"/>
        <v>31</v>
      </c>
      <c r="C468" s="33">
        <f t="shared" si="56"/>
        <v>13083690</v>
      </c>
      <c r="D468" s="48">
        <f t="shared" si="57"/>
        <v>10411594.65</v>
      </c>
      <c r="E468" s="47">
        <f t="shared" si="58"/>
        <v>2672095.35</v>
      </c>
      <c r="F468" s="33">
        <f t="shared" si="59"/>
        <v>209745119.22000062</v>
      </c>
      <c r="G468" s="47">
        <f t="shared" si="60"/>
        <v>199333524.57000062</v>
      </c>
    </row>
    <row r="469" spans="1:7" x14ac:dyDescent="0.25">
      <c r="A469" s="36">
        <v>48980</v>
      </c>
      <c r="B469" s="71">
        <f t="shared" si="55"/>
        <v>31</v>
      </c>
      <c r="C469" s="33">
        <f t="shared" si="56"/>
        <v>13083690</v>
      </c>
      <c r="D469" s="48">
        <f t="shared" si="57"/>
        <v>10544235.51</v>
      </c>
      <c r="E469" s="47">
        <f t="shared" si="58"/>
        <v>2539454.4900000002</v>
      </c>
      <c r="F469" s="33">
        <f t="shared" si="59"/>
        <v>199333524.57000062</v>
      </c>
      <c r="G469" s="47">
        <f t="shared" si="60"/>
        <v>188789289.06000063</v>
      </c>
    </row>
    <row r="470" spans="1:7" x14ac:dyDescent="0.25">
      <c r="A470" s="36">
        <v>49008</v>
      </c>
      <c r="B470" s="71">
        <f t="shared" si="55"/>
        <v>28</v>
      </c>
      <c r="C470" s="33">
        <f t="shared" si="56"/>
        <v>13083690</v>
      </c>
      <c r="D470" s="48">
        <f t="shared" si="57"/>
        <v>10911320.1</v>
      </c>
      <c r="E470" s="47">
        <f t="shared" si="58"/>
        <v>2172369.9</v>
      </c>
      <c r="F470" s="33">
        <f t="shared" si="59"/>
        <v>188789289.06000063</v>
      </c>
      <c r="G470" s="47">
        <f t="shared" si="60"/>
        <v>177877968.96000063</v>
      </c>
    </row>
    <row r="471" spans="1:7" x14ac:dyDescent="0.25">
      <c r="A471" s="36">
        <v>49039</v>
      </c>
      <c r="B471" s="71">
        <f t="shared" si="55"/>
        <v>31</v>
      </c>
      <c r="C471" s="33">
        <f t="shared" si="56"/>
        <v>13083690</v>
      </c>
      <c r="D471" s="48">
        <f t="shared" si="57"/>
        <v>10817573.41</v>
      </c>
      <c r="E471" s="47">
        <f t="shared" si="58"/>
        <v>2266116.59</v>
      </c>
      <c r="F471" s="33">
        <f t="shared" si="59"/>
        <v>177877968.96000063</v>
      </c>
      <c r="G471" s="47">
        <f t="shared" si="60"/>
        <v>167060395.55000064</v>
      </c>
    </row>
    <row r="472" spans="1:7" x14ac:dyDescent="0.25">
      <c r="A472" s="36">
        <v>49069</v>
      </c>
      <c r="B472" s="71">
        <f t="shared" si="55"/>
        <v>30</v>
      </c>
      <c r="C472" s="33">
        <f t="shared" si="56"/>
        <v>13083690</v>
      </c>
      <c r="D472" s="48">
        <f t="shared" si="57"/>
        <v>11024041.289999999</v>
      </c>
      <c r="E472" s="47">
        <f t="shared" si="58"/>
        <v>2059648.71</v>
      </c>
      <c r="F472" s="33">
        <f t="shared" si="59"/>
        <v>167060395.55000064</v>
      </c>
      <c r="G472" s="47">
        <f t="shared" si="60"/>
        <v>156036354.26000065</v>
      </c>
    </row>
    <row r="473" spans="1:7" x14ac:dyDescent="0.25">
      <c r="A473" s="36">
        <v>49100</v>
      </c>
      <c r="B473" s="71">
        <f t="shared" si="55"/>
        <v>31</v>
      </c>
      <c r="C473" s="33">
        <f t="shared" si="56"/>
        <v>13083690</v>
      </c>
      <c r="D473" s="48">
        <f t="shared" si="57"/>
        <v>11095829.6</v>
      </c>
      <c r="E473" s="47">
        <f t="shared" si="58"/>
        <v>1987860.4</v>
      </c>
      <c r="F473" s="33">
        <f t="shared" si="59"/>
        <v>156036354.26000065</v>
      </c>
      <c r="G473" s="47">
        <f t="shared" si="60"/>
        <v>144940524.66000065</v>
      </c>
    </row>
    <row r="474" spans="1:7" x14ac:dyDescent="0.25">
      <c r="A474" s="36">
        <v>49130</v>
      </c>
      <c r="B474" s="71">
        <f t="shared" si="55"/>
        <v>30</v>
      </c>
      <c r="C474" s="33">
        <f t="shared" si="56"/>
        <v>13083690</v>
      </c>
      <c r="D474" s="48">
        <f t="shared" si="57"/>
        <v>11296752.02</v>
      </c>
      <c r="E474" s="47">
        <f t="shared" si="58"/>
        <v>1786937.98</v>
      </c>
      <c r="F474" s="33">
        <f t="shared" si="59"/>
        <v>144940524.66000065</v>
      </c>
      <c r="G474" s="47">
        <f t="shared" si="60"/>
        <v>133643772.64000066</v>
      </c>
    </row>
    <row r="475" spans="1:7" x14ac:dyDescent="0.25">
      <c r="A475" s="36">
        <v>49161</v>
      </c>
      <c r="B475" s="71">
        <f t="shared" si="55"/>
        <v>31</v>
      </c>
      <c r="C475" s="33">
        <f t="shared" si="56"/>
        <v>13083690</v>
      </c>
      <c r="D475" s="48">
        <f t="shared" si="57"/>
        <v>11381104.949999999</v>
      </c>
      <c r="E475" s="47">
        <f t="shared" si="58"/>
        <v>1702585.05</v>
      </c>
      <c r="F475" s="33">
        <f t="shared" si="59"/>
        <v>133643772.64000066</v>
      </c>
      <c r="G475" s="47">
        <f t="shared" si="60"/>
        <v>122262667.69000065</v>
      </c>
    </row>
    <row r="476" spans="1:7" x14ac:dyDescent="0.25">
      <c r="A476" s="36">
        <v>49192</v>
      </c>
      <c r="B476" s="71">
        <f t="shared" ref="B476:B485" si="61">_xlfn.DAYS(A476,A475)</f>
        <v>31</v>
      </c>
      <c r="C476" s="33">
        <f t="shared" si="56"/>
        <v>13083690</v>
      </c>
      <c r="D476" s="48">
        <f t="shared" ref="D476:D485" si="62">C476-E476</f>
        <v>11526097.109999999</v>
      </c>
      <c r="E476" s="47">
        <f t="shared" ref="E476:E484" si="63">ROUND(F476*$B$2*B476/365,2)</f>
        <v>1557592.89</v>
      </c>
      <c r="F476" s="33">
        <f t="shared" ref="F476:F485" si="64">G475</f>
        <v>122262667.69000065</v>
      </c>
      <c r="G476" s="47">
        <f t="shared" ref="G476:G485" si="65">F476-D476</f>
        <v>110736570.58000065</v>
      </c>
    </row>
    <row r="477" spans="1:7" x14ac:dyDescent="0.25">
      <c r="A477" s="36">
        <v>49222</v>
      </c>
      <c r="B477" s="71">
        <f t="shared" si="61"/>
        <v>30</v>
      </c>
      <c r="C477" s="33">
        <f t="shared" si="56"/>
        <v>13083690</v>
      </c>
      <c r="D477" s="48">
        <f t="shared" si="62"/>
        <v>11718444.609999999</v>
      </c>
      <c r="E477" s="47">
        <f t="shared" si="63"/>
        <v>1365245.39</v>
      </c>
      <c r="F477" s="33">
        <f t="shared" si="64"/>
        <v>110736570.58000065</v>
      </c>
      <c r="G477" s="47">
        <f t="shared" si="65"/>
        <v>99018125.970000654</v>
      </c>
    </row>
    <row r="478" spans="1:7" x14ac:dyDescent="0.25">
      <c r="A478" s="36">
        <v>49253</v>
      </c>
      <c r="B478" s="71">
        <f t="shared" si="61"/>
        <v>31</v>
      </c>
      <c r="C478" s="33">
        <f t="shared" si="56"/>
        <v>13083690</v>
      </c>
      <c r="D478" s="48">
        <f t="shared" si="62"/>
        <v>11822226.199999999</v>
      </c>
      <c r="E478" s="47">
        <f t="shared" si="63"/>
        <v>1261463.8</v>
      </c>
      <c r="F478" s="33">
        <f t="shared" si="64"/>
        <v>99018125.970000654</v>
      </c>
      <c r="G478" s="47">
        <f t="shared" si="65"/>
        <v>87195899.770000651</v>
      </c>
    </row>
    <row r="479" spans="1:7" x14ac:dyDescent="0.25">
      <c r="A479" s="36">
        <v>49283</v>
      </c>
      <c r="B479" s="71">
        <f t="shared" si="61"/>
        <v>30</v>
      </c>
      <c r="C479" s="33">
        <f t="shared" si="56"/>
        <v>13083690</v>
      </c>
      <c r="D479" s="48">
        <f t="shared" si="62"/>
        <v>12008672.060000001</v>
      </c>
      <c r="E479" s="47">
        <f t="shared" si="63"/>
        <v>1075017.94</v>
      </c>
      <c r="F479" s="33">
        <f t="shared" si="64"/>
        <v>87195899.770000651</v>
      </c>
      <c r="G479" s="47">
        <f t="shared" si="65"/>
        <v>75187227.710000649</v>
      </c>
    </row>
    <row r="480" spans="1:7" x14ac:dyDescent="0.25">
      <c r="A480" s="36">
        <v>49314</v>
      </c>
      <c r="B480" s="71">
        <f t="shared" si="61"/>
        <v>31</v>
      </c>
      <c r="C480" s="33">
        <f t="shared" si="56"/>
        <v>13083690</v>
      </c>
      <c r="D480" s="48">
        <f t="shared" si="62"/>
        <v>12125825.32</v>
      </c>
      <c r="E480" s="47">
        <f t="shared" si="63"/>
        <v>957864.68</v>
      </c>
      <c r="F480" s="33">
        <f t="shared" si="64"/>
        <v>75187227.710000649</v>
      </c>
      <c r="G480" s="47">
        <f t="shared" si="65"/>
        <v>63061402.390000649</v>
      </c>
    </row>
    <row r="481" spans="1:7" x14ac:dyDescent="0.25">
      <c r="A481" s="36">
        <v>49345</v>
      </c>
      <c r="B481" s="71">
        <f t="shared" si="61"/>
        <v>31</v>
      </c>
      <c r="C481" s="33">
        <f t="shared" si="56"/>
        <v>13083690</v>
      </c>
      <c r="D481" s="48">
        <f t="shared" si="62"/>
        <v>12280305.01</v>
      </c>
      <c r="E481" s="47">
        <f t="shared" si="63"/>
        <v>803384.99</v>
      </c>
      <c r="F481" s="33">
        <f t="shared" si="64"/>
        <v>63061402.390000649</v>
      </c>
      <c r="G481" s="47">
        <f t="shared" si="65"/>
        <v>50781097.380000651</v>
      </c>
    </row>
    <row r="482" spans="1:7" x14ac:dyDescent="0.25">
      <c r="A482" s="36">
        <v>49373</v>
      </c>
      <c r="B482" s="71">
        <f t="shared" si="61"/>
        <v>28</v>
      </c>
      <c r="C482" s="33">
        <f t="shared" si="56"/>
        <v>13083690</v>
      </c>
      <c r="D482" s="48">
        <f t="shared" si="62"/>
        <v>12499359.560000001</v>
      </c>
      <c r="E482" s="47">
        <f t="shared" si="63"/>
        <v>584330.43999999994</v>
      </c>
      <c r="F482" s="33">
        <f t="shared" si="64"/>
        <v>50781097.380000651</v>
      </c>
      <c r="G482" s="47">
        <f t="shared" si="65"/>
        <v>38281737.820000648</v>
      </c>
    </row>
    <row r="483" spans="1:7" x14ac:dyDescent="0.25">
      <c r="A483" s="36">
        <v>49404</v>
      </c>
      <c r="B483" s="71">
        <f t="shared" si="61"/>
        <v>31</v>
      </c>
      <c r="C483" s="33">
        <f t="shared" si="56"/>
        <v>13083690</v>
      </c>
      <c r="D483" s="48">
        <f t="shared" si="62"/>
        <v>12595991.15</v>
      </c>
      <c r="E483" s="47">
        <f t="shared" si="63"/>
        <v>487698.85</v>
      </c>
      <c r="F483" s="33">
        <f t="shared" si="64"/>
        <v>38281737.820000648</v>
      </c>
      <c r="G483" s="47">
        <f t="shared" si="65"/>
        <v>25685746.67000065</v>
      </c>
    </row>
    <row r="484" spans="1:7" x14ac:dyDescent="0.25">
      <c r="A484" s="36">
        <v>49434</v>
      </c>
      <c r="B484" s="71">
        <f t="shared" si="61"/>
        <v>30</v>
      </c>
      <c r="C484" s="33">
        <f t="shared" si="56"/>
        <v>13083690</v>
      </c>
      <c r="D484" s="48">
        <f t="shared" si="62"/>
        <v>12767016.41</v>
      </c>
      <c r="E484" s="47">
        <f t="shared" si="63"/>
        <v>316673.59000000003</v>
      </c>
      <c r="F484" s="33">
        <f t="shared" si="64"/>
        <v>25685746.67000065</v>
      </c>
      <c r="G484" s="47">
        <f t="shared" si="65"/>
        <v>12918730.26000065</v>
      </c>
    </row>
    <row r="485" spans="1:7" x14ac:dyDescent="0.25">
      <c r="A485" s="36">
        <v>49465</v>
      </c>
      <c r="B485" s="71">
        <f t="shared" si="61"/>
        <v>31</v>
      </c>
      <c r="C485" s="33">
        <f t="shared" si="56"/>
        <v>13083690</v>
      </c>
      <c r="D485" s="48">
        <f t="shared" si="62"/>
        <v>12918730.26000065</v>
      </c>
      <c r="E485" s="47">
        <v>164959.73999935007</v>
      </c>
      <c r="F485" s="33">
        <f t="shared" si="64"/>
        <v>12918730.26000065</v>
      </c>
      <c r="G485" s="47">
        <f t="shared" si="65"/>
        <v>0</v>
      </c>
    </row>
  </sheetData>
  <pageMargins left="0.7" right="0.7" top="0.75" bottom="0.75" header="0.3" footer="0.3"/>
  <pageSetup orientation="portrait" r:id="rId1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234C4E-4D60-45DA-BF1C-0AB9FC6B0029}">
  <dimension ref="A1:J485"/>
  <sheetViews>
    <sheetView zoomScale="90" zoomScaleNormal="90" workbookViewId="0">
      <pane ySplit="3" topLeftCell="A475" activePane="bottomLeft" state="frozen"/>
      <selection activeCell="R2" sqref="R2:R5"/>
      <selection pane="bottomLeft" activeCell="A486" sqref="A486"/>
    </sheetView>
  </sheetViews>
  <sheetFormatPr defaultRowHeight="15" x14ac:dyDescent="0.25"/>
  <cols>
    <col min="1" max="1" width="15.42578125" bestFit="1" customWidth="1"/>
    <col min="2" max="2" width="13" bestFit="1" customWidth="1"/>
    <col min="3" max="3" width="23.28515625" bestFit="1" customWidth="1"/>
    <col min="4" max="4" width="17.28515625" bestFit="1" customWidth="1"/>
    <col min="5" max="5" width="31.5703125" bestFit="1" customWidth="1"/>
    <col min="6" max="6" width="18.5703125" bestFit="1" customWidth="1"/>
    <col min="7" max="7" width="24.7109375" bestFit="1" customWidth="1"/>
    <col min="8" max="8" width="16.85546875" bestFit="1" customWidth="1"/>
    <col min="9" max="9" width="28.28515625" bestFit="1" customWidth="1"/>
    <col min="10" max="10" width="7.855468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ROUNDUP(13167896,0)</f>
        <v>13167896</v>
      </c>
      <c r="E1" s="25" t="s">
        <v>51</v>
      </c>
      <c r="F1" s="37">
        <f>ROUNDUP(13074833,0)</f>
        <v>13074833</v>
      </c>
      <c r="G1" s="28" t="s">
        <v>52</v>
      </c>
      <c r="H1" s="26">
        <v>41917</v>
      </c>
      <c r="I1" s="28" t="s">
        <v>53</v>
      </c>
      <c r="J1" s="52">
        <v>1</v>
      </c>
    </row>
    <row r="2" spans="1:10" x14ac:dyDescent="0.25">
      <c r="A2" s="17" t="s">
        <v>34</v>
      </c>
      <c r="B2" s="18">
        <v>0.15</v>
      </c>
      <c r="C2" s="30"/>
      <c r="D2" s="30"/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41856</v>
      </c>
      <c r="B4" s="71">
        <f>DAYS360(B1,A4)</f>
        <v>3</v>
      </c>
      <c r="C4" s="10" t="s">
        <v>28</v>
      </c>
      <c r="D4" s="48">
        <v>0</v>
      </c>
      <c r="E4" s="47">
        <f>ROUNDUP(F4*$B$2*B4/360,0)</f>
        <v>1250000</v>
      </c>
      <c r="F4" s="47">
        <v>999999999</v>
      </c>
      <c r="G4" s="47">
        <f>F4-D4</f>
        <v>999999999</v>
      </c>
      <c r="H4" s="14">
        <f>F4*$B$2*B4/365</f>
        <v>1232876.7110958903</v>
      </c>
      <c r="I4" s="16">
        <f>H4-E4</f>
        <v>-17123.288904109737</v>
      </c>
    </row>
    <row r="5" spans="1:10" x14ac:dyDescent="0.25">
      <c r="A5" s="36">
        <v>41887</v>
      </c>
      <c r="B5" s="71">
        <f>DAYS360(A4,A5)</f>
        <v>30</v>
      </c>
      <c r="C5" s="33">
        <f>$D$1</f>
        <v>13167896</v>
      </c>
      <c r="D5" s="48">
        <f>C5-E5</f>
        <v>667896.00999999978</v>
      </c>
      <c r="E5" s="47">
        <f>ROUND(F5*$B$2*B5/360,2)</f>
        <v>12499999.99</v>
      </c>
      <c r="F5" s="47">
        <v>999999999</v>
      </c>
      <c r="G5" s="47">
        <f>F5-D5</f>
        <v>999332102.99000001</v>
      </c>
      <c r="H5" s="14">
        <f t="shared" ref="H5:H68" si="0">F5*$B$2*B5/365</f>
        <v>12328767.110958904</v>
      </c>
      <c r="I5" s="16">
        <f t="shared" ref="I5:I68" si="1">H5-E5</f>
        <v>-171232.8790410962</v>
      </c>
    </row>
    <row r="6" spans="1:10" x14ac:dyDescent="0.25">
      <c r="A6" s="36">
        <v>41917</v>
      </c>
      <c r="B6" s="71">
        <f t="shared" ref="B6:B69" si="2">DAYS360(A5,A6)</f>
        <v>30</v>
      </c>
      <c r="C6" s="33">
        <f>$D$1</f>
        <v>13167896</v>
      </c>
      <c r="D6" s="48">
        <f>C6-E6</f>
        <v>676244.71000000089</v>
      </c>
      <c r="E6" s="47">
        <f t="shared" ref="E6:E69" si="3">ROUND(F6*$B$2*B6/360,2)</f>
        <v>12491651.289999999</v>
      </c>
      <c r="F6" s="33">
        <f>G5</f>
        <v>999332102.99000001</v>
      </c>
      <c r="G6" s="47">
        <f>F6-D6</f>
        <v>998655858.27999997</v>
      </c>
      <c r="H6" s="14">
        <f t="shared" si="0"/>
        <v>12320532.776589042</v>
      </c>
      <c r="I6" s="16">
        <f t="shared" si="1"/>
        <v>-171118.51341095753</v>
      </c>
    </row>
    <row r="7" spans="1:10" x14ac:dyDescent="0.25">
      <c r="A7" s="36">
        <v>41948</v>
      </c>
      <c r="B7" s="71">
        <f t="shared" si="2"/>
        <v>30</v>
      </c>
      <c r="C7" s="33">
        <f t="shared" ref="C7:C70" si="4">$D$1</f>
        <v>13167896</v>
      </c>
      <c r="D7" s="48">
        <f t="shared" ref="D7:D70" si="5">C7-E7</f>
        <v>684697.76999999955</v>
      </c>
      <c r="E7" s="47">
        <f t="shared" si="3"/>
        <v>12483198.23</v>
      </c>
      <c r="F7" s="33">
        <f t="shared" ref="F7:F70" si="6">G6</f>
        <v>998655858.27999997</v>
      </c>
      <c r="G7" s="47">
        <f t="shared" ref="G7:G70" si="7">F7-D7</f>
        <v>997971160.50999999</v>
      </c>
      <c r="H7" s="14">
        <f t="shared" si="0"/>
        <v>12312195.513041094</v>
      </c>
      <c r="I7" s="16">
        <f t="shared" si="1"/>
        <v>-171002.7169589065</v>
      </c>
    </row>
    <row r="8" spans="1:10" x14ac:dyDescent="0.25">
      <c r="A8" s="36">
        <v>41978</v>
      </c>
      <c r="B8" s="71">
        <f t="shared" si="2"/>
        <v>30</v>
      </c>
      <c r="C8" s="33">
        <f t="shared" si="4"/>
        <v>13167896</v>
      </c>
      <c r="D8" s="48">
        <f t="shared" si="5"/>
        <v>693256.49000000022</v>
      </c>
      <c r="E8" s="47">
        <f t="shared" si="3"/>
        <v>12474639.51</v>
      </c>
      <c r="F8" s="33">
        <f t="shared" si="6"/>
        <v>997971160.50999999</v>
      </c>
      <c r="G8" s="47">
        <f t="shared" si="7"/>
        <v>997277904.01999998</v>
      </c>
      <c r="H8" s="14">
        <f t="shared" si="0"/>
        <v>12303754.033684932</v>
      </c>
      <c r="I8" s="16">
        <f t="shared" si="1"/>
        <v>-170885.47631506808</v>
      </c>
    </row>
    <row r="9" spans="1:10" x14ac:dyDescent="0.25">
      <c r="A9" s="36">
        <v>42009</v>
      </c>
      <c r="B9" s="71">
        <f t="shared" si="2"/>
        <v>30</v>
      </c>
      <c r="C9" s="33">
        <f t="shared" si="4"/>
        <v>13167896</v>
      </c>
      <c r="D9" s="48">
        <f t="shared" si="5"/>
        <v>701922.19999999925</v>
      </c>
      <c r="E9" s="47">
        <f t="shared" si="3"/>
        <v>12465973.800000001</v>
      </c>
      <c r="F9" s="33">
        <f t="shared" si="6"/>
        <v>997277904.01999998</v>
      </c>
      <c r="G9" s="47">
        <f t="shared" si="7"/>
        <v>996575981.81999993</v>
      </c>
      <c r="H9" s="14">
        <f t="shared" si="0"/>
        <v>12295207.035863012</v>
      </c>
      <c r="I9" s="16">
        <f t="shared" si="1"/>
        <v>-170766.76413698867</v>
      </c>
    </row>
    <row r="10" spans="1:10" x14ac:dyDescent="0.25">
      <c r="A10" s="36">
        <v>42040</v>
      </c>
      <c r="B10" s="71">
        <f t="shared" si="2"/>
        <v>30</v>
      </c>
      <c r="C10" s="33">
        <f t="shared" si="4"/>
        <v>13167896</v>
      </c>
      <c r="D10" s="48">
        <f t="shared" si="5"/>
        <v>710696.23000000045</v>
      </c>
      <c r="E10" s="47">
        <f t="shared" si="3"/>
        <v>12457199.77</v>
      </c>
      <c r="F10" s="33">
        <f t="shared" si="6"/>
        <v>996575981.81999993</v>
      </c>
      <c r="G10" s="47">
        <f t="shared" si="7"/>
        <v>995865285.58999991</v>
      </c>
      <c r="H10" s="14">
        <f t="shared" si="0"/>
        <v>12286553.200520547</v>
      </c>
      <c r="I10" s="16">
        <f t="shared" si="1"/>
        <v>-170646.56947945245</v>
      </c>
    </row>
    <row r="11" spans="1:10" x14ac:dyDescent="0.25">
      <c r="A11" s="36">
        <v>42068</v>
      </c>
      <c r="B11" s="71">
        <f t="shared" si="2"/>
        <v>30</v>
      </c>
      <c r="C11" s="33">
        <f t="shared" si="4"/>
        <v>13167896</v>
      </c>
      <c r="D11" s="48">
        <f t="shared" si="5"/>
        <v>719579.9299999997</v>
      </c>
      <c r="E11" s="47">
        <f t="shared" si="3"/>
        <v>12448316.07</v>
      </c>
      <c r="F11" s="33">
        <f t="shared" si="6"/>
        <v>995865285.58999991</v>
      </c>
      <c r="G11" s="47">
        <f t="shared" si="7"/>
        <v>995145705.65999997</v>
      </c>
      <c r="H11" s="14">
        <f t="shared" si="0"/>
        <v>12277791.192205479</v>
      </c>
      <c r="I11" s="16">
        <f t="shared" si="1"/>
        <v>-170524.87779452093</v>
      </c>
    </row>
    <row r="12" spans="1:10" x14ac:dyDescent="0.25">
      <c r="A12" s="36">
        <v>42099</v>
      </c>
      <c r="B12" s="71">
        <f t="shared" si="2"/>
        <v>30</v>
      </c>
      <c r="C12" s="33">
        <f t="shared" si="4"/>
        <v>13167896</v>
      </c>
      <c r="D12" s="48">
        <f t="shared" si="5"/>
        <v>728574.6799999997</v>
      </c>
      <c r="E12" s="47">
        <f t="shared" si="3"/>
        <v>12439321.32</v>
      </c>
      <c r="F12" s="33">
        <f t="shared" si="6"/>
        <v>995145705.65999997</v>
      </c>
      <c r="G12" s="47">
        <f t="shared" si="7"/>
        <v>994417130.98000002</v>
      </c>
      <c r="H12" s="14">
        <f t="shared" si="0"/>
        <v>12268919.658821916</v>
      </c>
      <c r="I12" s="16">
        <f t="shared" si="1"/>
        <v>-170401.66117808409</v>
      </c>
    </row>
    <row r="13" spans="1:10" x14ac:dyDescent="0.25">
      <c r="A13" s="36">
        <v>42129</v>
      </c>
      <c r="B13" s="71">
        <f t="shared" si="2"/>
        <v>30</v>
      </c>
      <c r="C13" s="33">
        <f t="shared" si="4"/>
        <v>13167896</v>
      </c>
      <c r="D13" s="48">
        <f t="shared" si="5"/>
        <v>737681.8599999994</v>
      </c>
      <c r="E13" s="47">
        <f t="shared" si="3"/>
        <v>12430214.140000001</v>
      </c>
      <c r="F13" s="33">
        <f t="shared" si="6"/>
        <v>994417130.98000002</v>
      </c>
      <c r="G13" s="47">
        <f t="shared" si="7"/>
        <v>993679449.12</v>
      </c>
      <c r="H13" s="14">
        <f t="shared" si="0"/>
        <v>12259937.231260274</v>
      </c>
      <c r="I13" s="16">
        <f t="shared" si="1"/>
        <v>-170276.90873972699</v>
      </c>
    </row>
    <row r="14" spans="1:10" x14ac:dyDescent="0.25">
      <c r="A14" s="36">
        <v>42160</v>
      </c>
      <c r="B14" s="71">
        <f t="shared" si="2"/>
        <v>30</v>
      </c>
      <c r="C14" s="33">
        <f t="shared" si="4"/>
        <v>13167896</v>
      </c>
      <c r="D14" s="48">
        <f t="shared" si="5"/>
        <v>746902.8900000006</v>
      </c>
      <c r="E14" s="47">
        <f t="shared" si="3"/>
        <v>12420993.109999999</v>
      </c>
      <c r="F14" s="33">
        <f t="shared" si="6"/>
        <v>993679449.12</v>
      </c>
      <c r="G14" s="47">
        <f t="shared" si="7"/>
        <v>992932546.23000002</v>
      </c>
      <c r="H14" s="14">
        <f t="shared" si="0"/>
        <v>12250842.523397259</v>
      </c>
      <c r="I14" s="16">
        <f t="shared" si="1"/>
        <v>-170150.58660273999</v>
      </c>
    </row>
    <row r="15" spans="1:10" x14ac:dyDescent="0.25">
      <c r="A15" s="36">
        <v>42190</v>
      </c>
      <c r="B15" s="71">
        <f t="shared" si="2"/>
        <v>30</v>
      </c>
      <c r="C15" s="33">
        <f t="shared" si="4"/>
        <v>13167896</v>
      </c>
      <c r="D15" s="48">
        <f t="shared" si="5"/>
        <v>756239.16999999993</v>
      </c>
      <c r="E15" s="47">
        <f t="shared" si="3"/>
        <v>12411656.83</v>
      </c>
      <c r="F15" s="33">
        <f t="shared" si="6"/>
        <v>992932546.23000002</v>
      </c>
      <c r="G15" s="47">
        <f t="shared" si="7"/>
        <v>992176307.06000006</v>
      </c>
      <c r="H15" s="14">
        <f t="shared" si="0"/>
        <v>12241634.13160274</v>
      </c>
      <c r="I15" s="16">
        <f t="shared" si="1"/>
        <v>-170022.69839726016</v>
      </c>
    </row>
    <row r="16" spans="1:10" x14ac:dyDescent="0.25">
      <c r="A16" s="36">
        <v>42221</v>
      </c>
      <c r="B16" s="71">
        <f t="shared" si="2"/>
        <v>30</v>
      </c>
      <c r="C16" s="33">
        <f t="shared" si="4"/>
        <v>13167896</v>
      </c>
      <c r="D16" s="48">
        <f t="shared" si="5"/>
        <v>765692.16000000015</v>
      </c>
      <c r="E16" s="47">
        <f t="shared" si="3"/>
        <v>12402203.84</v>
      </c>
      <c r="F16" s="33">
        <f t="shared" si="6"/>
        <v>992176307.06000006</v>
      </c>
      <c r="G16" s="47">
        <f t="shared" si="7"/>
        <v>991410614.9000001</v>
      </c>
      <c r="H16" s="14">
        <f t="shared" si="0"/>
        <v>12232310.634986302</v>
      </c>
      <c r="I16" s="16">
        <f t="shared" si="1"/>
        <v>-169893.20501369797</v>
      </c>
    </row>
    <row r="17" spans="1:9" x14ac:dyDescent="0.25">
      <c r="A17" s="36">
        <v>42252</v>
      </c>
      <c r="B17" s="71">
        <f t="shared" si="2"/>
        <v>30</v>
      </c>
      <c r="C17" s="33">
        <f t="shared" si="4"/>
        <v>13167896</v>
      </c>
      <c r="D17" s="48">
        <f t="shared" si="5"/>
        <v>775263.31000000052</v>
      </c>
      <c r="E17" s="47">
        <f t="shared" si="3"/>
        <v>12392632.689999999</v>
      </c>
      <c r="F17" s="33">
        <f t="shared" si="6"/>
        <v>991410614.9000001</v>
      </c>
      <c r="G17" s="47">
        <f t="shared" si="7"/>
        <v>990635351.59000015</v>
      </c>
      <c r="H17" s="14">
        <f t="shared" si="0"/>
        <v>12222870.594657535</v>
      </c>
      <c r="I17" s="16">
        <f t="shared" si="1"/>
        <v>-169762.09534246475</v>
      </c>
    </row>
    <row r="18" spans="1:9" x14ac:dyDescent="0.25">
      <c r="A18" s="36">
        <v>42282</v>
      </c>
      <c r="B18" s="71">
        <f t="shared" si="2"/>
        <v>30</v>
      </c>
      <c r="C18" s="33">
        <f t="shared" si="4"/>
        <v>13167896</v>
      </c>
      <c r="D18" s="48">
        <f t="shared" si="5"/>
        <v>784954.1099999994</v>
      </c>
      <c r="E18" s="47">
        <f t="shared" si="3"/>
        <v>12382941.890000001</v>
      </c>
      <c r="F18" s="33">
        <f t="shared" si="6"/>
        <v>990635351.59000015</v>
      </c>
      <c r="G18" s="47">
        <f t="shared" si="7"/>
        <v>989850397.48000014</v>
      </c>
      <c r="H18" s="14">
        <f t="shared" si="0"/>
        <v>12213312.553849317</v>
      </c>
      <c r="I18" s="16">
        <f t="shared" si="1"/>
        <v>-169629.33615068346</v>
      </c>
    </row>
    <row r="19" spans="1:9" x14ac:dyDescent="0.25">
      <c r="A19" s="36">
        <v>42313</v>
      </c>
      <c r="B19" s="71">
        <f t="shared" si="2"/>
        <v>30</v>
      </c>
      <c r="C19" s="33">
        <f t="shared" si="4"/>
        <v>13167896</v>
      </c>
      <c r="D19" s="48">
        <f t="shared" si="5"/>
        <v>794766.02999999933</v>
      </c>
      <c r="E19" s="47">
        <f t="shared" si="3"/>
        <v>12373129.970000001</v>
      </c>
      <c r="F19" s="33">
        <f t="shared" si="6"/>
        <v>989850397.48000014</v>
      </c>
      <c r="G19" s="47">
        <f t="shared" si="7"/>
        <v>989055631.45000017</v>
      </c>
      <c r="H19" s="14">
        <f t="shared" si="0"/>
        <v>12203635.037424657</v>
      </c>
      <c r="I19" s="16">
        <f t="shared" si="1"/>
        <v>-169494.93257534318</v>
      </c>
    </row>
    <row r="20" spans="1:9" x14ac:dyDescent="0.25">
      <c r="A20" s="36">
        <v>42343</v>
      </c>
      <c r="B20" s="71">
        <f t="shared" si="2"/>
        <v>30</v>
      </c>
      <c r="C20" s="33">
        <f t="shared" si="4"/>
        <v>13167896</v>
      </c>
      <c r="D20" s="48">
        <f t="shared" si="5"/>
        <v>804700.6099999994</v>
      </c>
      <c r="E20" s="47">
        <f t="shared" si="3"/>
        <v>12363195.390000001</v>
      </c>
      <c r="F20" s="33">
        <f t="shared" si="6"/>
        <v>989055631.45000017</v>
      </c>
      <c r="G20" s="47">
        <f t="shared" si="7"/>
        <v>988250930.84000015</v>
      </c>
      <c r="H20" s="14">
        <f t="shared" si="0"/>
        <v>12193836.55212329</v>
      </c>
      <c r="I20" s="16">
        <f t="shared" si="1"/>
        <v>-169358.83787671104</v>
      </c>
    </row>
    <row r="21" spans="1:9" x14ac:dyDescent="0.25">
      <c r="A21" s="36">
        <v>42374</v>
      </c>
      <c r="B21" s="71">
        <f t="shared" si="2"/>
        <v>30</v>
      </c>
      <c r="C21" s="33">
        <f t="shared" si="4"/>
        <v>13167896</v>
      </c>
      <c r="D21" s="48">
        <f t="shared" si="5"/>
        <v>814759.3599999994</v>
      </c>
      <c r="E21" s="47">
        <f t="shared" si="3"/>
        <v>12353136.640000001</v>
      </c>
      <c r="F21" s="33">
        <f t="shared" si="6"/>
        <v>988250930.84000015</v>
      </c>
      <c r="G21" s="47">
        <f t="shared" si="7"/>
        <v>987436171.48000014</v>
      </c>
      <c r="H21" s="14">
        <f t="shared" si="0"/>
        <v>12183915.585698633</v>
      </c>
      <c r="I21" s="16">
        <f t="shared" si="1"/>
        <v>-169221.05430136807</v>
      </c>
    </row>
    <row r="22" spans="1:9" x14ac:dyDescent="0.25">
      <c r="A22" s="36">
        <v>42405</v>
      </c>
      <c r="B22" s="71">
        <f t="shared" si="2"/>
        <v>30</v>
      </c>
      <c r="C22" s="33">
        <f t="shared" si="4"/>
        <v>13167896</v>
      </c>
      <c r="D22" s="48">
        <f t="shared" si="5"/>
        <v>824943.8599999994</v>
      </c>
      <c r="E22" s="47">
        <f t="shared" si="3"/>
        <v>12342952.140000001</v>
      </c>
      <c r="F22" s="33">
        <f t="shared" si="6"/>
        <v>987436171.48000014</v>
      </c>
      <c r="G22" s="47">
        <f t="shared" si="7"/>
        <v>986611227.62000012</v>
      </c>
      <c r="H22" s="14">
        <f t="shared" si="0"/>
        <v>12173870.607287671</v>
      </c>
      <c r="I22" s="16">
        <f t="shared" si="1"/>
        <v>-169081.53271232918</v>
      </c>
    </row>
    <row r="23" spans="1:9" x14ac:dyDescent="0.25">
      <c r="A23" s="36">
        <v>42434</v>
      </c>
      <c r="B23" s="71">
        <f t="shared" si="2"/>
        <v>30</v>
      </c>
      <c r="C23" s="33">
        <f t="shared" si="4"/>
        <v>13167896</v>
      </c>
      <c r="D23" s="48">
        <f t="shared" si="5"/>
        <v>835255.65000000037</v>
      </c>
      <c r="E23" s="47">
        <f t="shared" si="3"/>
        <v>12332640.35</v>
      </c>
      <c r="F23" s="33">
        <f t="shared" si="6"/>
        <v>986611227.62000012</v>
      </c>
      <c r="G23" s="47">
        <f t="shared" si="7"/>
        <v>985775971.97000015</v>
      </c>
      <c r="H23" s="14">
        <f t="shared" si="0"/>
        <v>12163700.066547945</v>
      </c>
      <c r="I23" s="16">
        <f t="shared" si="1"/>
        <v>-168940.28345205449</v>
      </c>
    </row>
    <row r="24" spans="1:9" x14ac:dyDescent="0.25">
      <c r="A24" s="36">
        <v>42465</v>
      </c>
      <c r="B24" s="71">
        <f t="shared" si="2"/>
        <v>30</v>
      </c>
      <c r="C24" s="33">
        <f t="shared" si="4"/>
        <v>13167896</v>
      </c>
      <c r="D24" s="48">
        <f t="shared" si="5"/>
        <v>845696.34999999963</v>
      </c>
      <c r="E24" s="47">
        <f t="shared" si="3"/>
        <v>12322199.65</v>
      </c>
      <c r="F24" s="33">
        <f t="shared" si="6"/>
        <v>985775971.97000015</v>
      </c>
      <c r="G24" s="47">
        <f t="shared" si="7"/>
        <v>984930275.62000012</v>
      </c>
      <c r="H24" s="14">
        <f t="shared" si="0"/>
        <v>12153402.394150687</v>
      </c>
      <c r="I24" s="16">
        <f t="shared" si="1"/>
        <v>-168797.25584931299</v>
      </c>
    </row>
    <row r="25" spans="1:9" x14ac:dyDescent="0.25">
      <c r="A25" s="36">
        <v>42495</v>
      </c>
      <c r="B25" s="71">
        <f t="shared" si="2"/>
        <v>30</v>
      </c>
      <c r="C25" s="33">
        <f t="shared" si="4"/>
        <v>13167896</v>
      </c>
      <c r="D25" s="48">
        <f t="shared" si="5"/>
        <v>856267.55000000075</v>
      </c>
      <c r="E25" s="47">
        <f t="shared" si="3"/>
        <v>12311628.449999999</v>
      </c>
      <c r="F25" s="33">
        <f t="shared" si="6"/>
        <v>984930275.62000012</v>
      </c>
      <c r="G25" s="47">
        <f t="shared" si="7"/>
        <v>984074008.07000017</v>
      </c>
      <c r="H25" s="14">
        <f t="shared" si="0"/>
        <v>12142976.000794522</v>
      </c>
      <c r="I25" s="16">
        <f t="shared" si="1"/>
        <v>-168652.44920547679</v>
      </c>
    </row>
    <row r="26" spans="1:9" x14ac:dyDescent="0.25">
      <c r="A26" s="36">
        <v>42526</v>
      </c>
      <c r="B26" s="71">
        <f t="shared" si="2"/>
        <v>30</v>
      </c>
      <c r="C26" s="33">
        <f t="shared" si="4"/>
        <v>13167896</v>
      </c>
      <c r="D26" s="48">
        <f t="shared" si="5"/>
        <v>866970.90000000037</v>
      </c>
      <c r="E26" s="47">
        <f t="shared" si="3"/>
        <v>12300925.1</v>
      </c>
      <c r="F26" s="33">
        <f t="shared" si="6"/>
        <v>984074008.07000017</v>
      </c>
      <c r="G26" s="47">
        <f t="shared" si="7"/>
        <v>983207037.1700002</v>
      </c>
      <c r="H26" s="14">
        <f t="shared" si="0"/>
        <v>12132419.277575344</v>
      </c>
      <c r="I26" s="16">
        <f t="shared" si="1"/>
        <v>-168505.82242465578</v>
      </c>
    </row>
    <row r="27" spans="1:9" x14ac:dyDescent="0.25">
      <c r="A27" s="36">
        <v>42556</v>
      </c>
      <c r="B27" s="71">
        <f t="shared" si="2"/>
        <v>30</v>
      </c>
      <c r="C27" s="33">
        <f t="shared" si="4"/>
        <v>13167896</v>
      </c>
      <c r="D27" s="48">
        <f t="shared" si="5"/>
        <v>877808.03999999911</v>
      </c>
      <c r="E27" s="47">
        <f t="shared" si="3"/>
        <v>12290087.960000001</v>
      </c>
      <c r="F27" s="33">
        <f t="shared" si="6"/>
        <v>983207037.1700002</v>
      </c>
      <c r="G27" s="47">
        <f t="shared" si="7"/>
        <v>982329229.13000023</v>
      </c>
      <c r="H27" s="14">
        <f t="shared" si="0"/>
        <v>12121730.595246576</v>
      </c>
      <c r="I27" s="16">
        <f t="shared" si="1"/>
        <v>-168357.36475342512</v>
      </c>
    </row>
    <row r="28" spans="1:9" x14ac:dyDescent="0.25">
      <c r="A28" s="36">
        <v>42587</v>
      </c>
      <c r="B28" s="71">
        <f t="shared" si="2"/>
        <v>30</v>
      </c>
      <c r="C28" s="33">
        <f t="shared" si="4"/>
        <v>13167896</v>
      </c>
      <c r="D28" s="48">
        <f t="shared" si="5"/>
        <v>888780.6400000006</v>
      </c>
      <c r="E28" s="47">
        <f t="shared" si="3"/>
        <v>12279115.359999999</v>
      </c>
      <c r="F28" s="33">
        <f t="shared" si="6"/>
        <v>982329229.13000023</v>
      </c>
      <c r="G28" s="47">
        <f t="shared" si="7"/>
        <v>981440448.49000025</v>
      </c>
      <c r="H28" s="14">
        <f t="shared" si="0"/>
        <v>12110908.304342469</v>
      </c>
      <c r="I28" s="16">
        <f t="shared" si="1"/>
        <v>-168207.0556575302</v>
      </c>
    </row>
    <row r="29" spans="1:9" x14ac:dyDescent="0.25">
      <c r="A29" s="36">
        <v>42618</v>
      </c>
      <c r="B29" s="71">
        <f t="shared" si="2"/>
        <v>30</v>
      </c>
      <c r="C29" s="33">
        <f t="shared" si="4"/>
        <v>13167896</v>
      </c>
      <c r="D29" s="48">
        <f t="shared" si="5"/>
        <v>899890.3900000006</v>
      </c>
      <c r="E29" s="47">
        <f t="shared" si="3"/>
        <v>12268005.609999999</v>
      </c>
      <c r="F29" s="33">
        <f t="shared" si="6"/>
        <v>981440448.49000025</v>
      </c>
      <c r="G29" s="47">
        <f t="shared" si="7"/>
        <v>980540558.10000026</v>
      </c>
      <c r="H29" s="14">
        <f t="shared" si="0"/>
        <v>12099950.734808221</v>
      </c>
      <c r="I29" s="16">
        <f t="shared" si="1"/>
        <v>-168054.87519177794</v>
      </c>
    </row>
    <row r="30" spans="1:9" x14ac:dyDescent="0.25">
      <c r="A30" s="36">
        <v>42648</v>
      </c>
      <c r="B30" s="71">
        <f t="shared" si="2"/>
        <v>30</v>
      </c>
      <c r="C30" s="33">
        <f t="shared" si="4"/>
        <v>13167896</v>
      </c>
      <c r="D30" s="48">
        <f t="shared" si="5"/>
        <v>911139.01999999955</v>
      </c>
      <c r="E30" s="47">
        <f t="shared" si="3"/>
        <v>12256756.98</v>
      </c>
      <c r="F30" s="33">
        <f t="shared" si="6"/>
        <v>980540558.10000026</v>
      </c>
      <c r="G30" s="47">
        <f t="shared" si="7"/>
        <v>979629419.08000028</v>
      </c>
      <c r="H30" s="14">
        <f t="shared" si="0"/>
        <v>12088856.195753427</v>
      </c>
      <c r="I30" s="16">
        <f t="shared" si="1"/>
        <v>-167900.78424657322</v>
      </c>
    </row>
    <row r="31" spans="1:9" x14ac:dyDescent="0.25">
      <c r="A31" s="36">
        <v>42679</v>
      </c>
      <c r="B31" s="71">
        <f t="shared" si="2"/>
        <v>30</v>
      </c>
      <c r="C31" s="33">
        <f t="shared" si="4"/>
        <v>13167896</v>
      </c>
      <c r="D31" s="48">
        <f t="shared" si="5"/>
        <v>922528.25999999978</v>
      </c>
      <c r="E31" s="47">
        <f t="shared" si="3"/>
        <v>12245367.74</v>
      </c>
      <c r="F31" s="33">
        <f t="shared" si="6"/>
        <v>979629419.08000028</v>
      </c>
      <c r="G31" s="47">
        <f t="shared" si="7"/>
        <v>978706890.82000029</v>
      </c>
      <c r="H31" s="14">
        <f t="shared" si="0"/>
        <v>12077622.974958908</v>
      </c>
      <c r="I31" s="16">
        <f t="shared" si="1"/>
        <v>-167744.76504109241</v>
      </c>
    </row>
    <row r="32" spans="1:9" x14ac:dyDescent="0.25">
      <c r="A32" s="36">
        <v>42709</v>
      </c>
      <c r="B32" s="71">
        <f t="shared" si="2"/>
        <v>30</v>
      </c>
      <c r="C32" s="33">
        <f t="shared" si="4"/>
        <v>13167896</v>
      </c>
      <c r="D32" s="48">
        <f t="shared" si="5"/>
        <v>934059.8599999994</v>
      </c>
      <c r="E32" s="47">
        <f t="shared" si="3"/>
        <v>12233836.140000001</v>
      </c>
      <c r="F32" s="33">
        <f t="shared" si="6"/>
        <v>978706890.82000029</v>
      </c>
      <c r="G32" s="47">
        <f t="shared" si="7"/>
        <v>977772830.96000028</v>
      </c>
      <c r="H32" s="14">
        <f t="shared" si="0"/>
        <v>12066249.338876713</v>
      </c>
      <c r="I32" s="16">
        <f t="shared" si="1"/>
        <v>-167586.80112328753</v>
      </c>
    </row>
    <row r="33" spans="1:9" x14ac:dyDescent="0.25">
      <c r="A33" s="36">
        <v>42740</v>
      </c>
      <c r="B33" s="71">
        <f t="shared" si="2"/>
        <v>30</v>
      </c>
      <c r="C33" s="33">
        <f t="shared" si="4"/>
        <v>13167896</v>
      </c>
      <c r="D33" s="48">
        <f t="shared" si="5"/>
        <v>945735.6099999994</v>
      </c>
      <c r="E33" s="47">
        <f t="shared" si="3"/>
        <v>12222160.390000001</v>
      </c>
      <c r="F33" s="33">
        <f t="shared" si="6"/>
        <v>977772830.96000028</v>
      </c>
      <c r="G33" s="47">
        <f t="shared" si="7"/>
        <v>976827095.35000026</v>
      </c>
      <c r="H33" s="14">
        <f t="shared" si="0"/>
        <v>12054733.532383563</v>
      </c>
      <c r="I33" s="16">
        <f t="shared" si="1"/>
        <v>-167426.8576164376</v>
      </c>
    </row>
    <row r="34" spans="1:9" x14ac:dyDescent="0.25">
      <c r="A34" s="36">
        <v>42771</v>
      </c>
      <c r="B34" s="71">
        <f t="shared" si="2"/>
        <v>30</v>
      </c>
      <c r="C34" s="33">
        <f t="shared" si="4"/>
        <v>13167896</v>
      </c>
      <c r="D34" s="48">
        <f t="shared" si="5"/>
        <v>957557.31000000052</v>
      </c>
      <c r="E34" s="47">
        <f t="shared" si="3"/>
        <v>12210338.689999999</v>
      </c>
      <c r="F34" s="33">
        <f t="shared" si="6"/>
        <v>976827095.35000026</v>
      </c>
      <c r="G34" s="47">
        <f t="shared" si="7"/>
        <v>975869538.04000032</v>
      </c>
      <c r="H34" s="14">
        <f t="shared" si="0"/>
        <v>12043073.778287673</v>
      </c>
      <c r="I34" s="16">
        <f t="shared" si="1"/>
        <v>-167264.91171232611</v>
      </c>
    </row>
    <row r="35" spans="1:9" x14ac:dyDescent="0.25">
      <c r="A35" s="36">
        <v>42799</v>
      </c>
      <c r="B35" s="71">
        <f t="shared" si="2"/>
        <v>30</v>
      </c>
      <c r="C35" s="33">
        <f t="shared" si="4"/>
        <v>13167896</v>
      </c>
      <c r="D35" s="48">
        <f t="shared" si="5"/>
        <v>969526.76999999955</v>
      </c>
      <c r="E35" s="47">
        <f t="shared" si="3"/>
        <v>12198369.23</v>
      </c>
      <c r="F35" s="33">
        <f t="shared" si="6"/>
        <v>975869538.04000032</v>
      </c>
      <c r="G35" s="47">
        <f t="shared" si="7"/>
        <v>974900011.27000034</v>
      </c>
      <c r="H35" s="14">
        <f t="shared" si="0"/>
        <v>12031268.277205482</v>
      </c>
      <c r="I35" s="16">
        <f t="shared" si="1"/>
        <v>-167100.95279451832</v>
      </c>
    </row>
    <row r="36" spans="1:9" x14ac:dyDescent="0.25">
      <c r="A36" s="36">
        <v>42830</v>
      </c>
      <c r="B36" s="71">
        <f t="shared" si="2"/>
        <v>30</v>
      </c>
      <c r="C36" s="33">
        <f t="shared" si="4"/>
        <v>13167896</v>
      </c>
      <c r="D36" s="48">
        <f t="shared" si="5"/>
        <v>981645.8599999994</v>
      </c>
      <c r="E36" s="47">
        <f t="shared" si="3"/>
        <v>12186250.140000001</v>
      </c>
      <c r="F36" s="33">
        <f t="shared" si="6"/>
        <v>974900011.27000034</v>
      </c>
      <c r="G36" s="47">
        <f t="shared" si="7"/>
        <v>973918365.41000032</v>
      </c>
      <c r="H36" s="14">
        <f t="shared" si="0"/>
        <v>12019315.207438359</v>
      </c>
      <c r="I36" s="16">
        <f t="shared" si="1"/>
        <v>-166934.93256164156</v>
      </c>
    </row>
    <row r="37" spans="1:9" x14ac:dyDescent="0.25">
      <c r="A37" s="36">
        <v>42860</v>
      </c>
      <c r="B37" s="71">
        <f t="shared" si="2"/>
        <v>30</v>
      </c>
      <c r="C37" s="33">
        <f t="shared" si="4"/>
        <v>13167896</v>
      </c>
      <c r="D37" s="48">
        <f t="shared" si="5"/>
        <v>993916.4299999997</v>
      </c>
      <c r="E37" s="47">
        <f t="shared" si="3"/>
        <v>12173979.57</v>
      </c>
      <c r="F37" s="33">
        <f t="shared" si="6"/>
        <v>973918365.41000032</v>
      </c>
      <c r="G37" s="47">
        <f t="shared" si="7"/>
        <v>972924448.98000038</v>
      </c>
      <c r="H37" s="14">
        <f t="shared" si="0"/>
        <v>12007212.72423288</v>
      </c>
      <c r="I37" s="16">
        <f t="shared" si="1"/>
        <v>-166766.8457671199</v>
      </c>
    </row>
    <row r="38" spans="1:9" x14ac:dyDescent="0.25">
      <c r="A38" s="36">
        <v>42891</v>
      </c>
      <c r="B38" s="71">
        <f t="shared" si="2"/>
        <v>30</v>
      </c>
      <c r="C38" s="33">
        <f t="shared" si="4"/>
        <v>13167896</v>
      </c>
      <c r="D38" s="48">
        <f t="shared" si="5"/>
        <v>1006340.3900000006</v>
      </c>
      <c r="E38" s="47">
        <f t="shared" si="3"/>
        <v>12161555.609999999</v>
      </c>
      <c r="F38" s="33">
        <f t="shared" si="6"/>
        <v>972924448.98000038</v>
      </c>
      <c r="G38" s="47">
        <f t="shared" si="7"/>
        <v>971918108.59000039</v>
      </c>
      <c r="H38" s="14">
        <f t="shared" si="0"/>
        <v>11994958.960027402</v>
      </c>
      <c r="I38" s="16">
        <f t="shared" si="1"/>
        <v>-166596.64997259714</v>
      </c>
    </row>
    <row r="39" spans="1:9" x14ac:dyDescent="0.25">
      <c r="A39" s="36">
        <v>42921</v>
      </c>
      <c r="B39" s="71">
        <f t="shared" si="2"/>
        <v>30</v>
      </c>
      <c r="C39" s="33">
        <f t="shared" si="4"/>
        <v>13167896</v>
      </c>
      <c r="D39" s="48">
        <f t="shared" si="5"/>
        <v>1018919.6400000006</v>
      </c>
      <c r="E39" s="47">
        <f t="shared" si="3"/>
        <v>12148976.359999999</v>
      </c>
      <c r="F39" s="33">
        <f t="shared" si="6"/>
        <v>971918108.59000039</v>
      </c>
      <c r="G39" s="47">
        <f t="shared" si="7"/>
        <v>970899188.95000041</v>
      </c>
      <c r="H39" s="14">
        <f t="shared" si="0"/>
        <v>11982552.023712333</v>
      </c>
      <c r="I39" s="16">
        <f t="shared" si="1"/>
        <v>-166424.33628766611</v>
      </c>
    </row>
    <row r="40" spans="1:9" x14ac:dyDescent="0.25">
      <c r="A40" s="36">
        <v>42952</v>
      </c>
      <c r="B40" s="71">
        <f t="shared" si="2"/>
        <v>30</v>
      </c>
      <c r="C40" s="33">
        <f t="shared" si="4"/>
        <v>13167896</v>
      </c>
      <c r="D40" s="48">
        <f t="shared" si="5"/>
        <v>1031656.1400000006</v>
      </c>
      <c r="E40" s="47">
        <f t="shared" si="3"/>
        <v>12136239.859999999</v>
      </c>
      <c r="F40" s="33">
        <f t="shared" si="6"/>
        <v>970899188.95000041</v>
      </c>
      <c r="G40" s="47">
        <f t="shared" si="7"/>
        <v>969867532.81000042</v>
      </c>
      <c r="H40" s="14">
        <f t="shared" si="0"/>
        <v>11969990.000753429</v>
      </c>
      <c r="I40" s="16">
        <f t="shared" si="1"/>
        <v>-166249.85924657062</v>
      </c>
    </row>
    <row r="41" spans="1:9" x14ac:dyDescent="0.25">
      <c r="A41" s="36">
        <v>42983</v>
      </c>
      <c r="B41" s="71">
        <f t="shared" si="2"/>
        <v>30</v>
      </c>
      <c r="C41" s="33">
        <f t="shared" si="4"/>
        <v>13167896</v>
      </c>
      <c r="D41" s="48">
        <f t="shared" si="5"/>
        <v>1044551.8399999999</v>
      </c>
      <c r="E41" s="47">
        <f t="shared" si="3"/>
        <v>12123344.16</v>
      </c>
      <c r="F41" s="33">
        <f t="shared" si="6"/>
        <v>969867532.81000042</v>
      </c>
      <c r="G41" s="47">
        <f t="shared" si="7"/>
        <v>968822980.97000039</v>
      </c>
      <c r="H41" s="14">
        <f t="shared" si="0"/>
        <v>11957270.952452058</v>
      </c>
      <c r="I41" s="16">
        <f t="shared" si="1"/>
        <v>-166073.20754794218</v>
      </c>
    </row>
    <row r="42" spans="1:9" x14ac:dyDescent="0.25">
      <c r="A42" s="36">
        <v>43013</v>
      </c>
      <c r="B42" s="71">
        <f t="shared" si="2"/>
        <v>30</v>
      </c>
      <c r="C42" s="33">
        <f t="shared" si="4"/>
        <v>13167896</v>
      </c>
      <c r="D42" s="48">
        <f t="shared" si="5"/>
        <v>1057608.7400000002</v>
      </c>
      <c r="E42" s="47">
        <f t="shared" si="3"/>
        <v>12110287.26</v>
      </c>
      <c r="F42" s="33">
        <f t="shared" si="6"/>
        <v>968822980.97000039</v>
      </c>
      <c r="G42" s="47">
        <f t="shared" si="7"/>
        <v>967765372.23000038</v>
      </c>
      <c r="H42" s="14">
        <f t="shared" si="0"/>
        <v>11944392.916068498</v>
      </c>
      <c r="I42" s="16">
        <f t="shared" si="1"/>
        <v>-165894.34393150173</v>
      </c>
    </row>
    <row r="43" spans="1:9" x14ac:dyDescent="0.25">
      <c r="A43" s="36">
        <v>43044</v>
      </c>
      <c r="B43" s="71">
        <f t="shared" si="2"/>
        <v>30</v>
      </c>
      <c r="C43" s="33">
        <f t="shared" si="4"/>
        <v>13167896</v>
      </c>
      <c r="D43" s="48">
        <f t="shared" si="5"/>
        <v>1070828.8499999996</v>
      </c>
      <c r="E43" s="47">
        <f t="shared" si="3"/>
        <v>12097067.15</v>
      </c>
      <c r="F43" s="33">
        <f t="shared" si="6"/>
        <v>967765372.23000038</v>
      </c>
      <c r="G43" s="47">
        <f t="shared" si="7"/>
        <v>966694543.38000035</v>
      </c>
      <c r="H43" s="14">
        <f t="shared" si="0"/>
        <v>11931353.904205484</v>
      </c>
      <c r="I43" s="16">
        <f t="shared" si="1"/>
        <v>-165713.24579451606</v>
      </c>
    </row>
    <row r="44" spans="1:9" x14ac:dyDescent="0.25">
      <c r="A44" s="36">
        <v>43074</v>
      </c>
      <c r="B44" s="71">
        <f t="shared" si="2"/>
        <v>30</v>
      </c>
      <c r="C44" s="33">
        <f t="shared" si="4"/>
        <v>13167896</v>
      </c>
      <c r="D44" s="48">
        <f t="shared" si="5"/>
        <v>1084214.2100000009</v>
      </c>
      <c r="E44" s="47">
        <f t="shared" si="3"/>
        <v>12083681.789999999</v>
      </c>
      <c r="F44" s="33">
        <f t="shared" si="6"/>
        <v>966694543.38000035</v>
      </c>
      <c r="G44" s="47">
        <f t="shared" si="7"/>
        <v>965610329.17000031</v>
      </c>
      <c r="H44" s="14">
        <f t="shared" si="0"/>
        <v>11918151.904684937</v>
      </c>
      <c r="I44" s="16">
        <f t="shared" si="1"/>
        <v>-165529.88531506248</v>
      </c>
    </row>
    <row r="45" spans="1:9" x14ac:dyDescent="0.25">
      <c r="A45" s="36">
        <v>43105</v>
      </c>
      <c r="B45" s="71">
        <f t="shared" si="2"/>
        <v>30</v>
      </c>
      <c r="C45" s="33">
        <f t="shared" si="4"/>
        <v>13167896</v>
      </c>
      <c r="D45" s="48">
        <f t="shared" si="5"/>
        <v>1097766.8900000006</v>
      </c>
      <c r="E45" s="47">
        <f t="shared" si="3"/>
        <v>12070129.109999999</v>
      </c>
      <c r="F45" s="33">
        <f t="shared" si="6"/>
        <v>965610329.17000031</v>
      </c>
      <c r="G45" s="47">
        <f t="shared" si="7"/>
        <v>964512562.28000033</v>
      </c>
      <c r="H45" s="14">
        <f t="shared" si="0"/>
        <v>11904784.880178086</v>
      </c>
      <c r="I45" s="16">
        <f t="shared" si="1"/>
        <v>-165344.22982191294</v>
      </c>
    </row>
    <row r="46" spans="1:9" x14ac:dyDescent="0.25">
      <c r="A46" s="36">
        <v>43136</v>
      </c>
      <c r="B46" s="71">
        <f t="shared" si="2"/>
        <v>30</v>
      </c>
      <c r="C46" s="33">
        <f t="shared" si="4"/>
        <v>13167896</v>
      </c>
      <c r="D46" s="48">
        <f t="shared" si="5"/>
        <v>1111488.9700000007</v>
      </c>
      <c r="E46" s="47">
        <f t="shared" si="3"/>
        <v>12056407.029999999</v>
      </c>
      <c r="F46" s="33">
        <f t="shared" si="6"/>
        <v>964512562.28000033</v>
      </c>
      <c r="G46" s="47">
        <f t="shared" si="7"/>
        <v>963401073.3100003</v>
      </c>
      <c r="H46" s="14">
        <f t="shared" si="0"/>
        <v>11891250.767835619</v>
      </c>
      <c r="I46" s="16">
        <f t="shared" si="1"/>
        <v>-165156.2621643804</v>
      </c>
    </row>
    <row r="47" spans="1:9" x14ac:dyDescent="0.25">
      <c r="A47" s="36">
        <v>43164</v>
      </c>
      <c r="B47" s="71">
        <f t="shared" si="2"/>
        <v>30</v>
      </c>
      <c r="C47" s="33">
        <f t="shared" si="4"/>
        <v>13167896</v>
      </c>
      <c r="D47" s="48">
        <f t="shared" si="5"/>
        <v>1125382.58</v>
      </c>
      <c r="E47" s="47">
        <f t="shared" si="3"/>
        <v>12042513.42</v>
      </c>
      <c r="F47" s="33">
        <f t="shared" si="6"/>
        <v>963401073.3100003</v>
      </c>
      <c r="G47" s="47">
        <f t="shared" si="7"/>
        <v>962275690.73000026</v>
      </c>
      <c r="H47" s="14">
        <f t="shared" si="0"/>
        <v>11877547.479164388</v>
      </c>
      <c r="I47" s="16">
        <f t="shared" si="1"/>
        <v>-164965.94083561189</v>
      </c>
    </row>
    <row r="48" spans="1:9" x14ac:dyDescent="0.25">
      <c r="A48" s="36">
        <v>43195</v>
      </c>
      <c r="B48" s="71">
        <f t="shared" si="2"/>
        <v>30</v>
      </c>
      <c r="C48" s="33">
        <f t="shared" si="4"/>
        <v>13167896</v>
      </c>
      <c r="D48" s="48">
        <f t="shared" si="5"/>
        <v>1139449.8699999992</v>
      </c>
      <c r="E48" s="47">
        <f t="shared" si="3"/>
        <v>12028446.130000001</v>
      </c>
      <c r="F48" s="33">
        <f t="shared" si="6"/>
        <v>962275690.73000026</v>
      </c>
      <c r="G48" s="47">
        <f t="shared" si="7"/>
        <v>961136240.86000025</v>
      </c>
      <c r="H48" s="14">
        <f t="shared" si="0"/>
        <v>11863672.899410961</v>
      </c>
      <c r="I48" s="16">
        <f t="shared" si="1"/>
        <v>-164773.23058903962</v>
      </c>
    </row>
    <row r="49" spans="1:9" x14ac:dyDescent="0.25">
      <c r="A49" s="36">
        <v>43225</v>
      </c>
      <c r="B49" s="71">
        <f t="shared" si="2"/>
        <v>30</v>
      </c>
      <c r="C49" s="33">
        <f t="shared" si="4"/>
        <v>13167896</v>
      </c>
      <c r="D49" s="48">
        <f t="shared" si="5"/>
        <v>1153692.9900000002</v>
      </c>
      <c r="E49" s="47">
        <f t="shared" si="3"/>
        <v>12014203.01</v>
      </c>
      <c r="F49" s="33">
        <f t="shared" si="6"/>
        <v>961136240.86000025</v>
      </c>
      <c r="G49" s="47">
        <f t="shared" si="7"/>
        <v>959982547.87000024</v>
      </c>
      <c r="H49" s="14">
        <f t="shared" si="0"/>
        <v>11849624.88731507</v>
      </c>
      <c r="I49" s="16">
        <f t="shared" si="1"/>
        <v>-164578.12268492952</v>
      </c>
    </row>
    <row r="50" spans="1:9" x14ac:dyDescent="0.25">
      <c r="A50" s="36">
        <v>43256</v>
      </c>
      <c r="B50" s="71">
        <f t="shared" si="2"/>
        <v>30</v>
      </c>
      <c r="C50" s="33">
        <f t="shared" si="4"/>
        <v>13167896</v>
      </c>
      <c r="D50" s="48">
        <f t="shared" si="5"/>
        <v>1168114.1500000004</v>
      </c>
      <c r="E50" s="47">
        <f t="shared" si="3"/>
        <v>11999781.85</v>
      </c>
      <c r="F50" s="33">
        <f t="shared" si="6"/>
        <v>959982547.87000024</v>
      </c>
      <c r="G50" s="47">
        <f t="shared" si="7"/>
        <v>958814433.72000027</v>
      </c>
      <c r="H50" s="14">
        <f t="shared" si="0"/>
        <v>11835401.275109591</v>
      </c>
      <c r="I50" s="16">
        <f t="shared" si="1"/>
        <v>-164380.57489040866</v>
      </c>
    </row>
    <row r="51" spans="1:9" x14ac:dyDescent="0.25">
      <c r="A51" s="36">
        <v>43286</v>
      </c>
      <c r="B51" s="71">
        <f t="shared" si="2"/>
        <v>30</v>
      </c>
      <c r="C51" s="33">
        <f t="shared" si="4"/>
        <v>13167896</v>
      </c>
      <c r="D51" s="48">
        <f t="shared" si="5"/>
        <v>1182715.58</v>
      </c>
      <c r="E51" s="47">
        <f t="shared" si="3"/>
        <v>11985180.42</v>
      </c>
      <c r="F51" s="33">
        <f t="shared" si="6"/>
        <v>958814433.72000027</v>
      </c>
      <c r="G51" s="47">
        <f t="shared" si="7"/>
        <v>957631718.14000022</v>
      </c>
      <c r="H51" s="14">
        <f t="shared" si="0"/>
        <v>11820999.867780823</v>
      </c>
      <c r="I51" s="16">
        <f t="shared" si="1"/>
        <v>-164180.55221917666</v>
      </c>
    </row>
    <row r="52" spans="1:9" x14ac:dyDescent="0.25">
      <c r="A52" s="36">
        <v>43317</v>
      </c>
      <c r="B52" s="71">
        <f t="shared" si="2"/>
        <v>30</v>
      </c>
      <c r="C52" s="33">
        <f t="shared" si="4"/>
        <v>13167896</v>
      </c>
      <c r="D52" s="48">
        <f t="shared" si="5"/>
        <v>1197499.5199999996</v>
      </c>
      <c r="E52" s="47">
        <f t="shared" si="3"/>
        <v>11970396.48</v>
      </c>
      <c r="F52" s="33">
        <f t="shared" si="6"/>
        <v>957631718.14000022</v>
      </c>
      <c r="G52" s="47">
        <f t="shared" si="7"/>
        <v>956434218.62000024</v>
      </c>
      <c r="H52" s="14">
        <f t="shared" si="0"/>
        <v>11806418.442821918</v>
      </c>
      <c r="I52" s="16">
        <f t="shared" si="1"/>
        <v>-163978.03717808239</v>
      </c>
    </row>
    <row r="53" spans="1:9" x14ac:dyDescent="0.25">
      <c r="A53" s="36">
        <v>43348</v>
      </c>
      <c r="B53" s="71">
        <f t="shared" si="2"/>
        <v>30</v>
      </c>
      <c r="C53" s="33">
        <f t="shared" si="4"/>
        <v>13167896</v>
      </c>
      <c r="D53" s="48">
        <f t="shared" si="5"/>
        <v>1212468.2699999996</v>
      </c>
      <c r="E53" s="47">
        <f t="shared" si="3"/>
        <v>11955427.73</v>
      </c>
      <c r="F53" s="33">
        <f t="shared" si="6"/>
        <v>956434218.62000024</v>
      </c>
      <c r="G53" s="47">
        <f t="shared" si="7"/>
        <v>955221750.35000026</v>
      </c>
      <c r="H53" s="14">
        <f t="shared" si="0"/>
        <v>11791654.750109592</v>
      </c>
      <c r="I53" s="16">
        <f t="shared" si="1"/>
        <v>-163772.97989040799</v>
      </c>
    </row>
    <row r="54" spans="1:9" x14ac:dyDescent="0.25">
      <c r="A54" s="36">
        <v>43378</v>
      </c>
      <c r="B54" s="71">
        <f t="shared" si="2"/>
        <v>30</v>
      </c>
      <c r="C54" s="33">
        <f t="shared" si="4"/>
        <v>13167896</v>
      </c>
      <c r="D54" s="48">
        <f t="shared" si="5"/>
        <v>1227624.1199999992</v>
      </c>
      <c r="E54" s="47">
        <f t="shared" si="3"/>
        <v>11940271.880000001</v>
      </c>
      <c r="F54" s="33">
        <f t="shared" si="6"/>
        <v>955221750.35000026</v>
      </c>
      <c r="G54" s="47">
        <f t="shared" si="7"/>
        <v>953994126.23000026</v>
      </c>
      <c r="H54" s="14">
        <f t="shared" si="0"/>
        <v>11776706.511164386</v>
      </c>
      <c r="I54" s="16">
        <f t="shared" si="1"/>
        <v>-163565.36883561499</v>
      </c>
    </row>
    <row r="55" spans="1:9" x14ac:dyDescent="0.25">
      <c r="A55" s="36">
        <v>43409</v>
      </c>
      <c r="B55" s="71">
        <f t="shared" si="2"/>
        <v>30</v>
      </c>
      <c r="C55" s="33">
        <f t="shared" si="4"/>
        <v>13167896</v>
      </c>
      <c r="D55" s="48">
        <f t="shared" si="5"/>
        <v>1242969.42</v>
      </c>
      <c r="E55" s="47">
        <f t="shared" si="3"/>
        <v>11924926.58</v>
      </c>
      <c r="F55" s="33">
        <f t="shared" si="6"/>
        <v>953994126.23000026</v>
      </c>
      <c r="G55" s="47">
        <f t="shared" si="7"/>
        <v>952751156.8100003</v>
      </c>
      <c r="H55" s="14">
        <f t="shared" si="0"/>
        <v>11761571.419273976</v>
      </c>
      <c r="I55" s="16">
        <f t="shared" si="1"/>
        <v>-163355.16072602384</v>
      </c>
    </row>
    <row r="56" spans="1:9" x14ac:dyDescent="0.25">
      <c r="A56" s="36">
        <v>43439</v>
      </c>
      <c r="B56" s="71">
        <f t="shared" si="2"/>
        <v>30</v>
      </c>
      <c r="C56" s="33">
        <f t="shared" si="4"/>
        <v>13167896</v>
      </c>
      <c r="D56" s="48">
        <f t="shared" si="5"/>
        <v>1258506.5399999991</v>
      </c>
      <c r="E56" s="47">
        <f t="shared" si="3"/>
        <v>11909389.460000001</v>
      </c>
      <c r="F56" s="33">
        <f t="shared" si="6"/>
        <v>952751156.8100003</v>
      </c>
      <c r="G56" s="47">
        <f t="shared" si="7"/>
        <v>951492650.27000034</v>
      </c>
      <c r="H56" s="14">
        <f t="shared" si="0"/>
        <v>11746247.138753429</v>
      </c>
      <c r="I56" s="16">
        <f t="shared" si="1"/>
        <v>-163142.32124657184</v>
      </c>
    </row>
    <row r="57" spans="1:9" x14ac:dyDescent="0.25">
      <c r="A57" s="36">
        <v>43470</v>
      </c>
      <c r="B57" s="71">
        <f t="shared" si="2"/>
        <v>30</v>
      </c>
      <c r="C57" s="33">
        <f t="shared" si="4"/>
        <v>13167896</v>
      </c>
      <c r="D57" s="48">
        <f t="shared" si="5"/>
        <v>1274237.8699999992</v>
      </c>
      <c r="E57" s="47">
        <f t="shared" si="3"/>
        <v>11893658.130000001</v>
      </c>
      <c r="F57" s="33">
        <f t="shared" si="6"/>
        <v>951492650.27000034</v>
      </c>
      <c r="G57" s="47">
        <f t="shared" si="7"/>
        <v>950218412.40000033</v>
      </c>
      <c r="H57" s="14">
        <f t="shared" si="0"/>
        <v>11730731.304698633</v>
      </c>
      <c r="I57" s="16">
        <f t="shared" si="1"/>
        <v>-162926.82530136779</v>
      </c>
    </row>
    <row r="58" spans="1:9" x14ac:dyDescent="0.25">
      <c r="A58" s="36">
        <v>43501</v>
      </c>
      <c r="B58" s="71">
        <f t="shared" si="2"/>
        <v>30</v>
      </c>
      <c r="C58" s="33">
        <f t="shared" si="4"/>
        <v>13167896</v>
      </c>
      <c r="D58" s="48">
        <f t="shared" si="5"/>
        <v>1290165.8399999999</v>
      </c>
      <c r="E58" s="47">
        <f t="shared" si="3"/>
        <v>11877730.16</v>
      </c>
      <c r="F58" s="33">
        <f t="shared" si="6"/>
        <v>950218412.40000033</v>
      </c>
      <c r="G58" s="47">
        <f t="shared" si="7"/>
        <v>948928246.5600003</v>
      </c>
      <c r="H58" s="14">
        <f t="shared" si="0"/>
        <v>11715021.522739729</v>
      </c>
      <c r="I58" s="16">
        <f t="shared" si="1"/>
        <v>-162708.63726027124</v>
      </c>
    </row>
    <row r="59" spans="1:9" x14ac:dyDescent="0.25">
      <c r="A59" s="36">
        <v>43529</v>
      </c>
      <c r="B59" s="71">
        <f t="shared" si="2"/>
        <v>30</v>
      </c>
      <c r="C59" s="33">
        <f t="shared" si="4"/>
        <v>13167896</v>
      </c>
      <c r="D59" s="48">
        <f t="shared" si="5"/>
        <v>1306292.92</v>
      </c>
      <c r="E59" s="47">
        <f t="shared" si="3"/>
        <v>11861603.08</v>
      </c>
      <c r="F59" s="33">
        <f t="shared" si="6"/>
        <v>948928246.5600003</v>
      </c>
      <c r="G59" s="47">
        <f t="shared" si="7"/>
        <v>947621953.64000034</v>
      </c>
      <c r="H59" s="14">
        <f t="shared" si="0"/>
        <v>11699115.368547948</v>
      </c>
      <c r="I59" s="16">
        <f t="shared" si="1"/>
        <v>-162487.711452052</v>
      </c>
    </row>
    <row r="60" spans="1:9" x14ac:dyDescent="0.25">
      <c r="A60" s="36">
        <v>43560</v>
      </c>
      <c r="B60" s="71">
        <f t="shared" si="2"/>
        <v>30</v>
      </c>
      <c r="C60" s="33">
        <f t="shared" si="4"/>
        <v>13167896</v>
      </c>
      <c r="D60" s="48">
        <f t="shared" si="5"/>
        <v>1322621.58</v>
      </c>
      <c r="E60" s="47">
        <f t="shared" si="3"/>
        <v>11845274.42</v>
      </c>
      <c r="F60" s="33">
        <f t="shared" si="6"/>
        <v>947621953.64000034</v>
      </c>
      <c r="G60" s="47">
        <f t="shared" si="7"/>
        <v>946299332.0600003</v>
      </c>
      <c r="H60" s="14">
        <f t="shared" si="0"/>
        <v>11683010.387342468</v>
      </c>
      <c r="I60" s="16">
        <f t="shared" si="1"/>
        <v>-162264.03265753202</v>
      </c>
    </row>
    <row r="61" spans="1:9" x14ac:dyDescent="0.25">
      <c r="A61" s="36">
        <v>43590</v>
      </c>
      <c r="B61" s="71">
        <f t="shared" si="2"/>
        <v>30</v>
      </c>
      <c r="C61" s="33">
        <f t="shared" si="4"/>
        <v>13167896</v>
      </c>
      <c r="D61" s="48">
        <f t="shared" si="5"/>
        <v>1339154.3499999996</v>
      </c>
      <c r="E61" s="47">
        <f t="shared" si="3"/>
        <v>11828741.65</v>
      </c>
      <c r="F61" s="33">
        <f t="shared" si="6"/>
        <v>946299332.0600003</v>
      </c>
      <c r="G61" s="47">
        <f t="shared" si="7"/>
        <v>944960177.71000028</v>
      </c>
      <c r="H61" s="14">
        <f t="shared" si="0"/>
        <v>11666704.093890416</v>
      </c>
      <c r="I61" s="16">
        <f t="shared" si="1"/>
        <v>-162037.55610958487</v>
      </c>
    </row>
    <row r="62" spans="1:9" x14ac:dyDescent="0.25">
      <c r="A62" s="36">
        <v>43621</v>
      </c>
      <c r="B62" s="71">
        <f t="shared" si="2"/>
        <v>30</v>
      </c>
      <c r="C62" s="33">
        <f t="shared" si="4"/>
        <v>13167896</v>
      </c>
      <c r="D62" s="48">
        <f t="shared" si="5"/>
        <v>1355893.7799999993</v>
      </c>
      <c r="E62" s="47">
        <f t="shared" si="3"/>
        <v>11812002.220000001</v>
      </c>
      <c r="F62" s="33">
        <f t="shared" si="6"/>
        <v>944960177.71000028</v>
      </c>
      <c r="G62" s="47">
        <f t="shared" si="7"/>
        <v>943604283.93000031</v>
      </c>
      <c r="H62" s="14">
        <f t="shared" si="0"/>
        <v>11650193.971767126</v>
      </c>
      <c r="I62" s="16">
        <f t="shared" si="1"/>
        <v>-161808.24823287502</v>
      </c>
    </row>
    <row r="63" spans="1:9" x14ac:dyDescent="0.25">
      <c r="A63" s="36">
        <v>43651</v>
      </c>
      <c r="B63" s="71">
        <f t="shared" si="2"/>
        <v>30</v>
      </c>
      <c r="C63" s="33">
        <f t="shared" si="4"/>
        <v>13167896</v>
      </c>
      <c r="D63" s="48">
        <f t="shared" si="5"/>
        <v>1372842.4499999993</v>
      </c>
      <c r="E63" s="47">
        <f t="shared" si="3"/>
        <v>11795053.550000001</v>
      </c>
      <c r="F63" s="33">
        <f t="shared" si="6"/>
        <v>943604283.93000031</v>
      </c>
      <c r="G63" s="47">
        <f t="shared" si="7"/>
        <v>942231441.48000026</v>
      </c>
      <c r="H63" s="14">
        <f t="shared" si="0"/>
        <v>11633477.473109594</v>
      </c>
      <c r="I63" s="16">
        <f t="shared" si="1"/>
        <v>-161576.07689040713</v>
      </c>
    </row>
    <row r="64" spans="1:9" x14ac:dyDescent="0.25">
      <c r="A64" s="36">
        <v>43682</v>
      </c>
      <c r="B64" s="71">
        <f t="shared" si="2"/>
        <v>30</v>
      </c>
      <c r="C64" s="33">
        <f t="shared" si="4"/>
        <v>13167896</v>
      </c>
      <c r="D64" s="48">
        <f t="shared" si="5"/>
        <v>1390002.9800000004</v>
      </c>
      <c r="E64" s="47">
        <f t="shared" si="3"/>
        <v>11777893.02</v>
      </c>
      <c r="F64" s="33">
        <f t="shared" si="6"/>
        <v>942231441.48000026</v>
      </c>
      <c r="G64" s="47">
        <f t="shared" si="7"/>
        <v>940841438.50000024</v>
      </c>
      <c r="H64" s="14">
        <f t="shared" si="0"/>
        <v>11616552.018246578</v>
      </c>
      <c r="I64" s="16">
        <f t="shared" si="1"/>
        <v>-161341.0017534215</v>
      </c>
    </row>
    <row r="65" spans="1:9" x14ac:dyDescent="0.25">
      <c r="A65" s="36">
        <v>43713</v>
      </c>
      <c r="B65" s="71">
        <f t="shared" si="2"/>
        <v>30</v>
      </c>
      <c r="C65" s="33">
        <f t="shared" si="4"/>
        <v>13167896</v>
      </c>
      <c r="D65" s="48">
        <f t="shared" si="5"/>
        <v>1407378.0199999996</v>
      </c>
      <c r="E65" s="47">
        <f t="shared" si="3"/>
        <v>11760517.98</v>
      </c>
      <c r="F65" s="33">
        <f t="shared" si="6"/>
        <v>940841438.50000024</v>
      </c>
      <c r="G65" s="47">
        <f t="shared" si="7"/>
        <v>939434060.48000026</v>
      </c>
      <c r="H65" s="14">
        <f t="shared" si="0"/>
        <v>11599414.995205482</v>
      </c>
      <c r="I65" s="16">
        <f t="shared" si="1"/>
        <v>-161102.98479451798</v>
      </c>
    </row>
    <row r="66" spans="1:9" x14ac:dyDescent="0.25">
      <c r="A66" s="36">
        <v>43743</v>
      </c>
      <c r="B66" s="71">
        <f t="shared" si="2"/>
        <v>30</v>
      </c>
      <c r="C66" s="33">
        <f t="shared" si="4"/>
        <v>13167896</v>
      </c>
      <c r="D66" s="48">
        <f t="shared" si="5"/>
        <v>1424970.2400000002</v>
      </c>
      <c r="E66" s="47">
        <f t="shared" si="3"/>
        <v>11742925.76</v>
      </c>
      <c r="F66" s="33">
        <f t="shared" si="6"/>
        <v>939434060.48000026</v>
      </c>
      <c r="G66" s="47">
        <f t="shared" si="7"/>
        <v>938009090.24000025</v>
      </c>
      <c r="H66" s="14">
        <f t="shared" si="0"/>
        <v>11582063.759342467</v>
      </c>
      <c r="I66" s="16">
        <f t="shared" si="1"/>
        <v>-160862.00065753236</v>
      </c>
    </row>
    <row r="67" spans="1:9" x14ac:dyDescent="0.25">
      <c r="A67" s="36">
        <v>43774</v>
      </c>
      <c r="B67" s="71">
        <f t="shared" si="2"/>
        <v>30</v>
      </c>
      <c r="C67" s="33">
        <f t="shared" si="4"/>
        <v>13167896</v>
      </c>
      <c r="D67" s="48">
        <f t="shared" si="5"/>
        <v>1442782.3699999992</v>
      </c>
      <c r="E67" s="47">
        <f t="shared" si="3"/>
        <v>11725113.630000001</v>
      </c>
      <c r="F67" s="33">
        <f t="shared" si="6"/>
        <v>938009090.24000025</v>
      </c>
      <c r="G67" s="47">
        <f t="shared" si="7"/>
        <v>936566307.87000024</v>
      </c>
      <c r="H67" s="14">
        <f t="shared" si="0"/>
        <v>11564495.633095894</v>
      </c>
      <c r="I67" s="16">
        <f t="shared" si="1"/>
        <v>-160617.99690410681</v>
      </c>
    </row>
    <row r="68" spans="1:9" x14ac:dyDescent="0.25">
      <c r="A68" s="36">
        <v>43804</v>
      </c>
      <c r="B68" s="71">
        <f t="shared" si="2"/>
        <v>30</v>
      </c>
      <c r="C68" s="33">
        <f t="shared" si="4"/>
        <v>13167896</v>
      </c>
      <c r="D68" s="48">
        <f t="shared" si="5"/>
        <v>1460817.1500000004</v>
      </c>
      <c r="E68" s="47">
        <f t="shared" si="3"/>
        <v>11707078.85</v>
      </c>
      <c r="F68" s="33">
        <f t="shared" si="6"/>
        <v>936566307.87000024</v>
      </c>
      <c r="G68" s="47">
        <f t="shared" si="7"/>
        <v>935105490.72000027</v>
      </c>
      <c r="H68" s="14">
        <f t="shared" si="0"/>
        <v>11546707.905246578</v>
      </c>
      <c r="I68" s="16">
        <f t="shared" si="1"/>
        <v>-160370.94475342147</v>
      </c>
    </row>
    <row r="69" spans="1:9" x14ac:dyDescent="0.25">
      <c r="A69" s="36">
        <v>43835</v>
      </c>
      <c r="B69" s="71">
        <f t="shared" si="2"/>
        <v>30</v>
      </c>
      <c r="C69" s="33">
        <f t="shared" si="4"/>
        <v>13167896</v>
      </c>
      <c r="D69" s="48">
        <f t="shared" si="5"/>
        <v>1479077.3699999992</v>
      </c>
      <c r="E69" s="47">
        <f t="shared" si="3"/>
        <v>11688818.630000001</v>
      </c>
      <c r="F69" s="33">
        <f t="shared" si="6"/>
        <v>935105490.72000027</v>
      </c>
      <c r="G69" s="47">
        <f t="shared" si="7"/>
        <v>933626413.35000026</v>
      </c>
      <c r="H69" s="14">
        <f t="shared" ref="H69:H132" si="8">F69*$B$2*B69/365</f>
        <v>11528697.830794524</v>
      </c>
      <c r="I69" s="16">
        <f t="shared" ref="I69:I132" si="9">H69-E69</f>
        <v>-160120.79920547642</v>
      </c>
    </row>
    <row r="70" spans="1:9" x14ac:dyDescent="0.25">
      <c r="A70" s="36">
        <v>43866</v>
      </c>
      <c r="B70" s="71">
        <f t="shared" ref="B70:B133" si="10">DAYS360(A69,A70)</f>
        <v>30</v>
      </c>
      <c r="C70" s="33">
        <f t="shared" si="4"/>
        <v>13167896</v>
      </c>
      <c r="D70" s="48">
        <f t="shared" si="5"/>
        <v>1497565.83</v>
      </c>
      <c r="E70" s="47">
        <f t="shared" ref="E70:E133" si="11">ROUND(F70*$B$2*B70/360,2)</f>
        <v>11670330.17</v>
      </c>
      <c r="F70" s="33">
        <f t="shared" si="6"/>
        <v>933626413.35000026</v>
      </c>
      <c r="G70" s="47">
        <f t="shared" si="7"/>
        <v>932128847.52000022</v>
      </c>
      <c r="H70" s="14">
        <f t="shared" si="8"/>
        <v>11510462.630342469</v>
      </c>
      <c r="I70" s="16">
        <f t="shared" si="9"/>
        <v>-159867.53965753131</v>
      </c>
    </row>
    <row r="71" spans="1:9" x14ac:dyDescent="0.25">
      <c r="A71" s="36">
        <v>43895</v>
      </c>
      <c r="B71" s="71">
        <f t="shared" si="10"/>
        <v>30</v>
      </c>
      <c r="C71" s="33">
        <f t="shared" ref="C71:C134" si="12">$D$1</f>
        <v>13167896</v>
      </c>
      <c r="D71" s="48">
        <f t="shared" ref="D71:D134" si="13">C71-E71</f>
        <v>1516285.4100000001</v>
      </c>
      <c r="E71" s="47">
        <f t="shared" si="11"/>
        <v>11651610.59</v>
      </c>
      <c r="F71" s="33">
        <f t="shared" ref="F71:F134" si="14">G70</f>
        <v>932128847.52000022</v>
      </c>
      <c r="G71" s="47">
        <f t="shared" ref="G71:G134" si="15">F71-D71</f>
        <v>930612562.11000025</v>
      </c>
      <c r="H71" s="14">
        <f t="shared" si="8"/>
        <v>11491999.489972604</v>
      </c>
      <c r="I71" s="16">
        <f t="shared" si="9"/>
        <v>-159611.10002739541</v>
      </c>
    </row>
    <row r="72" spans="1:9" x14ac:dyDescent="0.25">
      <c r="A72" s="36">
        <v>43926</v>
      </c>
      <c r="B72" s="71">
        <f t="shared" si="10"/>
        <v>30</v>
      </c>
      <c r="C72" s="33">
        <f t="shared" si="12"/>
        <v>13167896</v>
      </c>
      <c r="D72" s="48">
        <f t="shared" si="13"/>
        <v>1535238.9700000007</v>
      </c>
      <c r="E72" s="47">
        <f t="shared" si="11"/>
        <v>11632657.029999999</v>
      </c>
      <c r="F72" s="33">
        <f t="shared" si="14"/>
        <v>930612562.11000025</v>
      </c>
      <c r="G72" s="47">
        <f t="shared" si="15"/>
        <v>929077323.14000022</v>
      </c>
      <c r="H72" s="14">
        <f t="shared" si="8"/>
        <v>11473305.560260277</v>
      </c>
      <c r="I72" s="16">
        <f t="shared" si="9"/>
        <v>-159351.46973972209</v>
      </c>
    </row>
    <row r="73" spans="1:9" x14ac:dyDescent="0.25">
      <c r="A73" s="36">
        <v>43956</v>
      </c>
      <c r="B73" s="71">
        <f t="shared" si="10"/>
        <v>30</v>
      </c>
      <c r="C73" s="33">
        <f t="shared" si="12"/>
        <v>13167896</v>
      </c>
      <c r="D73" s="48">
        <f t="shared" si="13"/>
        <v>1554429.4600000009</v>
      </c>
      <c r="E73" s="47">
        <f t="shared" si="11"/>
        <v>11613466.539999999</v>
      </c>
      <c r="F73" s="33">
        <f t="shared" si="14"/>
        <v>929077323.14000022</v>
      </c>
      <c r="G73" s="47">
        <f t="shared" si="15"/>
        <v>927522893.68000019</v>
      </c>
      <c r="H73" s="14">
        <f t="shared" si="8"/>
        <v>11454377.95652055</v>
      </c>
      <c r="I73" s="16">
        <f t="shared" si="9"/>
        <v>-159088.58347944915</v>
      </c>
    </row>
    <row r="74" spans="1:9" x14ac:dyDescent="0.25">
      <c r="A74" s="36">
        <v>43987</v>
      </c>
      <c r="B74" s="71">
        <f t="shared" si="10"/>
        <v>30</v>
      </c>
      <c r="C74" s="33">
        <f t="shared" si="12"/>
        <v>13167896</v>
      </c>
      <c r="D74" s="48">
        <f t="shared" si="13"/>
        <v>1573859.83</v>
      </c>
      <c r="E74" s="47">
        <f t="shared" si="11"/>
        <v>11594036.17</v>
      </c>
      <c r="F74" s="33">
        <f t="shared" si="14"/>
        <v>927522893.68000019</v>
      </c>
      <c r="G74" s="47">
        <f t="shared" si="15"/>
        <v>925949033.85000014</v>
      </c>
      <c r="H74" s="14">
        <f t="shared" si="8"/>
        <v>11435213.757698631</v>
      </c>
      <c r="I74" s="16">
        <f t="shared" si="9"/>
        <v>-158822.41230136901</v>
      </c>
    </row>
    <row r="75" spans="1:9" x14ac:dyDescent="0.25">
      <c r="A75" s="36">
        <v>44017</v>
      </c>
      <c r="B75" s="71">
        <f t="shared" si="10"/>
        <v>30</v>
      </c>
      <c r="C75" s="33">
        <f t="shared" si="12"/>
        <v>13167896</v>
      </c>
      <c r="D75" s="48">
        <f t="shared" si="13"/>
        <v>1593533.08</v>
      </c>
      <c r="E75" s="47">
        <f t="shared" si="11"/>
        <v>11574362.92</v>
      </c>
      <c r="F75" s="33">
        <f t="shared" si="14"/>
        <v>925949033.85000014</v>
      </c>
      <c r="G75" s="47">
        <f t="shared" si="15"/>
        <v>924355500.7700001</v>
      </c>
      <c r="H75" s="14">
        <f t="shared" si="8"/>
        <v>11415810.006369865</v>
      </c>
      <c r="I75" s="16">
        <f t="shared" si="9"/>
        <v>-158552.91363013536</v>
      </c>
    </row>
    <row r="76" spans="1:9" x14ac:dyDescent="0.25">
      <c r="A76" s="36">
        <v>44048</v>
      </c>
      <c r="B76" s="71">
        <f t="shared" si="10"/>
        <v>30</v>
      </c>
      <c r="C76" s="33">
        <f t="shared" si="12"/>
        <v>13167896</v>
      </c>
      <c r="D76" s="48">
        <f t="shared" si="13"/>
        <v>1613452.2400000002</v>
      </c>
      <c r="E76" s="47">
        <f t="shared" si="11"/>
        <v>11554443.76</v>
      </c>
      <c r="F76" s="33">
        <f t="shared" si="14"/>
        <v>924355500.7700001</v>
      </c>
      <c r="G76" s="47">
        <f t="shared" si="15"/>
        <v>922742048.53000009</v>
      </c>
      <c r="H76" s="14">
        <f t="shared" si="8"/>
        <v>11396163.708123287</v>
      </c>
      <c r="I76" s="16">
        <f t="shared" si="9"/>
        <v>-158280.05187671259</v>
      </c>
    </row>
    <row r="77" spans="1:9" x14ac:dyDescent="0.25">
      <c r="A77" s="36">
        <v>44079</v>
      </c>
      <c r="B77" s="71">
        <f t="shared" si="10"/>
        <v>30</v>
      </c>
      <c r="C77" s="33">
        <f t="shared" si="12"/>
        <v>13167896</v>
      </c>
      <c r="D77" s="48">
        <f t="shared" si="13"/>
        <v>1633620.3900000006</v>
      </c>
      <c r="E77" s="47">
        <f t="shared" si="11"/>
        <v>11534275.609999999</v>
      </c>
      <c r="F77" s="33">
        <f t="shared" si="14"/>
        <v>922742048.53000009</v>
      </c>
      <c r="G77" s="47">
        <f t="shared" si="15"/>
        <v>921108428.1400001</v>
      </c>
      <c r="H77" s="14">
        <f t="shared" si="8"/>
        <v>11376271.831191782</v>
      </c>
      <c r="I77" s="16">
        <f t="shared" si="9"/>
        <v>-158003.7788082175</v>
      </c>
    </row>
    <row r="78" spans="1:9" x14ac:dyDescent="0.25">
      <c r="A78" s="36">
        <v>44109</v>
      </c>
      <c r="B78" s="71">
        <f t="shared" si="10"/>
        <v>30</v>
      </c>
      <c r="C78" s="33">
        <f t="shared" si="12"/>
        <v>13167896</v>
      </c>
      <c r="D78" s="48">
        <f t="shared" si="13"/>
        <v>1654040.6500000004</v>
      </c>
      <c r="E78" s="47">
        <f t="shared" si="11"/>
        <v>11513855.35</v>
      </c>
      <c r="F78" s="33">
        <f t="shared" si="14"/>
        <v>921108428.1400001</v>
      </c>
      <c r="G78" s="47">
        <f t="shared" si="15"/>
        <v>919454387.49000013</v>
      </c>
      <c r="H78" s="14">
        <f t="shared" si="8"/>
        <v>11356131.305835618</v>
      </c>
      <c r="I78" s="16">
        <f t="shared" si="9"/>
        <v>-157724.04416438192</v>
      </c>
    </row>
    <row r="79" spans="1:9" x14ac:dyDescent="0.25">
      <c r="A79" s="36">
        <v>44140</v>
      </c>
      <c r="B79" s="71">
        <f t="shared" si="10"/>
        <v>30</v>
      </c>
      <c r="C79" s="33">
        <f t="shared" si="12"/>
        <v>13167896</v>
      </c>
      <c r="D79" s="48">
        <f t="shared" si="13"/>
        <v>1674716.1600000001</v>
      </c>
      <c r="E79" s="47">
        <f t="shared" si="11"/>
        <v>11493179.84</v>
      </c>
      <c r="F79" s="33">
        <f t="shared" si="14"/>
        <v>919454387.49000013</v>
      </c>
      <c r="G79" s="47">
        <f t="shared" si="15"/>
        <v>917779671.33000016</v>
      </c>
      <c r="H79" s="14">
        <f t="shared" si="8"/>
        <v>11335739.023849316</v>
      </c>
      <c r="I79" s="16">
        <f t="shared" si="9"/>
        <v>-157440.81615068391</v>
      </c>
    </row>
    <row r="80" spans="1:9" x14ac:dyDescent="0.25">
      <c r="A80" s="36">
        <v>44170</v>
      </c>
      <c r="B80" s="71">
        <f t="shared" si="10"/>
        <v>30</v>
      </c>
      <c r="C80" s="33">
        <f t="shared" si="12"/>
        <v>13167896</v>
      </c>
      <c r="D80" s="48">
        <f t="shared" si="13"/>
        <v>1695650.1099999994</v>
      </c>
      <c r="E80" s="47">
        <f t="shared" si="11"/>
        <v>11472245.890000001</v>
      </c>
      <c r="F80" s="33">
        <f t="shared" si="14"/>
        <v>917779671.33000016</v>
      </c>
      <c r="G80" s="47">
        <f t="shared" si="15"/>
        <v>916084021.22000015</v>
      </c>
      <c r="H80" s="14">
        <f t="shared" si="8"/>
        <v>11315091.83831507</v>
      </c>
      <c r="I80" s="16">
        <f t="shared" si="9"/>
        <v>-157154.05168493092</v>
      </c>
    </row>
    <row r="81" spans="1:9" x14ac:dyDescent="0.25">
      <c r="A81" s="36">
        <v>44201</v>
      </c>
      <c r="B81" s="71">
        <f t="shared" si="10"/>
        <v>30</v>
      </c>
      <c r="C81" s="33">
        <f t="shared" si="12"/>
        <v>13167896</v>
      </c>
      <c r="D81" s="48">
        <f t="shared" si="13"/>
        <v>1716845.7300000004</v>
      </c>
      <c r="E81" s="47">
        <f t="shared" si="11"/>
        <v>11451050.27</v>
      </c>
      <c r="F81" s="33">
        <f t="shared" si="14"/>
        <v>916084021.22000015</v>
      </c>
      <c r="G81" s="47">
        <f t="shared" si="15"/>
        <v>914367175.49000013</v>
      </c>
      <c r="H81" s="14">
        <f t="shared" si="8"/>
        <v>11294186.562986303</v>
      </c>
      <c r="I81" s="16">
        <f t="shared" si="9"/>
        <v>-156863.70701369643</v>
      </c>
    </row>
    <row r="82" spans="1:9" x14ac:dyDescent="0.25">
      <c r="A82" s="36">
        <v>44232</v>
      </c>
      <c r="B82" s="71">
        <f t="shared" si="10"/>
        <v>30</v>
      </c>
      <c r="C82" s="33">
        <f t="shared" si="12"/>
        <v>13167896</v>
      </c>
      <c r="D82" s="48">
        <f t="shared" si="13"/>
        <v>1738306.3100000005</v>
      </c>
      <c r="E82" s="47">
        <f t="shared" si="11"/>
        <v>11429589.689999999</v>
      </c>
      <c r="F82" s="33">
        <f t="shared" si="14"/>
        <v>914367175.49000013</v>
      </c>
      <c r="G82" s="47">
        <f t="shared" si="15"/>
        <v>912628869.18000019</v>
      </c>
      <c r="H82" s="14">
        <f t="shared" si="8"/>
        <v>11273019.971794521</v>
      </c>
      <c r="I82" s="16">
        <f t="shared" si="9"/>
        <v>-156569.71820547804</v>
      </c>
    </row>
    <row r="83" spans="1:9" x14ac:dyDescent="0.25">
      <c r="A83" s="36">
        <v>44260</v>
      </c>
      <c r="B83" s="71">
        <f t="shared" si="10"/>
        <v>30</v>
      </c>
      <c r="C83" s="33">
        <f t="shared" si="12"/>
        <v>13167896</v>
      </c>
      <c r="D83" s="48">
        <f t="shared" si="13"/>
        <v>1760035.1400000006</v>
      </c>
      <c r="E83" s="47">
        <f t="shared" si="11"/>
        <v>11407860.859999999</v>
      </c>
      <c r="F83" s="33">
        <f t="shared" si="14"/>
        <v>912628869.18000019</v>
      </c>
      <c r="G83" s="47">
        <f t="shared" si="15"/>
        <v>910868834.0400002</v>
      </c>
      <c r="H83" s="14">
        <f t="shared" si="8"/>
        <v>11251588.798109591</v>
      </c>
      <c r="I83" s="16">
        <f t="shared" si="9"/>
        <v>-156272.0618904084</v>
      </c>
    </row>
    <row r="84" spans="1:9" x14ac:dyDescent="0.25">
      <c r="A84" s="36">
        <v>44291</v>
      </c>
      <c r="B84" s="71">
        <f t="shared" si="10"/>
        <v>30</v>
      </c>
      <c r="C84" s="33">
        <f t="shared" si="12"/>
        <v>13167896</v>
      </c>
      <c r="D84" s="48">
        <f t="shared" si="13"/>
        <v>1782035.5700000003</v>
      </c>
      <c r="E84" s="47">
        <f t="shared" si="11"/>
        <v>11385860.43</v>
      </c>
      <c r="F84" s="33">
        <f t="shared" si="14"/>
        <v>910868834.0400002</v>
      </c>
      <c r="G84" s="47">
        <f t="shared" si="15"/>
        <v>909086798.47000015</v>
      </c>
      <c r="H84" s="14">
        <f t="shared" si="8"/>
        <v>11229889.73473973</v>
      </c>
      <c r="I84" s="16">
        <f t="shared" si="9"/>
        <v>-155970.69526026957</v>
      </c>
    </row>
    <row r="85" spans="1:9" x14ac:dyDescent="0.25">
      <c r="A85" s="36">
        <v>44321</v>
      </c>
      <c r="B85" s="71">
        <f t="shared" si="10"/>
        <v>30</v>
      </c>
      <c r="C85" s="33">
        <f t="shared" si="12"/>
        <v>13167896</v>
      </c>
      <c r="D85" s="48">
        <f t="shared" si="13"/>
        <v>1804311.0199999996</v>
      </c>
      <c r="E85" s="47">
        <f t="shared" si="11"/>
        <v>11363584.98</v>
      </c>
      <c r="F85" s="33">
        <f t="shared" si="14"/>
        <v>909086798.47000015</v>
      </c>
      <c r="G85" s="47">
        <f t="shared" si="15"/>
        <v>907282487.45000017</v>
      </c>
      <c r="H85" s="14">
        <f t="shared" si="8"/>
        <v>11207919.433191782</v>
      </c>
      <c r="I85" s="16">
        <f t="shared" si="9"/>
        <v>-155665.54680821858</v>
      </c>
    </row>
    <row r="86" spans="1:9" x14ac:dyDescent="0.25">
      <c r="A86" s="36">
        <v>44352</v>
      </c>
      <c r="B86" s="71">
        <f t="shared" si="10"/>
        <v>30</v>
      </c>
      <c r="C86" s="33">
        <f t="shared" si="12"/>
        <v>13167896</v>
      </c>
      <c r="D86" s="48">
        <f t="shared" si="13"/>
        <v>1826864.9100000001</v>
      </c>
      <c r="E86" s="47">
        <f t="shared" si="11"/>
        <v>11341031.09</v>
      </c>
      <c r="F86" s="33">
        <f t="shared" si="14"/>
        <v>907282487.45000017</v>
      </c>
      <c r="G86" s="47">
        <f t="shared" si="15"/>
        <v>905455622.5400002</v>
      </c>
      <c r="H86" s="14">
        <f t="shared" si="8"/>
        <v>11185674.502808219</v>
      </c>
      <c r="I86" s="16">
        <f t="shared" si="9"/>
        <v>-155356.58719178103</v>
      </c>
    </row>
    <row r="87" spans="1:9" x14ac:dyDescent="0.25">
      <c r="A87" s="36">
        <v>44382</v>
      </c>
      <c r="B87" s="71">
        <f t="shared" si="10"/>
        <v>30</v>
      </c>
      <c r="C87" s="33">
        <f t="shared" si="12"/>
        <v>13167896</v>
      </c>
      <c r="D87" s="48">
        <f t="shared" si="13"/>
        <v>1849700.7200000007</v>
      </c>
      <c r="E87" s="47">
        <f t="shared" si="11"/>
        <v>11318195.279999999</v>
      </c>
      <c r="F87" s="33">
        <f t="shared" si="14"/>
        <v>905455622.5400002</v>
      </c>
      <c r="G87" s="47">
        <f t="shared" si="15"/>
        <v>903605921.82000017</v>
      </c>
      <c r="H87" s="14">
        <f t="shared" si="8"/>
        <v>11163151.510767125</v>
      </c>
      <c r="I87" s="16">
        <f t="shared" si="9"/>
        <v>-155043.76923287474</v>
      </c>
    </row>
    <row r="88" spans="1:9" x14ac:dyDescent="0.25">
      <c r="A88" s="36">
        <v>44413</v>
      </c>
      <c r="B88" s="71">
        <f t="shared" si="10"/>
        <v>30</v>
      </c>
      <c r="C88" s="33">
        <f t="shared" si="12"/>
        <v>13167896</v>
      </c>
      <c r="D88" s="48">
        <f t="shared" si="13"/>
        <v>1872821.9800000004</v>
      </c>
      <c r="E88" s="47">
        <f t="shared" si="11"/>
        <v>11295074.02</v>
      </c>
      <c r="F88" s="33">
        <f t="shared" si="14"/>
        <v>903605921.82000017</v>
      </c>
      <c r="G88" s="47">
        <f t="shared" si="15"/>
        <v>901733099.84000015</v>
      </c>
      <c r="H88" s="14">
        <f t="shared" si="8"/>
        <v>11140346.981342468</v>
      </c>
      <c r="I88" s="16">
        <f t="shared" si="9"/>
        <v>-154727.03865753114</v>
      </c>
    </row>
    <row r="89" spans="1:9" x14ac:dyDescent="0.25">
      <c r="A89" s="36">
        <v>44444</v>
      </c>
      <c r="B89" s="71">
        <f t="shared" si="10"/>
        <v>30</v>
      </c>
      <c r="C89" s="33">
        <f t="shared" si="12"/>
        <v>13167896</v>
      </c>
      <c r="D89" s="48">
        <f t="shared" si="13"/>
        <v>1896232.25</v>
      </c>
      <c r="E89" s="47">
        <f t="shared" si="11"/>
        <v>11271663.75</v>
      </c>
      <c r="F89" s="33">
        <f t="shared" si="14"/>
        <v>901733099.84000015</v>
      </c>
      <c r="G89" s="47">
        <f t="shared" si="15"/>
        <v>899836867.59000015</v>
      </c>
      <c r="H89" s="14">
        <f t="shared" si="8"/>
        <v>11117257.395287672</v>
      </c>
      <c r="I89" s="16">
        <f t="shared" si="9"/>
        <v>-154406.35471232794</v>
      </c>
    </row>
    <row r="90" spans="1:9" x14ac:dyDescent="0.25">
      <c r="A90" s="36">
        <v>44474</v>
      </c>
      <c r="B90" s="71">
        <f t="shared" si="10"/>
        <v>30</v>
      </c>
      <c r="C90" s="33">
        <f t="shared" si="12"/>
        <v>13167896</v>
      </c>
      <c r="D90" s="48">
        <f t="shared" si="13"/>
        <v>1919935.1600000001</v>
      </c>
      <c r="E90" s="47">
        <f t="shared" si="11"/>
        <v>11247960.84</v>
      </c>
      <c r="F90" s="33">
        <f t="shared" si="14"/>
        <v>899836867.59000015</v>
      </c>
      <c r="G90" s="47">
        <f t="shared" si="15"/>
        <v>897916932.43000019</v>
      </c>
      <c r="H90" s="14">
        <f t="shared" si="8"/>
        <v>11093879.189465754</v>
      </c>
      <c r="I90" s="16">
        <f t="shared" si="9"/>
        <v>-154081.65053424612</v>
      </c>
    </row>
    <row r="91" spans="1:9" x14ac:dyDescent="0.25">
      <c r="A91" s="36">
        <v>44505</v>
      </c>
      <c r="B91" s="71">
        <f t="shared" si="10"/>
        <v>30</v>
      </c>
      <c r="C91" s="33">
        <f t="shared" si="12"/>
        <v>13167896</v>
      </c>
      <c r="D91" s="48">
        <f t="shared" si="13"/>
        <v>1943934.3399999999</v>
      </c>
      <c r="E91" s="47">
        <f t="shared" si="11"/>
        <v>11223961.66</v>
      </c>
      <c r="F91" s="33">
        <f t="shared" si="14"/>
        <v>897916932.43000019</v>
      </c>
      <c r="G91" s="47">
        <f t="shared" si="15"/>
        <v>895972998.09000015</v>
      </c>
      <c r="H91" s="14">
        <f t="shared" si="8"/>
        <v>11070208.755986303</v>
      </c>
      <c r="I91" s="16">
        <f t="shared" si="9"/>
        <v>-153752.90401369706</v>
      </c>
    </row>
    <row r="92" spans="1:9" x14ac:dyDescent="0.25">
      <c r="A92" s="36">
        <v>44535</v>
      </c>
      <c r="B92" s="71">
        <f t="shared" si="10"/>
        <v>30</v>
      </c>
      <c r="C92" s="33">
        <f t="shared" si="12"/>
        <v>13167896</v>
      </c>
      <c r="D92" s="48">
        <f t="shared" si="13"/>
        <v>1968233.5199999996</v>
      </c>
      <c r="E92" s="47">
        <f t="shared" si="11"/>
        <v>11199662.48</v>
      </c>
      <c r="F92" s="33">
        <f t="shared" si="14"/>
        <v>895972998.09000015</v>
      </c>
      <c r="G92" s="47">
        <f t="shared" si="15"/>
        <v>894004764.57000017</v>
      </c>
      <c r="H92" s="14">
        <f t="shared" si="8"/>
        <v>11046242.442205481</v>
      </c>
      <c r="I92" s="16">
        <f t="shared" si="9"/>
        <v>-153420.03779451922</v>
      </c>
    </row>
    <row r="93" spans="1:9" x14ac:dyDescent="0.25">
      <c r="A93" s="36">
        <v>44566</v>
      </c>
      <c r="B93" s="71">
        <f t="shared" si="10"/>
        <v>30</v>
      </c>
      <c r="C93" s="33">
        <f t="shared" si="12"/>
        <v>13167896</v>
      </c>
      <c r="D93" s="48">
        <f t="shared" si="13"/>
        <v>1992836.4399999995</v>
      </c>
      <c r="E93" s="47">
        <f t="shared" si="11"/>
        <v>11175059.560000001</v>
      </c>
      <c r="F93" s="33">
        <f t="shared" si="14"/>
        <v>894004764.57000017</v>
      </c>
      <c r="G93" s="47">
        <f t="shared" si="15"/>
        <v>892011928.13000011</v>
      </c>
      <c r="H93" s="14">
        <f t="shared" si="8"/>
        <v>11021976.549493153</v>
      </c>
      <c r="I93" s="16">
        <f t="shared" si="9"/>
        <v>-153083.01050684787</v>
      </c>
    </row>
    <row r="94" spans="1:9" x14ac:dyDescent="0.25">
      <c r="A94" s="36">
        <v>44597</v>
      </c>
      <c r="B94" s="71">
        <f t="shared" si="10"/>
        <v>30</v>
      </c>
      <c r="C94" s="33">
        <f t="shared" si="12"/>
        <v>13167896</v>
      </c>
      <c r="D94" s="48">
        <f t="shared" si="13"/>
        <v>2017746.9000000004</v>
      </c>
      <c r="E94" s="47">
        <f t="shared" si="11"/>
        <v>11150149.1</v>
      </c>
      <c r="F94" s="33">
        <f t="shared" si="14"/>
        <v>892011928.13000011</v>
      </c>
      <c r="G94" s="47">
        <f t="shared" si="15"/>
        <v>889994181.23000014</v>
      </c>
      <c r="H94" s="14">
        <f t="shared" si="8"/>
        <v>10997407.333109589</v>
      </c>
      <c r="I94" s="16">
        <f t="shared" si="9"/>
        <v>-152741.76689041033</v>
      </c>
    </row>
    <row r="95" spans="1:9" x14ac:dyDescent="0.25">
      <c r="A95" s="36">
        <v>44625</v>
      </c>
      <c r="B95" s="71">
        <f t="shared" si="10"/>
        <v>30</v>
      </c>
      <c r="C95" s="33">
        <f t="shared" si="12"/>
        <v>13167896</v>
      </c>
      <c r="D95" s="48">
        <f t="shared" si="13"/>
        <v>2042968.7300000004</v>
      </c>
      <c r="E95" s="47">
        <f t="shared" si="11"/>
        <v>11124927.27</v>
      </c>
      <c r="F95" s="33">
        <f t="shared" si="14"/>
        <v>889994181.23000014</v>
      </c>
      <c r="G95" s="47">
        <f t="shared" si="15"/>
        <v>887951212.50000012</v>
      </c>
      <c r="H95" s="14">
        <f t="shared" si="8"/>
        <v>10972531.001465755</v>
      </c>
      <c r="I95" s="16">
        <f t="shared" si="9"/>
        <v>-152396.26853424497</v>
      </c>
    </row>
    <row r="96" spans="1:9" x14ac:dyDescent="0.25">
      <c r="A96" s="36">
        <v>44656</v>
      </c>
      <c r="B96" s="71">
        <f t="shared" si="10"/>
        <v>30</v>
      </c>
      <c r="C96" s="33">
        <f t="shared" si="12"/>
        <v>13167896</v>
      </c>
      <c r="D96" s="48">
        <f t="shared" si="13"/>
        <v>2068505.8399999999</v>
      </c>
      <c r="E96" s="47">
        <f t="shared" si="11"/>
        <v>11099390.16</v>
      </c>
      <c r="F96" s="33">
        <f t="shared" si="14"/>
        <v>887951212.50000012</v>
      </c>
      <c r="G96" s="47">
        <f t="shared" si="15"/>
        <v>885882706.66000009</v>
      </c>
      <c r="H96" s="14">
        <f t="shared" si="8"/>
        <v>10947343.715753427</v>
      </c>
      <c r="I96" s="16">
        <f t="shared" si="9"/>
        <v>-152046.44424657337</v>
      </c>
    </row>
    <row r="97" spans="1:9" x14ac:dyDescent="0.25">
      <c r="A97" s="36">
        <v>44686</v>
      </c>
      <c r="B97" s="71">
        <f t="shared" si="10"/>
        <v>30</v>
      </c>
      <c r="C97" s="33">
        <f t="shared" si="12"/>
        <v>13167896</v>
      </c>
      <c r="D97" s="48">
        <f t="shared" si="13"/>
        <v>2094362.17</v>
      </c>
      <c r="E97" s="47">
        <f t="shared" si="11"/>
        <v>11073533.83</v>
      </c>
      <c r="F97" s="33">
        <f t="shared" si="14"/>
        <v>885882706.66000009</v>
      </c>
      <c r="G97" s="47">
        <f t="shared" si="15"/>
        <v>883788344.49000013</v>
      </c>
      <c r="H97" s="14">
        <f t="shared" si="8"/>
        <v>10921841.588958904</v>
      </c>
      <c r="I97" s="16">
        <f t="shared" si="9"/>
        <v>-151692.24104109593</v>
      </c>
    </row>
    <row r="98" spans="1:9" x14ac:dyDescent="0.25">
      <c r="A98" s="36">
        <v>44717</v>
      </c>
      <c r="B98" s="71">
        <f t="shared" si="10"/>
        <v>30</v>
      </c>
      <c r="C98" s="33">
        <f t="shared" si="12"/>
        <v>13167896</v>
      </c>
      <c r="D98" s="48">
        <f t="shared" si="13"/>
        <v>2120541.6899999995</v>
      </c>
      <c r="E98" s="47">
        <f t="shared" si="11"/>
        <v>11047354.310000001</v>
      </c>
      <c r="F98" s="33">
        <f t="shared" si="14"/>
        <v>883788344.49000013</v>
      </c>
      <c r="G98" s="47">
        <f t="shared" si="15"/>
        <v>881667802.80000007</v>
      </c>
      <c r="H98" s="14">
        <f t="shared" si="8"/>
        <v>10896020.685493153</v>
      </c>
      <c r="I98" s="16">
        <f t="shared" si="9"/>
        <v>-151333.62450684793</v>
      </c>
    </row>
    <row r="99" spans="1:9" x14ac:dyDescent="0.25">
      <c r="A99" s="36">
        <v>44747</v>
      </c>
      <c r="B99" s="71">
        <f t="shared" si="10"/>
        <v>30</v>
      </c>
      <c r="C99" s="33">
        <f t="shared" si="12"/>
        <v>13167896</v>
      </c>
      <c r="D99" s="48">
        <f t="shared" si="13"/>
        <v>2147048.4600000009</v>
      </c>
      <c r="E99" s="47">
        <f t="shared" si="11"/>
        <v>11020847.539999999</v>
      </c>
      <c r="F99" s="33">
        <f t="shared" si="14"/>
        <v>881667802.80000007</v>
      </c>
      <c r="G99" s="47">
        <f t="shared" si="15"/>
        <v>879520754.34000003</v>
      </c>
      <c r="H99" s="14">
        <f t="shared" si="8"/>
        <v>10869877.020821918</v>
      </c>
      <c r="I99" s="16">
        <f t="shared" si="9"/>
        <v>-150970.5191780813</v>
      </c>
    </row>
    <row r="100" spans="1:9" x14ac:dyDescent="0.25">
      <c r="A100" s="36">
        <v>44778</v>
      </c>
      <c r="B100" s="71">
        <f t="shared" si="10"/>
        <v>30</v>
      </c>
      <c r="C100" s="33">
        <f t="shared" si="12"/>
        <v>13167896</v>
      </c>
      <c r="D100" s="48">
        <f t="shared" si="13"/>
        <v>2173886.5700000003</v>
      </c>
      <c r="E100" s="47">
        <f t="shared" si="11"/>
        <v>10994009.43</v>
      </c>
      <c r="F100" s="33">
        <f t="shared" si="14"/>
        <v>879520754.34000003</v>
      </c>
      <c r="G100" s="47">
        <f t="shared" si="15"/>
        <v>877346867.76999998</v>
      </c>
      <c r="H100" s="14">
        <f t="shared" si="8"/>
        <v>10843406.560356164</v>
      </c>
      <c r="I100" s="16">
        <f t="shared" si="9"/>
        <v>-150602.86964383535</v>
      </c>
    </row>
    <row r="101" spans="1:9" x14ac:dyDescent="0.25">
      <c r="A101" s="36">
        <v>44809</v>
      </c>
      <c r="B101" s="71">
        <f t="shared" si="10"/>
        <v>30</v>
      </c>
      <c r="C101" s="33">
        <f t="shared" si="12"/>
        <v>13167896</v>
      </c>
      <c r="D101" s="48">
        <f t="shared" si="13"/>
        <v>2201060.1500000004</v>
      </c>
      <c r="E101" s="47">
        <f t="shared" si="11"/>
        <v>10966835.85</v>
      </c>
      <c r="F101" s="33">
        <f t="shared" si="14"/>
        <v>877346867.76999998</v>
      </c>
      <c r="G101" s="47">
        <f t="shared" si="15"/>
        <v>875145807.62</v>
      </c>
      <c r="H101" s="14">
        <f t="shared" si="8"/>
        <v>10816605.219082192</v>
      </c>
      <c r="I101" s="16">
        <f t="shared" si="9"/>
        <v>-150230.63091780804</v>
      </c>
    </row>
    <row r="102" spans="1:9" x14ac:dyDescent="0.25">
      <c r="A102" s="36">
        <v>44839</v>
      </c>
      <c r="B102" s="71">
        <f t="shared" si="10"/>
        <v>30</v>
      </c>
      <c r="C102" s="33">
        <f t="shared" si="12"/>
        <v>13167896</v>
      </c>
      <c r="D102" s="48">
        <f t="shared" si="13"/>
        <v>2228573.4000000004</v>
      </c>
      <c r="E102" s="47">
        <f t="shared" si="11"/>
        <v>10939322.6</v>
      </c>
      <c r="F102" s="33">
        <f t="shared" si="14"/>
        <v>875145807.62</v>
      </c>
      <c r="G102" s="47">
        <f t="shared" si="15"/>
        <v>872917234.22000003</v>
      </c>
      <c r="H102" s="14">
        <f t="shared" si="8"/>
        <v>10789468.861068493</v>
      </c>
      <c r="I102" s="16">
        <f t="shared" si="9"/>
        <v>-149853.73893150687</v>
      </c>
    </row>
    <row r="103" spans="1:9" x14ac:dyDescent="0.25">
      <c r="A103" s="36">
        <v>44870</v>
      </c>
      <c r="B103" s="71">
        <f t="shared" si="10"/>
        <v>30</v>
      </c>
      <c r="C103" s="33">
        <f t="shared" si="12"/>
        <v>13167896</v>
      </c>
      <c r="D103" s="48">
        <f t="shared" si="13"/>
        <v>2256430.5700000003</v>
      </c>
      <c r="E103" s="47">
        <f t="shared" si="11"/>
        <v>10911465.43</v>
      </c>
      <c r="F103" s="33">
        <f t="shared" si="14"/>
        <v>872917234.22000003</v>
      </c>
      <c r="G103" s="47">
        <f t="shared" si="15"/>
        <v>870660803.64999998</v>
      </c>
      <c r="H103" s="14">
        <f t="shared" si="8"/>
        <v>10761993.298602741</v>
      </c>
      <c r="I103" s="16">
        <f t="shared" si="9"/>
        <v>-149472.13139725849</v>
      </c>
    </row>
    <row r="104" spans="1:9" x14ac:dyDescent="0.25">
      <c r="A104" s="36">
        <v>44900</v>
      </c>
      <c r="B104" s="71">
        <f t="shared" si="10"/>
        <v>30</v>
      </c>
      <c r="C104" s="33">
        <f t="shared" si="12"/>
        <v>13167896</v>
      </c>
      <c r="D104" s="48">
        <f t="shared" si="13"/>
        <v>2284635.9499999993</v>
      </c>
      <c r="E104" s="47">
        <f t="shared" si="11"/>
        <v>10883260.050000001</v>
      </c>
      <c r="F104" s="33">
        <f t="shared" si="14"/>
        <v>870660803.64999998</v>
      </c>
      <c r="G104" s="47">
        <f t="shared" si="15"/>
        <v>868376167.69999993</v>
      </c>
      <c r="H104" s="14">
        <f t="shared" si="8"/>
        <v>10734174.291575342</v>
      </c>
      <c r="I104" s="16">
        <f t="shared" si="9"/>
        <v>-149085.75842465833</v>
      </c>
    </row>
    <row r="105" spans="1:9" x14ac:dyDescent="0.25">
      <c r="A105" s="36">
        <v>44931</v>
      </c>
      <c r="B105" s="71">
        <f t="shared" si="10"/>
        <v>30</v>
      </c>
      <c r="C105" s="33">
        <f t="shared" si="12"/>
        <v>13167896</v>
      </c>
      <c r="D105" s="48">
        <f t="shared" si="13"/>
        <v>2313193.9000000004</v>
      </c>
      <c r="E105" s="47">
        <f t="shared" si="11"/>
        <v>10854702.1</v>
      </c>
      <c r="F105" s="33">
        <f t="shared" si="14"/>
        <v>868376167.69999993</v>
      </c>
      <c r="G105" s="47">
        <f t="shared" si="15"/>
        <v>866062973.79999995</v>
      </c>
      <c r="H105" s="14">
        <f t="shared" si="8"/>
        <v>10706007.5469863</v>
      </c>
      <c r="I105" s="16">
        <f t="shared" si="9"/>
        <v>-148694.55301369913</v>
      </c>
    </row>
    <row r="106" spans="1:9" x14ac:dyDescent="0.25">
      <c r="A106" s="36">
        <v>44962</v>
      </c>
      <c r="B106" s="71">
        <f t="shared" si="10"/>
        <v>30</v>
      </c>
      <c r="C106" s="33">
        <f t="shared" si="12"/>
        <v>13167896</v>
      </c>
      <c r="D106" s="48">
        <f t="shared" si="13"/>
        <v>2342108.83</v>
      </c>
      <c r="E106" s="47">
        <f t="shared" si="11"/>
        <v>10825787.17</v>
      </c>
      <c r="F106" s="33">
        <f t="shared" si="14"/>
        <v>866062973.79999995</v>
      </c>
      <c r="G106" s="47">
        <f t="shared" si="15"/>
        <v>863720864.96999991</v>
      </c>
      <c r="H106" s="14">
        <f t="shared" si="8"/>
        <v>10677488.718082191</v>
      </c>
      <c r="I106" s="16">
        <f t="shared" si="9"/>
        <v>-148298.4519178085</v>
      </c>
    </row>
    <row r="107" spans="1:9" x14ac:dyDescent="0.25">
      <c r="A107" s="36">
        <v>44990</v>
      </c>
      <c r="B107" s="71">
        <f t="shared" si="10"/>
        <v>30</v>
      </c>
      <c r="C107" s="33">
        <f t="shared" si="12"/>
        <v>13167896</v>
      </c>
      <c r="D107" s="48">
        <f t="shared" si="13"/>
        <v>2371385.1899999995</v>
      </c>
      <c r="E107" s="47">
        <f t="shared" si="11"/>
        <v>10796510.810000001</v>
      </c>
      <c r="F107" s="33">
        <f t="shared" si="14"/>
        <v>863720864.96999991</v>
      </c>
      <c r="G107" s="47">
        <f t="shared" si="15"/>
        <v>861349479.77999985</v>
      </c>
      <c r="H107" s="14">
        <f t="shared" si="8"/>
        <v>10648613.403739724</v>
      </c>
      <c r="I107" s="16">
        <f t="shared" si="9"/>
        <v>-147897.40626027621</v>
      </c>
    </row>
    <row r="108" spans="1:9" x14ac:dyDescent="0.25">
      <c r="A108" s="36">
        <v>45021</v>
      </c>
      <c r="B108" s="71">
        <f t="shared" si="10"/>
        <v>30</v>
      </c>
      <c r="C108" s="33">
        <f t="shared" si="12"/>
        <v>13167896</v>
      </c>
      <c r="D108" s="48">
        <f t="shared" si="13"/>
        <v>2401027.5</v>
      </c>
      <c r="E108" s="47">
        <f t="shared" si="11"/>
        <v>10766868.5</v>
      </c>
      <c r="F108" s="33">
        <f t="shared" si="14"/>
        <v>861349479.77999985</v>
      </c>
      <c r="G108" s="47">
        <f t="shared" si="15"/>
        <v>858948452.27999985</v>
      </c>
      <c r="H108" s="14">
        <f t="shared" si="8"/>
        <v>10619377.147972601</v>
      </c>
      <c r="I108" s="16">
        <f t="shared" si="9"/>
        <v>-147491.35202739947</v>
      </c>
    </row>
    <row r="109" spans="1:9" x14ac:dyDescent="0.25">
      <c r="A109" s="36">
        <v>45051</v>
      </c>
      <c r="B109" s="71">
        <f t="shared" si="10"/>
        <v>30</v>
      </c>
      <c r="C109" s="33">
        <f t="shared" si="12"/>
        <v>13167896</v>
      </c>
      <c r="D109" s="48">
        <f t="shared" si="13"/>
        <v>2431040.3499999996</v>
      </c>
      <c r="E109" s="47">
        <f t="shared" si="11"/>
        <v>10736855.65</v>
      </c>
      <c r="F109" s="33">
        <f t="shared" si="14"/>
        <v>858948452.27999985</v>
      </c>
      <c r="G109" s="47">
        <f t="shared" si="15"/>
        <v>856517411.92999983</v>
      </c>
      <c r="H109" s="14">
        <f t="shared" si="8"/>
        <v>10589775.439068491</v>
      </c>
      <c r="I109" s="16">
        <f t="shared" si="9"/>
        <v>-147080.21093150973</v>
      </c>
    </row>
    <row r="110" spans="1:9" x14ac:dyDescent="0.25">
      <c r="A110" s="36">
        <v>45082</v>
      </c>
      <c r="B110" s="71">
        <f t="shared" si="10"/>
        <v>30</v>
      </c>
      <c r="C110" s="33">
        <f t="shared" si="12"/>
        <v>13167896</v>
      </c>
      <c r="D110" s="48">
        <f t="shared" si="13"/>
        <v>2461428.3499999996</v>
      </c>
      <c r="E110" s="47">
        <f t="shared" si="11"/>
        <v>10706467.65</v>
      </c>
      <c r="F110" s="33">
        <f t="shared" si="14"/>
        <v>856517411.92999983</v>
      </c>
      <c r="G110" s="47">
        <f t="shared" si="15"/>
        <v>854055983.5799998</v>
      </c>
      <c r="H110" s="14">
        <f t="shared" si="8"/>
        <v>10559803.708726024</v>
      </c>
      <c r="I110" s="16">
        <f t="shared" si="9"/>
        <v>-146663.94127397612</v>
      </c>
    </row>
    <row r="111" spans="1:9" x14ac:dyDescent="0.25">
      <c r="A111" s="36">
        <v>45112</v>
      </c>
      <c r="B111" s="71">
        <f t="shared" si="10"/>
        <v>30</v>
      </c>
      <c r="C111" s="33">
        <f t="shared" si="12"/>
        <v>13167896</v>
      </c>
      <c r="D111" s="48">
        <f t="shared" si="13"/>
        <v>2492196.2100000009</v>
      </c>
      <c r="E111" s="47">
        <f t="shared" si="11"/>
        <v>10675699.789999999</v>
      </c>
      <c r="F111" s="33">
        <f t="shared" si="14"/>
        <v>854055983.5799998</v>
      </c>
      <c r="G111" s="47">
        <f t="shared" si="15"/>
        <v>851563787.36999977</v>
      </c>
      <c r="H111" s="14">
        <f t="shared" si="8"/>
        <v>10529457.331808217</v>
      </c>
      <c r="I111" s="16">
        <f t="shared" si="9"/>
        <v>-146242.45819178224</v>
      </c>
    </row>
    <row r="112" spans="1:9" x14ac:dyDescent="0.25">
      <c r="A112" s="36">
        <v>45143</v>
      </c>
      <c r="B112" s="71">
        <f t="shared" si="10"/>
        <v>30</v>
      </c>
      <c r="C112" s="33">
        <f t="shared" si="12"/>
        <v>13167896</v>
      </c>
      <c r="D112" s="48">
        <f t="shared" si="13"/>
        <v>2523348.66</v>
      </c>
      <c r="E112" s="47">
        <f t="shared" si="11"/>
        <v>10644547.34</v>
      </c>
      <c r="F112" s="33">
        <f t="shared" si="14"/>
        <v>851563787.36999977</v>
      </c>
      <c r="G112" s="47">
        <f t="shared" si="15"/>
        <v>849040438.7099998</v>
      </c>
      <c r="H112" s="14">
        <f t="shared" si="8"/>
        <v>10498731.625109585</v>
      </c>
      <c r="I112" s="16">
        <f t="shared" si="9"/>
        <v>-145815.71489041485</v>
      </c>
    </row>
    <row r="113" spans="1:9" x14ac:dyDescent="0.25">
      <c r="A113" s="36">
        <v>45174</v>
      </c>
      <c r="B113" s="71">
        <f t="shared" si="10"/>
        <v>30</v>
      </c>
      <c r="C113" s="33">
        <f t="shared" si="12"/>
        <v>13167896</v>
      </c>
      <c r="D113" s="48">
        <f t="shared" si="13"/>
        <v>2554890.5199999996</v>
      </c>
      <c r="E113" s="47">
        <f t="shared" si="11"/>
        <v>10613005.48</v>
      </c>
      <c r="F113" s="33">
        <f t="shared" si="14"/>
        <v>849040438.7099998</v>
      </c>
      <c r="G113" s="47">
        <f t="shared" si="15"/>
        <v>846485548.18999982</v>
      </c>
      <c r="H113" s="14">
        <f t="shared" si="8"/>
        <v>10467621.847109586</v>
      </c>
      <c r="I113" s="16">
        <f t="shared" si="9"/>
        <v>-145383.63289041445</v>
      </c>
    </row>
    <row r="114" spans="1:9" x14ac:dyDescent="0.25">
      <c r="A114" s="36">
        <v>45204</v>
      </c>
      <c r="B114" s="71">
        <f t="shared" si="10"/>
        <v>30</v>
      </c>
      <c r="C114" s="33">
        <f t="shared" si="12"/>
        <v>13167896</v>
      </c>
      <c r="D114" s="48">
        <f t="shared" si="13"/>
        <v>2586826.6500000004</v>
      </c>
      <c r="E114" s="47">
        <f t="shared" si="11"/>
        <v>10581069.35</v>
      </c>
      <c r="F114" s="33">
        <f t="shared" si="14"/>
        <v>846485548.18999982</v>
      </c>
      <c r="G114" s="47">
        <f t="shared" si="15"/>
        <v>843898721.53999984</v>
      </c>
      <c r="H114" s="14">
        <f t="shared" si="8"/>
        <v>10436123.196863011</v>
      </c>
      <c r="I114" s="16">
        <f t="shared" si="9"/>
        <v>-144946.1531369891</v>
      </c>
    </row>
    <row r="115" spans="1:9" x14ac:dyDescent="0.25">
      <c r="A115" s="36">
        <v>45235</v>
      </c>
      <c r="B115" s="71">
        <f t="shared" si="10"/>
        <v>30</v>
      </c>
      <c r="C115" s="33">
        <f t="shared" si="12"/>
        <v>13167896</v>
      </c>
      <c r="D115" s="48">
        <f t="shared" si="13"/>
        <v>2619161.9800000004</v>
      </c>
      <c r="E115" s="47">
        <f t="shared" si="11"/>
        <v>10548734.02</v>
      </c>
      <c r="F115" s="33">
        <f t="shared" si="14"/>
        <v>843898721.53999984</v>
      </c>
      <c r="G115" s="47">
        <f t="shared" si="15"/>
        <v>841279559.55999982</v>
      </c>
      <c r="H115" s="14">
        <f t="shared" si="8"/>
        <v>10404230.813506847</v>
      </c>
      <c r="I115" s="16">
        <f t="shared" si="9"/>
        <v>-144503.20649315231</v>
      </c>
    </row>
    <row r="116" spans="1:9" x14ac:dyDescent="0.25">
      <c r="A116" s="36">
        <v>45265</v>
      </c>
      <c r="B116" s="71">
        <f t="shared" si="10"/>
        <v>30</v>
      </c>
      <c r="C116" s="33">
        <f t="shared" si="12"/>
        <v>13167896</v>
      </c>
      <c r="D116" s="48">
        <f t="shared" si="13"/>
        <v>2651901.5099999998</v>
      </c>
      <c r="E116" s="47">
        <f t="shared" si="11"/>
        <v>10515994.49</v>
      </c>
      <c r="F116" s="33">
        <f t="shared" si="14"/>
        <v>841279559.55999982</v>
      </c>
      <c r="G116" s="47">
        <f t="shared" si="15"/>
        <v>838627658.04999983</v>
      </c>
      <c r="H116" s="14">
        <f t="shared" si="8"/>
        <v>10371939.775397258</v>
      </c>
      <c r="I116" s="16">
        <f t="shared" si="9"/>
        <v>-144054.71460274234</v>
      </c>
    </row>
    <row r="117" spans="1:9" x14ac:dyDescent="0.25">
      <c r="A117" s="36">
        <v>45296</v>
      </c>
      <c r="B117" s="71">
        <f t="shared" si="10"/>
        <v>30</v>
      </c>
      <c r="C117" s="33">
        <f t="shared" si="12"/>
        <v>13167896</v>
      </c>
      <c r="D117" s="48">
        <f t="shared" si="13"/>
        <v>2685050.2699999996</v>
      </c>
      <c r="E117" s="47">
        <f t="shared" si="11"/>
        <v>10482845.73</v>
      </c>
      <c r="F117" s="33">
        <f t="shared" si="14"/>
        <v>838627658.04999983</v>
      </c>
      <c r="G117" s="47">
        <f t="shared" si="15"/>
        <v>835942607.77999985</v>
      </c>
      <c r="H117" s="14">
        <f t="shared" si="8"/>
        <v>10339245.099246573</v>
      </c>
      <c r="I117" s="16">
        <f t="shared" si="9"/>
        <v>-143600.63075342774</v>
      </c>
    </row>
    <row r="118" spans="1:9" x14ac:dyDescent="0.25">
      <c r="A118" s="36">
        <v>45327</v>
      </c>
      <c r="B118" s="71">
        <f t="shared" si="10"/>
        <v>30</v>
      </c>
      <c r="C118" s="33">
        <f t="shared" si="12"/>
        <v>13167896</v>
      </c>
      <c r="D118" s="48">
        <f t="shared" si="13"/>
        <v>2718613.4000000004</v>
      </c>
      <c r="E118" s="47">
        <f t="shared" si="11"/>
        <v>10449282.6</v>
      </c>
      <c r="F118" s="33">
        <f t="shared" si="14"/>
        <v>835942607.77999985</v>
      </c>
      <c r="G118" s="47">
        <f t="shared" si="15"/>
        <v>833223994.37999988</v>
      </c>
      <c r="H118" s="14">
        <f t="shared" si="8"/>
        <v>10306141.739753421</v>
      </c>
      <c r="I118" s="16">
        <f t="shared" si="9"/>
        <v>-143140.86024657823</v>
      </c>
    </row>
    <row r="119" spans="1:9" x14ac:dyDescent="0.25">
      <c r="A119" s="36">
        <v>45356</v>
      </c>
      <c r="B119" s="71">
        <f t="shared" si="10"/>
        <v>30</v>
      </c>
      <c r="C119" s="33">
        <f t="shared" si="12"/>
        <v>13167896</v>
      </c>
      <c r="D119" s="48">
        <f t="shared" si="13"/>
        <v>2752596.0700000003</v>
      </c>
      <c r="E119" s="47">
        <f t="shared" si="11"/>
        <v>10415299.93</v>
      </c>
      <c r="F119" s="33">
        <f t="shared" si="14"/>
        <v>833223994.37999988</v>
      </c>
      <c r="G119" s="47">
        <f t="shared" si="15"/>
        <v>830471398.30999982</v>
      </c>
      <c r="H119" s="14">
        <f t="shared" si="8"/>
        <v>10272624.588246573</v>
      </c>
      <c r="I119" s="16">
        <f t="shared" si="9"/>
        <v>-142675.34175342694</v>
      </c>
    </row>
    <row r="120" spans="1:9" x14ac:dyDescent="0.25">
      <c r="A120" s="36">
        <v>45387</v>
      </c>
      <c r="B120" s="71">
        <f t="shared" si="10"/>
        <v>30</v>
      </c>
      <c r="C120" s="33">
        <f t="shared" si="12"/>
        <v>13167896</v>
      </c>
      <c r="D120" s="48">
        <f t="shared" si="13"/>
        <v>2787003.5199999996</v>
      </c>
      <c r="E120" s="47">
        <f t="shared" si="11"/>
        <v>10380892.48</v>
      </c>
      <c r="F120" s="33">
        <f t="shared" si="14"/>
        <v>830471398.30999982</v>
      </c>
      <c r="G120" s="47">
        <f t="shared" si="15"/>
        <v>827684394.78999984</v>
      </c>
      <c r="H120" s="14">
        <f t="shared" si="8"/>
        <v>10238688.472315066</v>
      </c>
      <c r="I120" s="16">
        <f t="shared" si="9"/>
        <v>-142204.00768493488</v>
      </c>
    </row>
    <row r="121" spans="1:9" x14ac:dyDescent="0.25">
      <c r="A121" s="36">
        <v>45417</v>
      </c>
      <c r="B121" s="71">
        <f t="shared" si="10"/>
        <v>30</v>
      </c>
      <c r="C121" s="33">
        <f t="shared" si="12"/>
        <v>13167896</v>
      </c>
      <c r="D121" s="48">
        <f t="shared" si="13"/>
        <v>2821841.0700000003</v>
      </c>
      <c r="E121" s="47">
        <f t="shared" si="11"/>
        <v>10346054.93</v>
      </c>
      <c r="F121" s="33">
        <f t="shared" si="14"/>
        <v>827684394.78999984</v>
      </c>
      <c r="G121" s="47">
        <f t="shared" si="15"/>
        <v>824862553.71999979</v>
      </c>
      <c r="H121" s="14">
        <f t="shared" si="8"/>
        <v>10204328.154945204</v>
      </c>
      <c r="I121" s="16">
        <f t="shared" si="9"/>
        <v>-141726.77505479567</v>
      </c>
    </row>
    <row r="122" spans="1:9" x14ac:dyDescent="0.25">
      <c r="A122" s="36">
        <v>45448</v>
      </c>
      <c r="B122" s="71">
        <f t="shared" si="10"/>
        <v>30</v>
      </c>
      <c r="C122" s="33">
        <f t="shared" si="12"/>
        <v>13167896</v>
      </c>
      <c r="D122" s="48">
        <f t="shared" si="13"/>
        <v>2857114.08</v>
      </c>
      <c r="E122" s="47">
        <f t="shared" si="11"/>
        <v>10310781.92</v>
      </c>
      <c r="F122" s="33">
        <f t="shared" si="14"/>
        <v>824862553.71999979</v>
      </c>
      <c r="G122" s="47">
        <f t="shared" si="15"/>
        <v>822005439.63999975</v>
      </c>
      <c r="H122" s="14">
        <f t="shared" si="8"/>
        <v>10169538.333534243</v>
      </c>
      <c r="I122" s="16">
        <f t="shared" si="9"/>
        <v>-141243.58646575734</v>
      </c>
    </row>
    <row r="123" spans="1:9" x14ac:dyDescent="0.25">
      <c r="A123" s="36">
        <v>45478</v>
      </c>
      <c r="B123" s="71">
        <f t="shared" si="10"/>
        <v>30</v>
      </c>
      <c r="C123" s="33">
        <f t="shared" si="12"/>
        <v>13167896</v>
      </c>
      <c r="D123" s="48">
        <f t="shared" si="13"/>
        <v>2892828</v>
      </c>
      <c r="E123" s="47">
        <f t="shared" si="11"/>
        <v>10275068</v>
      </c>
      <c r="F123" s="33">
        <f t="shared" si="14"/>
        <v>822005439.63999975</v>
      </c>
      <c r="G123" s="47">
        <f t="shared" si="15"/>
        <v>819112611.63999975</v>
      </c>
      <c r="H123" s="14">
        <f t="shared" si="8"/>
        <v>10134313.639397256</v>
      </c>
      <c r="I123" s="16">
        <f t="shared" si="9"/>
        <v>-140754.36060274392</v>
      </c>
    </row>
    <row r="124" spans="1:9" x14ac:dyDescent="0.25">
      <c r="A124" s="36">
        <v>45509</v>
      </c>
      <c r="B124" s="71">
        <f t="shared" si="10"/>
        <v>30</v>
      </c>
      <c r="C124" s="33">
        <f t="shared" si="12"/>
        <v>13167896</v>
      </c>
      <c r="D124" s="48">
        <f t="shared" si="13"/>
        <v>2928988.3499999996</v>
      </c>
      <c r="E124" s="47">
        <f t="shared" si="11"/>
        <v>10238907.65</v>
      </c>
      <c r="F124" s="33">
        <f t="shared" si="14"/>
        <v>819112611.63999975</v>
      </c>
      <c r="G124" s="47">
        <f t="shared" si="15"/>
        <v>816183623.28999972</v>
      </c>
      <c r="H124" s="14">
        <f t="shared" si="8"/>
        <v>10098648.63665753</v>
      </c>
      <c r="I124" s="16">
        <f t="shared" si="9"/>
        <v>-140259.01334246993</v>
      </c>
    </row>
    <row r="125" spans="1:9" x14ac:dyDescent="0.25">
      <c r="A125" s="36">
        <v>45540</v>
      </c>
      <c r="B125" s="71">
        <f t="shared" si="10"/>
        <v>30</v>
      </c>
      <c r="C125" s="33">
        <f t="shared" si="12"/>
        <v>13167896</v>
      </c>
      <c r="D125" s="48">
        <f t="shared" si="13"/>
        <v>2965600.7100000009</v>
      </c>
      <c r="E125" s="47">
        <f t="shared" si="11"/>
        <v>10202295.289999999</v>
      </c>
      <c r="F125" s="33">
        <f t="shared" si="14"/>
        <v>816183623.28999972</v>
      </c>
      <c r="G125" s="47">
        <f t="shared" si="15"/>
        <v>813218022.57999969</v>
      </c>
      <c r="H125" s="14">
        <f t="shared" si="8"/>
        <v>10062537.821383556</v>
      </c>
      <c r="I125" s="16">
        <f t="shared" si="9"/>
        <v>-139757.46861644275</v>
      </c>
    </row>
    <row r="126" spans="1:9" x14ac:dyDescent="0.25">
      <c r="A126" s="36">
        <v>45570</v>
      </c>
      <c r="B126" s="71">
        <f t="shared" si="10"/>
        <v>30</v>
      </c>
      <c r="C126" s="33">
        <f t="shared" si="12"/>
        <v>13167896</v>
      </c>
      <c r="D126" s="48">
        <f t="shared" si="13"/>
        <v>3002670.7200000007</v>
      </c>
      <c r="E126" s="47">
        <f t="shared" si="11"/>
        <v>10165225.279999999</v>
      </c>
      <c r="F126" s="33">
        <f t="shared" si="14"/>
        <v>813218022.57999969</v>
      </c>
      <c r="G126" s="47">
        <f t="shared" si="15"/>
        <v>810215351.85999966</v>
      </c>
      <c r="H126" s="14">
        <f t="shared" si="8"/>
        <v>10025975.620849311</v>
      </c>
      <c r="I126" s="16">
        <f t="shared" si="9"/>
        <v>-139249.65915068798</v>
      </c>
    </row>
    <row r="127" spans="1:9" x14ac:dyDescent="0.25">
      <c r="A127" s="36">
        <v>45601</v>
      </c>
      <c r="B127" s="71">
        <f t="shared" si="10"/>
        <v>30</v>
      </c>
      <c r="C127" s="33">
        <f t="shared" si="12"/>
        <v>13167896</v>
      </c>
      <c r="D127" s="48">
        <f t="shared" si="13"/>
        <v>3040204.0999999996</v>
      </c>
      <c r="E127" s="47">
        <f t="shared" si="11"/>
        <v>10127691.9</v>
      </c>
      <c r="F127" s="33">
        <f t="shared" si="14"/>
        <v>810215351.85999966</v>
      </c>
      <c r="G127" s="47">
        <f t="shared" si="15"/>
        <v>807175147.75999963</v>
      </c>
      <c r="H127" s="14">
        <f t="shared" si="8"/>
        <v>9988956.3927945159</v>
      </c>
      <c r="I127" s="16">
        <f t="shared" si="9"/>
        <v>-138735.50720548443</v>
      </c>
    </row>
    <row r="128" spans="1:9" x14ac:dyDescent="0.25">
      <c r="A128" s="36">
        <v>45631</v>
      </c>
      <c r="B128" s="71">
        <f t="shared" si="10"/>
        <v>30</v>
      </c>
      <c r="C128" s="33">
        <f t="shared" si="12"/>
        <v>13167896</v>
      </c>
      <c r="D128" s="48">
        <f t="shared" si="13"/>
        <v>3078206.6500000004</v>
      </c>
      <c r="E128" s="47">
        <f t="shared" si="11"/>
        <v>10089689.35</v>
      </c>
      <c r="F128" s="33">
        <f t="shared" si="14"/>
        <v>807175147.75999963</v>
      </c>
      <c r="G128" s="47">
        <f t="shared" si="15"/>
        <v>804096941.10999966</v>
      </c>
      <c r="H128" s="14">
        <f t="shared" si="8"/>
        <v>9951474.4244383518</v>
      </c>
      <c r="I128" s="16">
        <f t="shared" si="9"/>
        <v>-138214.92556164786</v>
      </c>
    </row>
    <row r="129" spans="1:9" x14ac:dyDescent="0.25">
      <c r="A129" s="36">
        <v>45662</v>
      </c>
      <c r="B129" s="71">
        <f t="shared" si="10"/>
        <v>30</v>
      </c>
      <c r="C129" s="33">
        <f t="shared" si="12"/>
        <v>13167896</v>
      </c>
      <c r="D129" s="48">
        <f t="shared" si="13"/>
        <v>3116684.24</v>
      </c>
      <c r="E129" s="47">
        <f t="shared" si="11"/>
        <v>10051211.76</v>
      </c>
      <c r="F129" s="33">
        <f t="shared" si="14"/>
        <v>804096941.10999966</v>
      </c>
      <c r="G129" s="47">
        <f t="shared" si="15"/>
        <v>800980256.86999965</v>
      </c>
      <c r="H129" s="14">
        <f t="shared" si="8"/>
        <v>9913523.9314931463</v>
      </c>
      <c r="I129" s="16">
        <f t="shared" si="9"/>
        <v>-137687.82850685343</v>
      </c>
    </row>
    <row r="130" spans="1:9" x14ac:dyDescent="0.25">
      <c r="A130" s="36">
        <v>45693</v>
      </c>
      <c r="B130" s="71">
        <f t="shared" si="10"/>
        <v>30</v>
      </c>
      <c r="C130" s="33">
        <f t="shared" si="12"/>
        <v>13167896</v>
      </c>
      <c r="D130" s="48">
        <f t="shared" si="13"/>
        <v>3155642.7899999991</v>
      </c>
      <c r="E130" s="47">
        <f t="shared" si="11"/>
        <v>10012253.210000001</v>
      </c>
      <c r="F130" s="33">
        <f t="shared" si="14"/>
        <v>800980256.86999965</v>
      </c>
      <c r="G130" s="47">
        <f t="shared" si="15"/>
        <v>797824614.07999969</v>
      </c>
      <c r="H130" s="14">
        <f t="shared" si="8"/>
        <v>9875099.0573013667</v>
      </c>
      <c r="I130" s="16">
        <f t="shared" si="9"/>
        <v>-137154.15269863419</v>
      </c>
    </row>
    <row r="131" spans="1:9" x14ac:dyDescent="0.25">
      <c r="A131" s="36">
        <v>45721</v>
      </c>
      <c r="B131" s="71">
        <f t="shared" si="10"/>
        <v>30</v>
      </c>
      <c r="C131" s="33">
        <f t="shared" si="12"/>
        <v>13167896</v>
      </c>
      <c r="D131" s="48">
        <f t="shared" si="13"/>
        <v>3195088.3200000003</v>
      </c>
      <c r="E131" s="47">
        <f t="shared" si="11"/>
        <v>9972807.6799999997</v>
      </c>
      <c r="F131" s="33">
        <f t="shared" si="14"/>
        <v>797824614.07999969</v>
      </c>
      <c r="G131" s="47">
        <f t="shared" si="15"/>
        <v>794629525.75999963</v>
      </c>
      <c r="H131" s="14">
        <f t="shared" si="8"/>
        <v>9836193.8722191732</v>
      </c>
      <c r="I131" s="16">
        <f t="shared" si="9"/>
        <v>-136613.80778082646</v>
      </c>
    </row>
    <row r="132" spans="1:9" x14ac:dyDescent="0.25">
      <c r="A132" s="36">
        <v>45752</v>
      </c>
      <c r="B132" s="71">
        <f t="shared" si="10"/>
        <v>30</v>
      </c>
      <c r="C132" s="33">
        <f t="shared" si="12"/>
        <v>13167896</v>
      </c>
      <c r="D132" s="48">
        <f t="shared" si="13"/>
        <v>3235026.9299999997</v>
      </c>
      <c r="E132" s="47">
        <f t="shared" si="11"/>
        <v>9932869.0700000003</v>
      </c>
      <c r="F132" s="33">
        <f t="shared" si="14"/>
        <v>794629525.75999963</v>
      </c>
      <c r="G132" s="47">
        <f t="shared" si="15"/>
        <v>791394498.82999969</v>
      </c>
      <c r="H132" s="14">
        <f t="shared" si="8"/>
        <v>9796802.3723835573</v>
      </c>
      <c r="I132" s="16">
        <f t="shared" si="9"/>
        <v>-136066.69761644304</v>
      </c>
    </row>
    <row r="133" spans="1:9" x14ac:dyDescent="0.25">
      <c r="A133" s="36">
        <v>45782</v>
      </c>
      <c r="B133" s="71">
        <f t="shared" si="10"/>
        <v>30</v>
      </c>
      <c r="C133" s="33">
        <f t="shared" si="12"/>
        <v>13167896</v>
      </c>
      <c r="D133" s="48">
        <f t="shared" si="13"/>
        <v>3275464.76</v>
      </c>
      <c r="E133" s="47">
        <f t="shared" si="11"/>
        <v>9892431.2400000002</v>
      </c>
      <c r="F133" s="33">
        <f t="shared" si="14"/>
        <v>791394498.82999969</v>
      </c>
      <c r="G133" s="47">
        <f t="shared" si="15"/>
        <v>788119034.06999969</v>
      </c>
      <c r="H133" s="14">
        <f t="shared" ref="H133:H196" si="16">F133*$B$2*B133/365</f>
        <v>9756918.4787260238</v>
      </c>
      <c r="I133" s="16">
        <f t="shared" ref="I133:I196" si="17">H133-E133</f>
        <v>-135512.76127397642</v>
      </c>
    </row>
    <row r="134" spans="1:9" x14ac:dyDescent="0.25">
      <c r="A134" s="36">
        <v>45813</v>
      </c>
      <c r="B134" s="71">
        <f t="shared" ref="B134:B197" si="18">DAYS360(A133,A134)</f>
        <v>30</v>
      </c>
      <c r="C134" s="33">
        <f t="shared" si="12"/>
        <v>13167896</v>
      </c>
      <c r="D134" s="48">
        <f t="shared" si="13"/>
        <v>3316408.0700000003</v>
      </c>
      <c r="E134" s="47">
        <f t="shared" ref="E134:E197" si="19">ROUND(F134*$B$2*B134/360,2)</f>
        <v>9851487.9299999997</v>
      </c>
      <c r="F134" s="33">
        <f t="shared" si="14"/>
        <v>788119034.06999969</v>
      </c>
      <c r="G134" s="47">
        <f t="shared" si="15"/>
        <v>784802625.99999964</v>
      </c>
      <c r="H134" s="14">
        <f t="shared" si="16"/>
        <v>9716536.0364794489</v>
      </c>
      <c r="I134" s="16">
        <f t="shared" si="17"/>
        <v>-134951.8935205508</v>
      </c>
    </row>
    <row r="135" spans="1:9" x14ac:dyDescent="0.25">
      <c r="A135" s="36">
        <v>45843</v>
      </c>
      <c r="B135" s="71">
        <f t="shared" si="18"/>
        <v>30</v>
      </c>
      <c r="C135" s="33">
        <f t="shared" ref="C135:C198" si="20">$D$1</f>
        <v>13167896</v>
      </c>
      <c r="D135" s="48">
        <f t="shared" ref="D135:D198" si="21">C135-E135</f>
        <v>3357863.17</v>
      </c>
      <c r="E135" s="47">
        <f t="shared" si="19"/>
        <v>9810032.8300000001</v>
      </c>
      <c r="F135" s="33">
        <f t="shared" ref="F135:F198" si="22">G134</f>
        <v>784802625.99999964</v>
      </c>
      <c r="G135" s="47">
        <f t="shared" ref="G135:G198" si="23">F135-D135</f>
        <v>781444762.82999969</v>
      </c>
      <c r="H135" s="14">
        <f t="shared" si="16"/>
        <v>9675648.8136986271</v>
      </c>
      <c r="I135" s="16">
        <f t="shared" si="17"/>
        <v>-134384.01630137302</v>
      </c>
    </row>
    <row r="136" spans="1:9" x14ac:dyDescent="0.25">
      <c r="A136" s="36">
        <v>45874</v>
      </c>
      <c r="B136" s="71">
        <f t="shared" si="18"/>
        <v>30</v>
      </c>
      <c r="C136" s="33">
        <f t="shared" si="20"/>
        <v>13167896</v>
      </c>
      <c r="D136" s="48">
        <f t="shared" si="21"/>
        <v>3399836.4600000009</v>
      </c>
      <c r="E136" s="47">
        <f t="shared" si="19"/>
        <v>9768059.5399999991</v>
      </c>
      <c r="F136" s="33">
        <f t="shared" si="22"/>
        <v>781444762.82999969</v>
      </c>
      <c r="G136" s="47">
        <f t="shared" si="23"/>
        <v>778044926.36999965</v>
      </c>
      <c r="H136" s="14">
        <f t="shared" si="16"/>
        <v>9634250.5006438307</v>
      </c>
      <c r="I136" s="16">
        <f t="shared" si="17"/>
        <v>-133809.03935616836</v>
      </c>
    </row>
    <row r="137" spans="1:9" x14ac:dyDescent="0.25">
      <c r="A137" s="36">
        <v>45905</v>
      </c>
      <c r="B137" s="71">
        <f t="shared" si="18"/>
        <v>30</v>
      </c>
      <c r="C137" s="33">
        <f t="shared" si="20"/>
        <v>13167896</v>
      </c>
      <c r="D137" s="48">
        <f t="shared" si="21"/>
        <v>3442334.42</v>
      </c>
      <c r="E137" s="47">
        <f t="shared" si="19"/>
        <v>9725561.5800000001</v>
      </c>
      <c r="F137" s="33">
        <f t="shared" si="22"/>
        <v>778044926.36999965</v>
      </c>
      <c r="G137" s="47">
        <f t="shared" si="23"/>
        <v>774602591.94999969</v>
      </c>
      <c r="H137" s="14">
        <f t="shared" si="16"/>
        <v>9592334.708671229</v>
      </c>
      <c r="I137" s="16">
        <f t="shared" si="17"/>
        <v>-133226.87132877111</v>
      </c>
    </row>
    <row r="138" spans="1:9" x14ac:dyDescent="0.25">
      <c r="A138" s="36">
        <v>45935</v>
      </c>
      <c r="B138" s="71">
        <f t="shared" si="18"/>
        <v>30</v>
      </c>
      <c r="C138" s="33">
        <f t="shared" si="20"/>
        <v>13167896</v>
      </c>
      <c r="D138" s="48">
        <f t="shared" si="21"/>
        <v>3485363.5999999996</v>
      </c>
      <c r="E138" s="47">
        <f t="shared" si="19"/>
        <v>9682532.4000000004</v>
      </c>
      <c r="F138" s="33">
        <f t="shared" si="22"/>
        <v>774602591.94999969</v>
      </c>
      <c r="G138" s="47">
        <f t="shared" si="23"/>
        <v>771117228.34999967</v>
      </c>
      <c r="H138" s="14">
        <f t="shared" si="16"/>
        <v>9549894.96924657</v>
      </c>
      <c r="I138" s="16">
        <f t="shared" si="17"/>
        <v>-132637.43075343035</v>
      </c>
    </row>
    <row r="139" spans="1:9" x14ac:dyDescent="0.25">
      <c r="A139" s="36">
        <v>45966</v>
      </c>
      <c r="B139" s="71">
        <f t="shared" si="18"/>
        <v>30</v>
      </c>
      <c r="C139" s="33">
        <f t="shared" si="20"/>
        <v>13167896</v>
      </c>
      <c r="D139" s="48">
        <f t="shared" si="21"/>
        <v>3528930.6500000004</v>
      </c>
      <c r="E139" s="47">
        <f t="shared" si="19"/>
        <v>9638965.3499999996</v>
      </c>
      <c r="F139" s="33">
        <f t="shared" si="22"/>
        <v>771117228.34999967</v>
      </c>
      <c r="G139" s="47">
        <f t="shared" si="23"/>
        <v>767588297.69999969</v>
      </c>
      <c r="H139" s="14">
        <f t="shared" si="16"/>
        <v>9506924.7330821864</v>
      </c>
      <c r="I139" s="16">
        <f t="shared" si="17"/>
        <v>-132040.6169178132</v>
      </c>
    </row>
    <row r="140" spans="1:9" x14ac:dyDescent="0.25">
      <c r="A140" s="36">
        <v>45996</v>
      </c>
      <c r="B140" s="71">
        <f t="shared" si="18"/>
        <v>30</v>
      </c>
      <c r="C140" s="33">
        <f t="shared" si="20"/>
        <v>13167896</v>
      </c>
      <c r="D140" s="48">
        <f t="shared" si="21"/>
        <v>3573042.2799999993</v>
      </c>
      <c r="E140" s="47">
        <f t="shared" si="19"/>
        <v>9594853.7200000007</v>
      </c>
      <c r="F140" s="33">
        <f t="shared" si="22"/>
        <v>767588297.69999969</v>
      </c>
      <c r="G140" s="47">
        <f t="shared" si="23"/>
        <v>764015255.41999972</v>
      </c>
      <c r="H140" s="14">
        <f t="shared" si="16"/>
        <v>9463417.3689041063</v>
      </c>
      <c r="I140" s="16">
        <f t="shared" si="17"/>
        <v>-131436.35109589435</v>
      </c>
    </row>
    <row r="141" spans="1:9" x14ac:dyDescent="0.25">
      <c r="A141" s="36">
        <v>46027</v>
      </c>
      <c r="B141" s="71">
        <f t="shared" si="18"/>
        <v>30</v>
      </c>
      <c r="C141" s="33">
        <f t="shared" si="20"/>
        <v>13167896</v>
      </c>
      <c r="D141" s="48">
        <f t="shared" si="21"/>
        <v>3617705.3100000005</v>
      </c>
      <c r="E141" s="47">
        <f t="shared" si="19"/>
        <v>9550190.6899999995</v>
      </c>
      <c r="F141" s="33">
        <f t="shared" si="22"/>
        <v>764015255.41999972</v>
      </c>
      <c r="G141" s="47">
        <f t="shared" si="23"/>
        <v>760397550.10999978</v>
      </c>
      <c r="H141" s="14">
        <f t="shared" si="16"/>
        <v>9419366.1627123244</v>
      </c>
      <c r="I141" s="16">
        <f t="shared" si="17"/>
        <v>-130824.52728767507</v>
      </c>
    </row>
    <row r="142" spans="1:9" x14ac:dyDescent="0.25">
      <c r="A142" s="36">
        <v>46058</v>
      </c>
      <c r="B142" s="71">
        <f t="shared" si="18"/>
        <v>30</v>
      </c>
      <c r="C142" s="33">
        <f t="shared" si="20"/>
        <v>13167896</v>
      </c>
      <c r="D142" s="48">
        <f t="shared" si="21"/>
        <v>3662926.6199999992</v>
      </c>
      <c r="E142" s="47">
        <f t="shared" si="19"/>
        <v>9504969.3800000008</v>
      </c>
      <c r="F142" s="33">
        <f t="shared" si="22"/>
        <v>760397550.10999978</v>
      </c>
      <c r="G142" s="47">
        <f t="shared" si="23"/>
        <v>756734623.48999977</v>
      </c>
      <c r="H142" s="14">
        <f t="shared" si="16"/>
        <v>9374764.3164246548</v>
      </c>
      <c r="I142" s="16">
        <f t="shared" si="17"/>
        <v>-130205.06357534602</v>
      </c>
    </row>
    <row r="143" spans="1:9" x14ac:dyDescent="0.25">
      <c r="A143" s="36">
        <v>46086</v>
      </c>
      <c r="B143" s="71">
        <f t="shared" si="18"/>
        <v>30</v>
      </c>
      <c r="C143" s="33">
        <f t="shared" si="20"/>
        <v>13167896</v>
      </c>
      <c r="D143" s="48">
        <f t="shared" si="21"/>
        <v>3708713.2100000009</v>
      </c>
      <c r="E143" s="47">
        <f t="shared" si="19"/>
        <v>9459182.7899999991</v>
      </c>
      <c r="F143" s="33">
        <f t="shared" si="22"/>
        <v>756734623.48999977</v>
      </c>
      <c r="G143" s="47">
        <f t="shared" si="23"/>
        <v>753025910.27999973</v>
      </c>
      <c r="H143" s="14">
        <f t="shared" si="16"/>
        <v>9329604.9471369833</v>
      </c>
      <c r="I143" s="16">
        <f t="shared" si="17"/>
        <v>-129577.84286301583</v>
      </c>
    </row>
    <row r="144" spans="1:9" x14ac:dyDescent="0.25">
      <c r="A144" s="36">
        <v>46117</v>
      </c>
      <c r="B144" s="71">
        <f t="shared" si="18"/>
        <v>30</v>
      </c>
      <c r="C144" s="33">
        <f t="shared" si="20"/>
        <v>13167896</v>
      </c>
      <c r="D144" s="48">
        <f t="shared" si="21"/>
        <v>3755072.1199999992</v>
      </c>
      <c r="E144" s="47">
        <f t="shared" si="19"/>
        <v>9412823.8800000008</v>
      </c>
      <c r="F144" s="33">
        <f t="shared" si="22"/>
        <v>753025910.27999973</v>
      </c>
      <c r="G144" s="47">
        <f t="shared" si="23"/>
        <v>749270838.15999973</v>
      </c>
      <c r="H144" s="14">
        <f t="shared" si="16"/>
        <v>9283881.0856438316</v>
      </c>
      <c r="I144" s="16">
        <f t="shared" si="17"/>
        <v>-128942.79435616918</v>
      </c>
    </row>
    <row r="145" spans="1:9" x14ac:dyDescent="0.25">
      <c r="A145" s="36">
        <v>46147</v>
      </c>
      <c r="B145" s="71">
        <f t="shared" si="18"/>
        <v>30</v>
      </c>
      <c r="C145" s="33">
        <f t="shared" si="20"/>
        <v>13167896</v>
      </c>
      <c r="D145" s="48">
        <f t="shared" si="21"/>
        <v>3802010.5199999996</v>
      </c>
      <c r="E145" s="47">
        <f t="shared" si="19"/>
        <v>9365885.4800000004</v>
      </c>
      <c r="F145" s="33">
        <f t="shared" si="22"/>
        <v>749270838.15999973</v>
      </c>
      <c r="G145" s="47">
        <f t="shared" si="23"/>
        <v>745468827.63999975</v>
      </c>
      <c r="H145" s="14">
        <f t="shared" si="16"/>
        <v>9237585.6759452019</v>
      </c>
      <c r="I145" s="16">
        <f t="shared" si="17"/>
        <v>-128299.80405479856</v>
      </c>
    </row>
    <row r="146" spans="1:9" x14ac:dyDescent="0.25">
      <c r="A146" s="36">
        <v>46178</v>
      </c>
      <c r="B146" s="71">
        <f t="shared" si="18"/>
        <v>30</v>
      </c>
      <c r="C146" s="33">
        <f t="shared" si="20"/>
        <v>13167896</v>
      </c>
      <c r="D146" s="48">
        <f t="shared" si="21"/>
        <v>3849535.6500000004</v>
      </c>
      <c r="E146" s="47">
        <f t="shared" si="19"/>
        <v>9318360.3499999996</v>
      </c>
      <c r="F146" s="33">
        <f t="shared" si="22"/>
        <v>745468827.63999975</v>
      </c>
      <c r="G146" s="47">
        <f t="shared" si="23"/>
        <v>741619291.98999977</v>
      </c>
      <c r="H146" s="14">
        <f t="shared" si="16"/>
        <v>9190711.5736438315</v>
      </c>
      <c r="I146" s="16">
        <f t="shared" si="17"/>
        <v>-127648.77635616809</v>
      </c>
    </row>
    <row r="147" spans="1:9" x14ac:dyDescent="0.25">
      <c r="A147" s="36">
        <v>46208</v>
      </c>
      <c r="B147" s="71">
        <f t="shared" si="18"/>
        <v>30</v>
      </c>
      <c r="C147" s="33">
        <f t="shared" si="20"/>
        <v>13167896</v>
      </c>
      <c r="D147" s="48">
        <f t="shared" si="21"/>
        <v>3897654.8499999996</v>
      </c>
      <c r="E147" s="47">
        <f t="shared" si="19"/>
        <v>9270241.1500000004</v>
      </c>
      <c r="F147" s="33">
        <f t="shared" si="22"/>
        <v>741619291.98999977</v>
      </c>
      <c r="G147" s="47">
        <f t="shared" si="23"/>
        <v>737721637.13999975</v>
      </c>
      <c r="H147" s="14">
        <f t="shared" si="16"/>
        <v>9143251.5450821873</v>
      </c>
      <c r="I147" s="16">
        <f t="shared" si="17"/>
        <v>-126989.60491781309</v>
      </c>
    </row>
    <row r="148" spans="1:9" x14ac:dyDescent="0.25">
      <c r="A148" s="36">
        <v>46239</v>
      </c>
      <c r="B148" s="71">
        <f t="shared" si="18"/>
        <v>30</v>
      </c>
      <c r="C148" s="33">
        <f t="shared" si="20"/>
        <v>13167896</v>
      </c>
      <c r="D148" s="48">
        <f t="shared" si="21"/>
        <v>3946375.5399999991</v>
      </c>
      <c r="E148" s="47">
        <f t="shared" si="19"/>
        <v>9221520.4600000009</v>
      </c>
      <c r="F148" s="33">
        <f t="shared" si="22"/>
        <v>737721637.13999975</v>
      </c>
      <c r="G148" s="47">
        <f t="shared" si="23"/>
        <v>733775261.59999979</v>
      </c>
      <c r="H148" s="14">
        <f t="shared" si="16"/>
        <v>9095198.2661095876</v>
      </c>
      <c r="I148" s="16">
        <f t="shared" si="17"/>
        <v>-126322.19389041327</v>
      </c>
    </row>
    <row r="149" spans="1:9" x14ac:dyDescent="0.25">
      <c r="A149" s="36">
        <v>46270</v>
      </c>
      <c r="B149" s="71">
        <f t="shared" si="18"/>
        <v>30</v>
      </c>
      <c r="C149" s="33">
        <f t="shared" si="20"/>
        <v>13167896</v>
      </c>
      <c r="D149" s="48">
        <f t="shared" si="21"/>
        <v>3995705.2300000004</v>
      </c>
      <c r="E149" s="47">
        <f t="shared" si="19"/>
        <v>9172190.7699999996</v>
      </c>
      <c r="F149" s="33">
        <f t="shared" si="22"/>
        <v>733775261.59999979</v>
      </c>
      <c r="G149" s="47">
        <f t="shared" si="23"/>
        <v>729779556.36999977</v>
      </c>
      <c r="H149" s="14">
        <f t="shared" si="16"/>
        <v>9046544.3210958876</v>
      </c>
      <c r="I149" s="16">
        <f t="shared" si="17"/>
        <v>-125646.44890411198</v>
      </c>
    </row>
    <row r="150" spans="1:9" x14ac:dyDescent="0.25">
      <c r="A150" s="36">
        <v>46300</v>
      </c>
      <c r="B150" s="71">
        <f t="shared" si="18"/>
        <v>30</v>
      </c>
      <c r="C150" s="33">
        <f t="shared" si="20"/>
        <v>13167896</v>
      </c>
      <c r="D150" s="48">
        <f t="shared" si="21"/>
        <v>4045651.5500000007</v>
      </c>
      <c r="E150" s="47">
        <f t="shared" si="19"/>
        <v>9122244.4499999993</v>
      </c>
      <c r="F150" s="33">
        <f t="shared" si="22"/>
        <v>729779556.36999977</v>
      </c>
      <c r="G150" s="47">
        <f t="shared" si="23"/>
        <v>725733904.81999981</v>
      </c>
      <c r="H150" s="14">
        <f t="shared" si="16"/>
        <v>8997282.2018219158</v>
      </c>
      <c r="I150" s="16">
        <f t="shared" si="17"/>
        <v>-124962.24817808345</v>
      </c>
    </row>
    <row r="151" spans="1:9" x14ac:dyDescent="0.25">
      <c r="A151" s="36">
        <v>46331</v>
      </c>
      <c r="B151" s="71">
        <f t="shared" si="18"/>
        <v>30</v>
      </c>
      <c r="C151" s="33">
        <f t="shared" si="20"/>
        <v>13167896</v>
      </c>
      <c r="D151" s="48">
        <f t="shared" si="21"/>
        <v>4096222.1899999995</v>
      </c>
      <c r="E151" s="47">
        <f t="shared" si="19"/>
        <v>9071673.8100000005</v>
      </c>
      <c r="F151" s="33">
        <f t="shared" si="22"/>
        <v>725733904.81999981</v>
      </c>
      <c r="G151" s="47">
        <f t="shared" si="23"/>
        <v>721637682.62999976</v>
      </c>
      <c r="H151" s="14">
        <f t="shared" si="16"/>
        <v>8947404.305999998</v>
      </c>
      <c r="I151" s="16">
        <f t="shared" si="17"/>
        <v>-124269.50400000252</v>
      </c>
    </row>
    <row r="152" spans="1:9" x14ac:dyDescent="0.25">
      <c r="A152" s="36">
        <v>46361</v>
      </c>
      <c r="B152" s="71">
        <f t="shared" si="18"/>
        <v>30</v>
      </c>
      <c r="C152" s="33">
        <f t="shared" si="20"/>
        <v>13167896</v>
      </c>
      <c r="D152" s="48">
        <f t="shared" si="21"/>
        <v>4147424.9700000007</v>
      </c>
      <c r="E152" s="47">
        <f t="shared" si="19"/>
        <v>9020471.0299999993</v>
      </c>
      <c r="F152" s="33">
        <f t="shared" si="22"/>
        <v>721637682.62999976</v>
      </c>
      <c r="G152" s="47">
        <f t="shared" si="23"/>
        <v>717490257.65999973</v>
      </c>
      <c r="H152" s="14">
        <f t="shared" si="16"/>
        <v>8896902.9365342427</v>
      </c>
      <c r="I152" s="16">
        <f t="shared" si="17"/>
        <v>-123568.09346575662</v>
      </c>
    </row>
    <row r="153" spans="1:9" x14ac:dyDescent="0.25">
      <c r="A153" s="36">
        <v>46392</v>
      </c>
      <c r="B153" s="71">
        <f t="shared" si="18"/>
        <v>30</v>
      </c>
      <c r="C153" s="33">
        <f t="shared" si="20"/>
        <v>13167896</v>
      </c>
      <c r="D153" s="48">
        <f t="shared" si="21"/>
        <v>4199267.7799999993</v>
      </c>
      <c r="E153" s="47">
        <f t="shared" si="19"/>
        <v>8968628.2200000007</v>
      </c>
      <c r="F153" s="33">
        <f t="shared" si="22"/>
        <v>717490257.65999973</v>
      </c>
      <c r="G153" s="47">
        <f t="shared" si="23"/>
        <v>713290989.87999976</v>
      </c>
      <c r="H153" s="14">
        <f t="shared" si="16"/>
        <v>8845770.2999178059</v>
      </c>
      <c r="I153" s="16">
        <f t="shared" si="17"/>
        <v>-122857.92008219473</v>
      </c>
    </row>
    <row r="154" spans="1:9" x14ac:dyDescent="0.25">
      <c r="A154" s="36">
        <v>46423</v>
      </c>
      <c r="B154" s="71">
        <f t="shared" si="18"/>
        <v>30</v>
      </c>
      <c r="C154" s="33">
        <f t="shared" si="20"/>
        <v>13167896</v>
      </c>
      <c r="D154" s="48">
        <f t="shared" si="21"/>
        <v>4251758.6300000008</v>
      </c>
      <c r="E154" s="47">
        <f t="shared" si="19"/>
        <v>8916137.3699999992</v>
      </c>
      <c r="F154" s="33">
        <f t="shared" si="22"/>
        <v>713290989.87999976</v>
      </c>
      <c r="G154" s="47">
        <f t="shared" si="23"/>
        <v>709039231.24999976</v>
      </c>
      <c r="H154" s="14">
        <f t="shared" si="16"/>
        <v>8793998.5053698607</v>
      </c>
      <c r="I154" s="16">
        <f t="shared" si="17"/>
        <v>-122138.8646301385</v>
      </c>
    </row>
    <row r="155" spans="1:9" x14ac:dyDescent="0.25">
      <c r="A155" s="36">
        <v>46451</v>
      </c>
      <c r="B155" s="71">
        <f t="shared" si="18"/>
        <v>30</v>
      </c>
      <c r="C155" s="33">
        <f t="shared" si="20"/>
        <v>13167896</v>
      </c>
      <c r="D155" s="48">
        <f t="shared" si="21"/>
        <v>4304905.6099999994</v>
      </c>
      <c r="E155" s="47">
        <f t="shared" si="19"/>
        <v>8862990.3900000006</v>
      </c>
      <c r="F155" s="33">
        <f t="shared" si="22"/>
        <v>709039231.24999976</v>
      </c>
      <c r="G155" s="47">
        <f t="shared" si="23"/>
        <v>704734325.63999975</v>
      </c>
      <c r="H155" s="14">
        <f t="shared" si="16"/>
        <v>8741579.5633561611</v>
      </c>
      <c r="I155" s="16">
        <f t="shared" si="17"/>
        <v>-121410.82664383948</v>
      </c>
    </row>
    <row r="156" spans="1:9" x14ac:dyDescent="0.25">
      <c r="A156" s="36">
        <v>46482</v>
      </c>
      <c r="B156" s="71">
        <f t="shared" si="18"/>
        <v>30</v>
      </c>
      <c r="C156" s="33">
        <f t="shared" si="20"/>
        <v>13167896</v>
      </c>
      <c r="D156" s="48">
        <f t="shared" si="21"/>
        <v>4358716.93</v>
      </c>
      <c r="E156" s="47">
        <f t="shared" si="19"/>
        <v>8809179.0700000003</v>
      </c>
      <c r="F156" s="33">
        <f t="shared" si="22"/>
        <v>704734325.63999975</v>
      </c>
      <c r="G156" s="47">
        <f t="shared" si="23"/>
        <v>700375608.7099998</v>
      </c>
      <c r="H156" s="14">
        <f t="shared" si="16"/>
        <v>8688505.3846027367</v>
      </c>
      <c r="I156" s="16">
        <f t="shared" si="17"/>
        <v>-120673.68539726362</v>
      </c>
    </row>
    <row r="157" spans="1:9" x14ac:dyDescent="0.25">
      <c r="A157" s="36">
        <v>46512</v>
      </c>
      <c r="B157" s="71">
        <f t="shared" si="18"/>
        <v>30</v>
      </c>
      <c r="C157" s="33">
        <f t="shared" si="20"/>
        <v>13167896</v>
      </c>
      <c r="D157" s="48">
        <f t="shared" si="21"/>
        <v>4413200.8900000006</v>
      </c>
      <c r="E157" s="47">
        <f t="shared" si="19"/>
        <v>8754695.1099999994</v>
      </c>
      <c r="F157" s="33">
        <f t="shared" si="22"/>
        <v>700375608.7099998</v>
      </c>
      <c r="G157" s="47">
        <f t="shared" si="23"/>
        <v>695962407.81999981</v>
      </c>
      <c r="H157" s="14">
        <f t="shared" si="16"/>
        <v>8634767.7786164358</v>
      </c>
      <c r="I157" s="16">
        <f t="shared" si="17"/>
        <v>-119927.33138356358</v>
      </c>
    </row>
    <row r="158" spans="1:9" x14ac:dyDescent="0.25">
      <c r="A158" s="36">
        <v>46543</v>
      </c>
      <c r="B158" s="71">
        <f t="shared" si="18"/>
        <v>30</v>
      </c>
      <c r="C158" s="33">
        <f t="shared" si="20"/>
        <v>13167896</v>
      </c>
      <c r="D158" s="48">
        <f t="shared" si="21"/>
        <v>4468365.9000000004</v>
      </c>
      <c r="E158" s="47">
        <f t="shared" si="19"/>
        <v>8699530.0999999996</v>
      </c>
      <c r="F158" s="33">
        <f t="shared" si="22"/>
        <v>695962407.81999981</v>
      </c>
      <c r="G158" s="47">
        <f t="shared" si="23"/>
        <v>691494041.91999984</v>
      </c>
      <c r="H158" s="14">
        <f t="shared" si="16"/>
        <v>8580358.4525753409</v>
      </c>
      <c r="I158" s="16">
        <f t="shared" si="17"/>
        <v>-119171.64742465876</v>
      </c>
    </row>
    <row r="159" spans="1:9" x14ac:dyDescent="0.25">
      <c r="A159" s="36">
        <v>46573</v>
      </c>
      <c r="B159" s="71">
        <f t="shared" si="18"/>
        <v>30</v>
      </c>
      <c r="C159" s="33">
        <f t="shared" si="20"/>
        <v>13167896</v>
      </c>
      <c r="D159" s="48">
        <f t="shared" si="21"/>
        <v>4524220.4800000004</v>
      </c>
      <c r="E159" s="47">
        <f t="shared" si="19"/>
        <v>8643675.5199999996</v>
      </c>
      <c r="F159" s="33">
        <f t="shared" si="22"/>
        <v>691494041.91999984</v>
      </c>
      <c r="G159" s="47">
        <f t="shared" si="23"/>
        <v>686969821.43999982</v>
      </c>
      <c r="H159" s="14">
        <f t="shared" si="16"/>
        <v>8525269.0099726003</v>
      </c>
      <c r="I159" s="16">
        <f t="shared" si="17"/>
        <v>-118406.51002739929</v>
      </c>
    </row>
    <row r="160" spans="1:9" x14ac:dyDescent="0.25">
      <c r="A160" s="36">
        <v>46604</v>
      </c>
      <c r="B160" s="71">
        <f t="shared" si="18"/>
        <v>30</v>
      </c>
      <c r="C160" s="33">
        <f t="shared" si="20"/>
        <v>13167896</v>
      </c>
      <c r="D160" s="48">
        <f t="shared" si="21"/>
        <v>4580773.2300000004</v>
      </c>
      <c r="E160" s="47">
        <f t="shared" si="19"/>
        <v>8587122.7699999996</v>
      </c>
      <c r="F160" s="33">
        <f t="shared" si="22"/>
        <v>686969821.43999982</v>
      </c>
      <c r="G160" s="47">
        <f t="shared" si="23"/>
        <v>682389048.2099998</v>
      </c>
      <c r="H160" s="14">
        <f t="shared" si="16"/>
        <v>8469490.9492602721</v>
      </c>
      <c r="I160" s="16">
        <f t="shared" si="17"/>
        <v>-117631.82073972747</v>
      </c>
    </row>
    <row r="161" spans="1:9" x14ac:dyDescent="0.25">
      <c r="A161" s="36">
        <v>46635</v>
      </c>
      <c r="B161" s="71">
        <f t="shared" si="18"/>
        <v>30</v>
      </c>
      <c r="C161" s="33">
        <f t="shared" si="20"/>
        <v>13167896</v>
      </c>
      <c r="D161" s="48">
        <f t="shared" si="21"/>
        <v>4638032.9000000004</v>
      </c>
      <c r="E161" s="47">
        <f t="shared" si="19"/>
        <v>8529863.0999999996</v>
      </c>
      <c r="F161" s="33">
        <f t="shared" si="22"/>
        <v>682389048.2099998</v>
      </c>
      <c r="G161" s="47">
        <f t="shared" si="23"/>
        <v>677751015.30999982</v>
      </c>
      <c r="H161" s="14">
        <f t="shared" si="16"/>
        <v>8413015.6628630124</v>
      </c>
      <c r="I161" s="16">
        <f t="shared" si="17"/>
        <v>-116847.43713698722</v>
      </c>
    </row>
    <row r="162" spans="1:9" x14ac:dyDescent="0.25">
      <c r="A162" s="36">
        <v>46665</v>
      </c>
      <c r="B162" s="71">
        <f t="shared" si="18"/>
        <v>30</v>
      </c>
      <c r="C162" s="33">
        <f t="shared" si="20"/>
        <v>13167896</v>
      </c>
      <c r="D162" s="48">
        <f t="shared" si="21"/>
        <v>4696008.3100000005</v>
      </c>
      <c r="E162" s="47">
        <f t="shared" si="19"/>
        <v>8471887.6899999995</v>
      </c>
      <c r="F162" s="33">
        <f t="shared" si="22"/>
        <v>677751015.30999982</v>
      </c>
      <c r="G162" s="47">
        <f t="shared" si="23"/>
        <v>673055006.99999988</v>
      </c>
      <c r="H162" s="14">
        <f t="shared" si="16"/>
        <v>8355834.4353287648</v>
      </c>
      <c r="I162" s="16">
        <f t="shared" si="17"/>
        <v>-116053.25467123464</v>
      </c>
    </row>
    <row r="163" spans="1:9" x14ac:dyDescent="0.25">
      <c r="A163" s="36">
        <v>46696</v>
      </c>
      <c r="B163" s="71">
        <f t="shared" si="18"/>
        <v>30</v>
      </c>
      <c r="C163" s="33">
        <f t="shared" si="20"/>
        <v>13167896</v>
      </c>
      <c r="D163" s="48">
        <f t="shared" si="21"/>
        <v>4754708.41</v>
      </c>
      <c r="E163" s="47">
        <f t="shared" si="19"/>
        <v>8413187.5899999999</v>
      </c>
      <c r="F163" s="33">
        <f t="shared" si="22"/>
        <v>673055006.99999988</v>
      </c>
      <c r="G163" s="47">
        <f t="shared" si="23"/>
        <v>668300298.58999991</v>
      </c>
      <c r="H163" s="14">
        <f t="shared" si="16"/>
        <v>8297938.4424657524</v>
      </c>
      <c r="I163" s="16">
        <f t="shared" si="17"/>
        <v>-115249.14753424749</v>
      </c>
    </row>
    <row r="164" spans="1:9" x14ac:dyDescent="0.25">
      <c r="A164" s="36">
        <v>46726</v>
      </c>
      <c r="B164" s="71">
        <f t="shared" si="18"/>
        <v>30</v>
      </c>
      <c r="C164" s="33">
        <f t="shared" si="20"/>
        <v>13167896</v>
      </c>
      <c r="D164" s="48">
        <f t="shared" si="21"/>
        <v>4814142.2699999996</v>
      </c>
      <c r="E164" s="47">
        <f t="shared" si="19"/>
        <v>8353753.7300000004</v>
      </c>
      <c r="F164" s="33">
        <f t="shared" si="22"/>
        <v>668300298.58999991</v>
      </c>
      <c r="G164" s="47">
        <f t="shared" si="23"/>
        <v>663486156.31999993</v>
      </c>
      <c r="H164" s="14">
        <f t="shared" si="16"/>
        <v>8239318.7497397242</v>
      </c>
      <c r="I164" s="16">
        <f t="shared" si="17"/>
        <v>-114434.98026027624</v>
      </c>
    </row>
    <row r="165" spans="1:9" x14ac:dyDescent="0.25">
      <c r="A165" s="36">
        <v>46757</v>
      </c>
      <c r="B165" s="71">
        <f t="shared" si="18"/>
        <v>30</v>
      </c>
      <c r="C165" s="33">
        <f t="shared" si="20"/>
        <v>13167896</v>
      </c>
      <c r="D165" s="48">
        <f t="shared" si="21"/>
        <v>4874319.05</v>
      </c>
      <c r="E165" s="47">
        <f t="shared" si="19"/>
        <v>8293576.9500000002</v>
      </c>
      <c r="F165" s="33">
        <f t="shared" si="22"/>
        <v>663486156.31999993</v>
      </c>
      <c r="G165" s="47">
        <f t="shared" si="23"/>
        <v>658611837.26999998</v>
      </c>
      <c r="H165" s="14">
        <f t="shared" si="16"/>
        <v>8179966.3107945193</v>
      </c>
      <c r="I165" s="16">
        <f t="shared" si="17"/>
        <v>-113610.63920548093</v>
      </c>
    </row>
    <row r="166" spans="1:9" x14ac:dyDescent="0.25">
      <c r="A166" s="36">
        <v>46788</v>
      </c>
      <c r="B166" s="71">
        <f t="shared" si="18"/>
        <v>30</v>
      </c>
      <c r="C166" s="33">
        <f t="shared" si="20"/>
        <v>13167896</v>
      </c>
      <c r="D166" s="48">
        <f t="shared" si="21"/>
        <v>4935248.03</v>
      </c>
      <c r="E166" s="47">
        <f t="shared" si="19"/>
        <v>8232647.9699999997</v>
      </c>
      <c r="F166" s="33">
        <f t="shared" si="22"/>
        <v>658611837.26999998</v>
      </c>
      <c r="G166" s="47">
        <f t="shared" si="23"/>
        <v>653676589.24000001</v>
      </c>
      <c r="H166" s="14">
        <f t="shared" si="16"/>
        <v>8119871.966342466</v>
      </c>
      <c r="I166" s="16">
        <f t="shared" si="17"/>
        <v>-112776.00365753379</v>
      </c>
    </row>
    <row r="167" spans="1:9" x14ac:dyDescent="0.25">
      <c r="A167" s="36">
        <v>46817</v>
      </c>
      <c r="B167" s="71">
        <f t="shared" si="18"/>
        <v>30</v>
      </c>
      <c r="C167" s="33">
        <f t="shared" si="20"/>
        <v>13167896</v>
      </c>
      <c r="D167" s="48">
        <f t="shared" si="21"/>
        <v>4996938.63</v>
      </c>
      <c r="E167" s="47">
        <f t="shared" si="19"/>
        <v>8170957.3700000001</v>
      </c>
      <c r="F167" s="33">
        <f t="shared" si="22"/>
        <v>653676589.24000001</v>
      </c>
      <c r="G167" s="47">
        <f t="shared" si="23"/>
        <v>648679650.61000001</v>
      </c>
      <c r="H167" s="14">
        <f t="shared" si="16"/>
        <v>8059026.4426849317</v>
      </c>
      <c r="I167" s="16">
        <f t="shared" si="17"/>
        <v>-111930.92731506843</v>
      </c>
    </row>
    <row r="168" spans="1:9" x14ac:dyDescent="0.25">
      <c r="A168" s="36">
        <v>46848</v>
      </c>
      <c r="B168" s="71">
        <f t="shared" si="18"/>
        <v>30</v>
      </c>
      <c r="C168" s="33">
        <f t="shared" si="20"/>
        <v>13167896</v>
      </c>
      <c r="D168" s="48">
        <f t="shared" si="21"/>
        <v>5059400.37</v>
      </c>
      <c r="E168" s="47">
        <f t="shared" si="19"/>
        <v>8108495.6299999999</v>
      </c>
      <c r="F168" s="33">
        <f t="shared" si="22"/>
        <v>648679650.61000001</v>
      </c>
      <c r="G168" s="47">
        <f t="shared" si="23"/>
        <v>643620250.24000001</v>
      </c>
      <c r="H168" s="14">
        <f t="shared" si="16"/>
        <v>7997420.3499863008</v>
      </c>
      <c r="I168" s="16">
        <f t="shared" si="17"/>
        <v>-111075.28001369908</v>
      </c>
    </row>
    <row r="169" spans="1:9" x14ac:dyDescent="0.25">
      <c r="A169" s="36">
        <v>46878</v>
      </c>
      <c r="B169" s="71">
        <f t="shared" si="18"/>
        <v>30</v>
      </c>
      <c r="C169" s="33">
        <f t="shared" si="20"/>
        <v>13167896</v>
      </c>
      <c r="D169" s="48">
        <f t="shared" si="21"/>
        <v>5122642.87</v>
      </c>
      <c r="E169" s="47">
        <f t="shared" si="19"/>
        <v>8045253.1299999999</v>
      </c>
      <c r="F169" s="33">
        <f t="shared" si="22"/>
        <v>643620250.24000001</v>
      </c>
      <c r="G169" s="47">
        <f t="shared" si="23"/>
        <v>638497607.37</v>
      </c>
      <c r="H169" s="14">
        <f t="shared" si="16"/>
        <v>7935044.1810410954</v>
      </c>
      <c r="I169" s="16">
        <f t="shared" si="17"/>
        <v>-110208.94895890448</v>
      </c>
    </row>
    <row r="170" spans="1:9" x14ac:dyDescent="0.25">
      <c r="A170" s="36">
        <v>46909</v>
      </c>
      <c r="B170" s="71">
        <f t="shared" si="18"/>
        <v>30</v>
      </c>
      <c r="C170" s="33">
        <f t="shared" si="20"/>
        <v>13167896</v>
      </c>
      <c r="D170" s="48">
        <f t="shared" si="21"/>
        <v>5186675.91</v>
      </c>
      <c r="E170" s="47">
        <f t="shared" si="19"/>
        <v>7981220.0899999999</v>
      </c>
      <c r="F170" s="33">
        <f t="shared" si="22"/>
        <v>638497607.37</v>
      </c>
      <c r="G170" s="47">
        <f t="shared" si="23"/>
        <v>633310931.46000004</v>
      </c>
      <c r="H170" s="14">
        <f t="shared" si="16"/>
        <v>7871888.3100410961</v>
      </c>
      <c r="I170" s="16">
        <f t="shared" si="17"/>
        <v>-109331.77995890379</v>
      </c>
    </row>
    <row r="171" spans="1:9" x14ac:dyDescent="0.25">
      <c r="A171" s="36">
        <v>46939</v>
      </c>
      <c r="B171" s="71">
        <f t="shared" si="18"/>
        <v>30</v>
      </c>
      <c r="C171" s="33">
        <f t="shared" si="20"/>
        <v>13167896</v>
      </c>
      <c r="D171" s="48">
        <f t="shared" si="21"/>
        <v>5251509.3600000003</v>
      </c>
      <c r="E171" s="47">
        <f t="shared" si="19"/>
        <v>7916386.6399999997</v>
      </c>
      <c r="F171" s="33">
        <f t="shared" si="22"/>
        <v>633310931.46000004</v>
      </c>
      <c r="G171" s="47">
        <f t="shared" si="23"/>
        <v>628059422.10000002</v>
      </c>
      <c r="H171" s="14">
        <f t="shared" si="16"/>
        <v>7807942.9906027392</v>
      </c>
      <c r="I171" s="16">
        <f t="shared" si="17"/>
        <v>-108443.64939726051</v>
      </c>
    </row>
    <row r="172" spans="1:9" x14ac:dyDescent="0.25">
      <c r="A172" s="36">
        <v>46970</v>
      </c>
      <c r="B172" s="71">
        <f t="shared" si="18"/>
        <v>30</v>
      </c>
      <c r="C172" s="33">
        <f t="shared" si="20"/>
        <v>13167896</v>
      </c>
      <c r="D172" s="48">
        <f t="shared" si="21"/>
        <v>5317153.22</v>
      </c>
      <c r="E172" s="47">
        <f t="shared" si="19"/>
        <v>7850742.7800000003</v>
      </c>
      <c r="F172" s="33">
        <f t="shared" si="22"/>
        <v>628059422.10000002</v>
      </c>
      <c r="G172" s="47">
        <f t="shared" si="23"/>
        <v>622742268.88</v>
      </c>
      <c r="H172" s="14">
        <f t="shared" si="16"/>
        <v>7743198.3546575336</v>
      </c>
      <c r="I172" s="16">
        <f t="shared" si="17"/>
        <v>-107544.42534246668</v>
      </c>
    </row>
    <row r="173" spans="1:9" x14ac:dyDescent="0.25">
      <c r="A173" s="36">
        <v>47001</v>
      </c>
      <c r="B173" s="71">
        <f t="shared" si="18"/>
        <v>30</v>
      </c>
      <c r="C173" s="33">
        <f t="shared" si="20"/>
        <v>13167896</v>
      </c>
      <c r="D173" s="48">
        <f t="shared" si="21"/>
        <v>5383617.6399999997</v>
      </c>
      <c r="E173" s="47">
        <f t="shared" si="19"/>
        <v>7784278.3600000003</v>
      </c>
      <c r="F173" s="33">
        <f t="shared" si="22"/>
        <v>622742268.88</v>
      </c>
      <c r="G173" s="47">
        <f t="shared" si="23"/>
        <v>617358651.24000001</v>
      </c>
      <c r="H173" s="14">
        <f t="shared" si="16"/>
        <v>7677644.4108493151</v>
      </c>
      <c r="I173" s="16">
        <f t="shared" si="17"/>
        <v>-106633.94915068522</v>
      </c>
    </row>
    <row r="174" spans="1:9" x14ac:dyDescent="0.25">
      <c r="A174" s="36">
        <v>47031</v>
      </c>
      <c r="B174" s="71">
        <f t="shared" si="18"/>
        <v>30</v>
      </c>
      <c r="C174" s="33">
        <f t="shared" si="20"/>
        <v>13167896</v>
      </c>
      <c r="D174" s="48">
        <f t="shared" si="21"/>
        <v>5450912.8600000003</v>
      </c>
      <c r="E174" s="47">
        <f t="shared" si="19"/>
        <v>7716983.1399999997</v>
      </c>
      <c r="F174" s="33">
        <f t="shared" si="22"/>
        <v>617358651.24000001</v>
      </c>
      <c r="G174" s="47">
        <f t="shared" si="23"/>
        <v>611907738.38</v>
      </c>
      <c r="H174" s="14">
        <f t="shared" si="16"/>
        <v>7611271.0426849313</v>
      </c>
      <c r="I174" s="16">
        <f t="shared" si="17"/>
        <v>-105712.09731506836</v>
      </c>
    </row>
    <row r="175" spans="1:9" x14ac:dyDescent="0.25">
      <c r="A175" s="36">
        <v>47062</v>
      </c>
      <c r="B175" s="71">
        <f t="shared" si="18"/>
        <v>30</v>
      </c>
      <c r="C175" s="33">
        <f t="shared" si="20"/>
        <v>13167896</v>
      </c>
      <c r="D175" s="48">
        <f t="shared" si="21"/>
        <v>5519049.2699999996</v>
      </c>
      <c r="E175" s="47">
        <f t="shared" si="19"/>
        <v>7648846.7300000004</v>
      </c>
      <c r="F175" s="33">
        <f t="shared" si="22"/>
        <v>611907738.38</v>
      </c>
      <c r="G175" s="47">
        <f t="shared" si="23"/>
        <v>606388689.11000001</v>
      </c>
      <c r="H175" s="14">
        <f t="shared" si="16"/>
        <v>7544068.0074246572</v>
      </c>
      <c r="I175" s="16">
        <f t="shared" si="17"/>
        <v>-104778.72257534321</v>
      </c>
    </row>
    <row r="176" spans="1:9" x14ac:dyDescent="0.25">
      <c r="A176" s="36">
        <v>47092</v>
      </c>
      <c r="B176" s="71">
        <f t="shared" si="18"/>
        <v>30</v>
      </c>
      <c r="C176" s="33">
        <f t="shared" si="20"/>
        <v>13167896</v>
      </c>
      <c r="D176" s="48">
        <f t="shared" si="21"/>
        <v>5588037.3899999997</v>
      </c>
      <c r="E176" s="47">
        <f t="shared" si="19"/>
        <v>7579858.6100000003</v>
      </c>
      <c r="F176" s="33">
        <f t="shared" si="22"/>
        <v>606388689.11000001</v>
      </c>
      <c r="G176" s="47">
        <f t="shared" si="23"/>
        <v>600800651.72000003</v>
      </c>
      <c r="H176" s="14">
        <f t="shared" si="16"/>
        <v>7476024.9342328776</v>
      </c>
      <c r="I176" s="16">
        <f t="shared" si="17"/>
        <v>-103833.67576712277</v>
      </c>
    </row>
    <row r="177" spans="1:9" x14ac:dyDescent="0.25">
      <c r="A177" s="36">
        <v>47123</v>
      </c>
      <c r="B177" s="71">
        <f t="shared" si="18"/>
        <v>30</v>
      </c>
      <c r="C177" s="33">
        <f t="shared" si="20"/>
        <v>13167896</v>
      </c>
      <c r="D177" s="48">
        <f t="shared" si="21"/>
        <v>5657887.8499999996</v>
      </c>
      <c r="E177" s="47">
        <f t="shared" si="19"/>
        <v>7510008.1500000004</v>
      </c>
      <c r="F177" s="33">
        <f t="shared" si="22"/>
        <v>600800651.72000003</v>
      </c>
      <c r="G177" s="47">
        <f t="shared" si="23"/>
        <v>595142763.87</v>
      </c>
      <c r="H177" s="14">
        <f t="shared" si="16"/>
        <v>7407131.3225753428</v>
      </c>
      <c r="I177" s="16">
        <f t="shared" si="17"/>
        <v>-102876.82742465753</v>
      </c>
    </row>
    <row r="178" spans="1:9" x14ac:dyDescent="0.25">
      <c r="A178" s="36">
        <v>47154</v>
      </c>
      <c r="B178" s="71">
        <f t="shared" si="18"/>
        <v>30</v>
      </c>
      <c r="C178" s="33">
        <f t="shared" si="20"/>
        <v>13167896</v>
      </c>
      <c r="D178" s="48">
        <f t="shared" si="21"/>
        <v>5728611.4500000002</v>
      </c>
      <c r="E178" s="47">
        <f t="shared" si="19"/>
        <v>7439284.5499999998</v>
      </c>
      <c r="F178" s="33">
        <f t="shared" si="22"/>
        <v>595142763.87</v>
      </c>
      <c r="G178" s="47">
        <f t="shared" si="23"/>
        <v>589414152.41999996</v>
      </c>
      <c r="H178" s="14">
        <f t="shared" si="16"/>
        <v>7337376.5408630138</v>
      </c>
      <c r="I178" s="16">
        <f t="shared" si="17"/>
        <v>-101908.00913698599</v>
      </c>
    </row>
    <row r="179" spans="1:9" x14ac:dyDescent="0.25">
      <c r="A179" s="36">
        <v>47182</v>
      </c>
      <c r="B179" s="71">
        <f t="shared" si="18"/>
        <v>30</v>
      </c>
      <c r="C179" s="33">
        <f t="shared" si="20"/>
        <v>13167896</v>
      </c>
      <c r="D179" s="48">
        <f t="shared" si="21"/>
        <v>5800219.0899999999</v>
      </c>
      <c r="E179" s="47">
        <f t="shared" si="19"/>
        <v>7367676.9100000001</v>
      </c>
      <c r="F179" s="33">
        <f t="shared" si="22"/>
        <v>589414152.41999996</v>
      </c>
      <c r="G179" s="47">
        <f t="shared" si="23"/>
        <v>583613933.32999992</v>
      </c>
      <c r="H179" s="14">
        <f t="shared" si="16"/>
        <v>7266749.8243561639</v>
      </c>
      <c r="I179" s="16">
        <f t="shared" si="17"/>
        <v>-100927.0856438363</v>
      </c>
    </row>
    <row r="180" spans="1:9" x14ac:dyDescent="0.25">
      <c r="A180" s="36">
        <v>47213</v>
      </c>
      <c r="B180" s="71">
        <f t="shared" si="18"/>
        <v>30</v>
      </c>
      <c r="C180" s="33">
        <f t="shared" si="20"/>
        <v>13167896</v>
      </c>
      <c r="D180" s="48">
        <f t="shared" si="21"/>
        <v>5872721.8300000001</v>
      </c>
      <c r="E180" s="47">
        <f t="shared" si="19"/>
        <v>7295174.1699999999</v>
      </c>
      <c r="F180" s="33">
        <f t="shared" si="22"/>
        <v>583613933.32999992</v>
      </c>
      <c r="G180" s="47">
        <f t="shared" si="23"/>
        <v>577741211.49999988</v>
      </c>
      <c r="H180" s="14">
        <f t="shared" si="16"/>
        <v>7195240.2739315061</v>
      </c>
      <c r="I180" s="16">
        <f t="shared" si="17"/>
        <v>-99933.896068493836</v>
      </c>
    </row>
    <row r="181" spans="1:9" x14ac:dyDescent="0.25">
      <c r="A181" s="36">
        <v>47243</v>
      </c>
      <c r="B181" s="71">
        <f t="shared" si="18"/>
        <v>30</v>
      </c>
      <c r="C181" s="33">
        <f t="shared" si="20"/>
        <v>13167896</v>
      </c>
      <c r="D181" s="48">
        <f t="shared" si="21"/>
        <v>5946130.8600000003</v>
      </c>
      <c r="E181" s="47">
        <f t="shared" si="19"/>
        <v>7221765.1399999997</v>
      </c>
      <c r="F181" s="33">
        <f t="shared" si="22"/>
        <v>577741211.49999988</v>
      </c>
      <c r="G181" s="47">
        <f t="shared" si="23"/>
        <v>571795080.63999987</v>
      </c>
      <c r="H181" s="14">
        <f t="shared" si="16"/>
        <v>7122836.8541095881</v>
      </c>
      <c r="I181" s="16">
        <f t="shared" si="17"/>
        <v>-98928.285890411586</v>
      </c>
    </row>
    <row r="182" spans="1:9" x14ac:dyDescent="0.25">
      <c r="A182" s="36">
        <v>47274</v>
      </c>
      <c r="B182" s="71">
        <f t="shared" si="18"/>
        <v>30</v>
      </c>
      <c r="C182" s="33">
        <f t="shared" si="20"/>
        <v>13167896</v>
      </c>
      <c r="D182" s="48">
        <f t="shared" si="21"/>
        <v>6020457.4900000002</v>
      </c>
      <c r="E182" s="47">
        <f t="shared" si="19"/>
        <v>7147438.5099999998</v>
      </c>
      <c r="F182" s="33">
        <f t="shared" si="22"/>
        <v>571795080.63999987</v>
      </c>
      <c r="G182" s="47">
        <f t="shared" si="23"/>
        <v>565774623.14999986</v>
      </c>
      <c r="H182" s="14">
        <f t="shared" si="16"/>
        <v>7049528.3914520526</v>
      </c>
      <c r="I182" s="16">
        <f t="shared" si="17"/>
        <v>-97910.118547947146</v>
      </c>
    </row>
    <row r="183" spans="1:9" x14ac:dyDescent="0.25">
      <c r="A183" s="36">
        <v>47304</v>
      </c>
      <c r="B183" s="71">
        <f t="shared" si="18"/>
        <v>30</v>
      </c>
      <c r="C183" s="33">
        <f t="shared" si="20"/>
        <v>13167896</v>
      </c>
      <c r="D183" s="48">
        <f t="shared" si="21"/>
        <v>6095713.21</v>
      </c>
      <c r="E183" s="47">
        <f t="shared" si="19"/>
        <v>7072182.79</v>
      </c>
      <c r="F183" s="33">
        <f t="shared" si="22"/>
        <v>565774623.14999986</v>
      </c>
      <c r="G183" s="47">
        <f t="shared" si="23"/>
        <v>559678909.93999982</v>
      </c>
      <c r="H183" s="14">
        <f t="shared" si="16"/>
        <v>6975303.57308219</v>
      </c>
      <c r="I183" s="16">
        <f t="shared" si="17"/>
        <v>-96879.21691781003</v>
      </c>
    </row>
    <row r="184" spans="1:9" x14ac:dyDescent="0.25">
      <c r="A184" s="36">
        <v>47335</v>
      </c>
      <c r="B184" s="71">
        <f t="shared" si="18"/>
        <v>30</v>
      </c>
      <c r="C184" s="33">
        <f t="shared" si="20"/>
        <v>13167896</v>
      </c>
      <c r="D184" s="48">
        <f t="shared" si="21"/>
        <v>6171909.6299999999</v>
      </c>
      <c r="E184" s="47">
        <f t="shared" si="19"/>
        <v>6995986.3700000001</v>
      </c>
      <c r="F184" s="33">
        <f t="shared" si="22"/>
        <v>559678909.93999982</v>
      </c>
      <c r="G184" s="47">
        <f t="shared" si="23"/>
        <v>553507000.30999982</v>
      </c>
      <c r="H184" s="14">
        <f t="shared" si="16"/>
        <v>6900150.9444657508</v>
      </c>
      <c r="I184" s="16">
        <f t="shared" si="17"/>
        <v>-95835.425534249283</v>
      </c>
    </row>
    <row r="185" spans="1:9" x14ac:dyDescent="0.25">
      <c r="A185" s="36">
        <v>47366</v>
      </c>
      <c r="B185" s="71">
        <f t="shared" si="18"/>
        <v>30</v>
      </c>
      <c r="C185" s="33">
        <f t="shared" si="20"/>
        <v>13167896</v>
      </c>
      <c r="D185" s="48">
        <f t="shared" si="21"/>
        <v>6249058.5</v>
      </c>
      <c r="E185" s="47">
        <f t="shared" si="19"/>
        <v>6918837.5</v>
      </c>
      <c r="F185" s="33">
        <f t="shared" si="22"/>
        <v>553507000.30999982</v>
      </c>
      <c r="G185" s="47">
        <f t="shared" si="23"/>
        <v>547257941.80999982</v>
      </c>
      <c r="H185" s="14">
        <f t="shared" si="16"/>
        <v>6824058.9079315038</v>
      </c>
      <c r="I185" s="16">
        <f t="shared" si="17"/>
        <v>-94778.59206849616</v>
      </c>
    </row>
    <row r="186" spans="1:9" x14ac:dyDescent="0.25">
      <c r="A186" s="36">
        <v>47396</v>
      </c>
      <c r="B186" s="71">
        <f t="shared" si="18"/>
        <v>30</v>
      </c>
      <c r="C186" s="33">
        <f t="shared" si="20"/>
        <v>13167896</v>
      </c>
      <c r="D186" s="48">
        <f t="shared" si="21"/>
        <v>6327171.7300000004</v>
      </c>
      <c r="E186" s="47">
        <f t="shared" si="19"/>
        <v>6840724.2699999996</v>
      </c>
      <c r="F186" s="33">
        <f t="shared" si="22"/>
        <v>547257941.80999982</v>
      </c>
      <c r="G186" s="47">
        <f t="shared" si="23"/>
        <v>540930770.0799998</v>
      </c>
      <c r="H186" s="14">
        <f t="shared" si="16"/>
        <v>6747015.7209452037</v>
      </c>
      <c r="I186" s="16">
        <f t="shared" si="17"/>
        <v>-93708.549054795876</v>
      </c>
    </row>
    <row r="187" spans="1:9" x14ac:dyDescent="0.25">
      <c r="A187" s="36">
        <v>47427</v>
      </c>
      <c r="B187" s="71">
        <f t="shared" si="18"/>
        <v>30</v>
      </c>
      <c r="C187" s="33">
        <f t="shared" si="20"/>
        <v>13167896</v>
      </c>
      <c r="D187" s="48">
        <f t="shared" si="21"/>
        <v>6406261.3700000001</v>
      </c>
      <c r="E187" s="47">
        <f t="shared" si="19"/>
        <v>6761634.6299999999</v>
      </c>
      <c r="F187" s="33">
        <f t="shared" si="22"/>
        <v>540930770.0799998</v>
      </c>
      <c r="G187" s="47">
        <f t="shared" si="23"/>
        <v>534524508.7099998</v>
      </c>
      <c r="H187" s="14">
        <f t="shared" si="16"/>
        <v>6669009.4941369826</v>
      </c>
      <c r="I187" s="16">
        <f t="shared" si="17"/>
        <v>-92625.135863017291</v>
      </c>
    </row>
    <row r="188" spans="1:9" x14ac:dyDescent="0.25">
      <c r="A188" s="36">
        <v>47457</v>
      </c>
      <c r="B188" s="71">
        <f t="shared" si="18"/>
        <v>30</v>
      </c>
      <c r="C188" s="33">
        <f t="shared" si="20"/>
        <v>13167896</v>
      </c>
      <c r="D188" s="48">
        <f t="shared" si="21"/>
        <v>6486339.6399999997</v>
      </c>
      <c r="E188" s="47">
        <f t="shared" si="19"/>
        <v>6681556.3600000003</v>
      </c>
      <c r="F188" s="33">
        <f t="shared" si="22"/>
        <v>534524508.7099998</v>
      </c>
      <c r="G188" s="47">
        <f t="shared" si="23"/>
        <v>528038169.06999981</v>
      </c>
      <c r="H188" s="14">
        <f t="shared" si="16"/>
        <v>6590028.1895753406</v>
      </c>
      <c r="I188" s="16">
        <f t="shared" si="17"/>
        <v>-91528.170424659736</v>
      </c>
    </row>
    <row r="189" spans="1:9" x14ac:dyDescent="0.25">
      <c r="A189" s="36">
        <v>47488</v>
      </c>
      <c r="B189" s="71">
        <f t="shared" si="18"/>
        <v>30</v>
      </c>
      <c r="C189" s="33">
        <f t="shared" si="20"/>
        <v>13167896</v>
      </c>
      <c r="D189" s="48">
        <f t="shared" si="21"/>
        <v>6567418.8899999997</v>
      </c>
      <c r="E189" s="47">
        <f t="shared" si="19"/>
        <v>6600477.1100000003</v>
      </c>
      <c r="F189" s="33">
        <f t="shared" si="22"/>
        <v>528038169.06999981</v>
      </c>
      <c r="G189" s="47">
        <f t="shared" si="23"/>
        <v>521470750.17999983</v>
      </c>
      <c r="H189" s="14">
        <f t="shared" si="16"/>
        <v>6510059.61867123</v>
      </c>
      <c r="I189" s="16">
        <f t="shared" si="17"/>
        <v>-90417.491328770295</v>
      </c>
    </row>
    <row r="190" spans="1:9" x14ac:dyDescent="0.25">
      <c r="A190" s="36">
        <v>47519</v>
      </c>
      <c r="B190" s="71">
        <f t="shared" si="18"/>
        <v>30</v>
      </c>
      <c r="C190" s="33">
        <f t="shared" si="20"/>
        <v>13167896</v>
      </c>
      <c r="D190" s="48">
        <f t="shared" si="21"/>
        <v>6649511.6200000001</v>
      </c>
      <c r="E190" s="47">
        <f t="shared" si="19"/>
        <v>6518384.3799999999</v>
      </c>
      <c r="F190" s="33">
        <f t="shared" si="22"/>
        <v>521470750.17999983</v>
      </c>
      <c r="G190" s="47">
        <f t="shared" si="23"/>
        <v>514821238.55999982</v>
      </c>
      <c r="H190" s="14">
        <f t="shared" si="16"/>
        <v>6429091.4405753398</v>
      </c>
      <c r="I190" s="16">
        <f t="shared" si="17"/>
        <v>-89292.939424660057</v>
      </c>
    </row>
    <row r="191" spans="1:9" x14ac:dyDescent="0.25">
      <c r="A191" s="36">
        <v>47547</v>
      </c>
      <c r="B191" s="71">
        <f t="shared" si="18"/>
        <v>30</v>
      </c>
      <c r="C191" s="33">
        <f t="shared" si="20"/>
        <v>13167896</v>
      </c>
      <c r="D191" s="48">
        <f t="shared" si="21"/>
        <v>6732630.5199999996</v>
      </c>
      <c r="E191" s="47">
        <f t="shared" si="19"/>
        <v>6435265.4800000004</v>
      </c>
      <c r="F191" s="33">
        <f t="shared" si="22"/>
        <v>514821238.55999982</v>
      </c>
      <c r="G191" s="47">
        <f t="shared" si="23"/>
        <v>508088608.03999984</v>
      </c>
      <c r="H191" s="14">
        <f t="shared" si="16"/>
        <v>6347111.1603287645</v>
      </c>
      <c r="I191" s="16">
        <f t="shared" si="17"/>
        <v>-88154.319671235979</v>
      </c>
    </row>
    <row r="192" spans="1:9" x14ac:dyDescent="0.25">
      <c r="A192" s="36">
        <v>47578</v>
      </c>
      <c r="B192" s="71">
        <f t="shared" si="18"/>
        <v>30</v>
      </c>
      <c r="C192" s="33">
        <f t="shared" si="20"/>
        <v>13167896</v>
      </c>
      <c r="D192" s="48">
        <f t="shared" si="21"/>
        <v>6816788.4000000004</v>
      </c>
      <c r="E192" s="47">
        <f t="shared" si="19"/>
        <v>6351107.5999999996</v>
      </c>
      <c r="F192" s="33">
        <f t="shared" si="22"/>
        <v>508088608.03999984</v>
      </c>
      <c r="G192" s="47">
        <f t="shared" si="23"/>
        <v>501271819.63999987</v>
      </c>
      <c r="H192" s="14">
        <f t="shared" si="16"/>
        <v>6264106.1265205462</v>
      </c>
      <c r="I192" s="16">
        <f t="shared" si="17"/>
        <v>-87001.473479453474</v>
      </c>
    </row>
    <row r="193" spans="1:9" x14ac:dyDescent="0.25">
      <c r="A193" s="36">
        <v>47608</v>
      </c>
      <c r="B193" s="71">
        <f t="shared" si="18"/>
        <v>30</v>
      </c>
      <c r="C193" s="33">
        <f t="shared" si="20"/>
        <v>13167896</v>
      </c>
      <c r="D193" s="48">
        <f t="shared" si="21"/>
        <v>6901998.25</v>
      </c>
      <c r="E193" s="47">
        <f t="shared" si="19"/>
        <v>6265897.75</v>
      </c>
      <c r="F193" s="33">
        <f t="shared" si="22"/>
        <v>501271819.63999987</v>
      </c>
      <c r="G193" s="47">
        <f t="shared" si="23"/>
        <v>494369821.38999987</v>
      </c>
      <c r="H193" s="14">
        <f t="shared" si="16"/>
        <v>6180063.5298082167</v>
      </c>
      <c r="I193" s="16">
        <f t="shared" si="17"/>
        <v>-85834.220191783272</v>
      </c>
    </row>
    <row r="194" spans="1:9" x14ac:dyDescent="0.25">
      <c r="A194" s="36">
        <v>47639</v>
      </c>
      <c r="B194" s="71">
        <f t="shared" si="18"/>
        <v>30</v>
      </c>
      <c r="C194" s="33">
        <f t="shared" si="20"/>
        <v>13167896</v>
      </c>
      <c r="D194" s="48">
        <f t="shared" si="21"/>
        <v>6988273.2300000004</v>
      </c>
      <c r="E194" s="47">
        <f t="shared" si="19"/>
        <v>6179622.7699999996</v>
      </c>
      <c r="F194" s="33">
        <f t="shared" si="22"/>
        <v>494369821.38999987</v>
      </c>
      <c r="G194" s="47">
        <f t="shared" si="23"/>
        <v>487381548.15999985</v>
      </c>
      <c r="H194" s="14">
        <f t="shared" si="16"/>
        <v>6094970.4006986292</v>
      </c>
      <c r="I194" s="16">
        <f t="shared" si="17"/>
        <v>-84652.369301370345</v>
      </c>
    </row>
    <row r="195" spans="1:9" x14ac:dyDescent="0.25">
      <c r="A195" s="36">
        <v>47669</v>
      </c>
      <c r="B195" s="71">
        <f t="shared" si="18"/>
        <v>30</v>
      </c>
      <c r="C195" s="33">
        <f t="shared" si="20"/>
        <v>13167896</v>
      </c>
      <c r="D195" s="48">
        <f t="shared" si="21"/>
        <v>7075626.6500000004</v>
      </c>
      <c r="E195" s="47">
        <f t="shared" si="19"/>
        <v>6092269.3499999996</v>
      </c>
      <c r="F195" s="33">
        <f t="shared" si="22"/>
        <v>487381548.15999985</v>
      </c>
      <c r="G195" s="47">
        <f t="shared" si="23"/>
        <v>480305921.50999987</v>
      </c>
      <c r="H195" s="14">
        <f t="shared" si="16"/>
        <v>6008813.6074520526</v>
      </c>
      <c r="I195" s="16">
        <f t="shared" si="17"/>
        <v>-83455.742547946982</v>
      </c>
    </row>
    <row r="196" spans="1:9" x14ac:dyDescent="0.25">
      <c r="A196" s="36">
        <v>47700</v>
      </c>
      <c r="B196" s="71">
        <f t="shared" si="18"/>
        <v>30</v>
      </c>
      <c r="C196" s="33">
        <f t="shared" si="20"/>
        <v>13167896</v>
      </c>
      <c r="D196" s="48">
        <f t="shared" si="21"/>
        <v>7164071.9800000004</v>
      </c>
      <c r="E196" s="47">
        <f t="shared" si="19"/>
        <v>6003824.0199999996</v>
      </c>
      <c r="F196" s="33">
        <f t="shared" si="22"/>
        <v>480305921.50999987</v>
      </c>
      <c r="G196" s="47">
        <f t="shared" si="23"/>
        <v>473141849.52999985</v>
      </c>
      <c r="H196" s="14">
        <f t="shared" si="16"/>
        <v>5921579.8542328747</v>
      </c>
      <c r="I196" s="16">
        <f t="shared" si="17"/>
        <v>-82244.165767124854</v>
      </c>
    </row>
    <row r="197" spans="1:9" x14ac:dyDescent="0.25">
      <c r="A197" s="36">
        <v>47731</v>
      </c>
      <c r="B197" s="71">
        <f t="shared" si="18"/>
        <v>30</v>
      </c>
      <c r="C197" s="33">
        <f t="shared" si="20"/>
        <v>13167896</v>
      </c>
      <c r="D197" s="48">
        <f t="shared" si="21"/>
        <v>7253622.8799999999</v>
      </c>
      <c r="E197" s="47">
        <f t="shared" si="19"/>
        <v>5914273.1200000001</v>
      </c>
      <c r="F197" s="33">
        <f t="shared" si="22"/>
        <v>473141849.52999985</v>
      </c>
      <c r="G197" s="47">
        <f t="shared" si="23"/>
        <v>465888226.64999986</v>
      </c>
      <c r="H197" s="14">
        <f t="shared" ref="H197:H245" si="24">F197*$B$2*B197/365</f>
        <v>5833255.6791369841</v>
      </c>
      <c r="I197" s="16">
        <f t="shared" ref="I197:I245" si="25">H197-E197</f>
        <v>-81017.440863016061</v>
      </c>
    </row>
    <row r="198" spans="1:9" x14ac:dyDescent="0.25">
      <c r="A198" s="36">
        <v>47761</v>
      </c>
      <c r="B198" s="71">
        <f t="shared" ref="B198:B244" si="26">DAYS360(A197,A198)</f>
        <v>30</v>
      </c>
      <c r="C198" s="33">
        <f t="shared" si="20"/>
        <v>13167896</v>
      </c>
      <c r="D198" s="48">
        <f t="shared" si="21"/>
        <v>7344293.1699999999</v>
      </c>
      <c r="E198" s="47">
        <f t="shared" ref="E198:E243" si="27">ROUND(F198*$B$2*B198/360,2)</f>
        <v>5823602.8300000001</v>
      </c>
      <c r="F198" s="33">
        <f t="shared" si="22"/>
        <v>465888226.64999986</v>
      </c>
      <c r="G198" s="47">
        <f t="shared" si="23"/>
        <v>458543933.47999984</v>
      </c>
      <c r="H198" s="14">
        <f t="shared" si="24"/>
        <v>5743827.4518493125</v>
      </c>
      <c r="I198" s="16">
        <f t="shared" si="25"/>
        <v>-79775.378150687553</v>
      </c>
    </row>
    <row r="199" spans="1:9" x14ac:dyDescent="0.25">
      <c r="A199" s="36">
        <v>47792</v>
      </c>
      <c r="B199" s="71">
        <f t="shared" si="26"/>
        <v>30</v>
      </c>
      <c r="C199" s="33">
        <f t="shared" ref="C199:C245" si="28">$D$1</f>
        <v>13167896</v>
      </c>
      <c r="D199" s="48">
        <f t="shared" ref="D199:D244" si="29">C199-E199</f>
        <v>7436096.8300000001</v>
      </c>
      <c r="E199" s="47">
        <f t="shared" si="27"/>
        <v>5731799.1699999999</v>
      </c>
      <c r="F199" s="33">
        <f t="shared" ref="F199:F244" si="30">G198</f>
        <v>458543933.47999984</v>
      </c>
      <c r="G199" s="47">
        <f t="shared" ref="G199:G244" si="31">F199-D199</f>
        <v>451107836.64999986</v>
      </c>
      <c r="H199" s="14">
        <f t="shared" si="24"/>
        <v>5653281.3716712305</v>
      </c>
      <c r="I199" s="16">
        <f t="shared" si="25"/>
        <v>-78517.798328769393</v>
      </c>
    </row>
    <row r="200" spans="1:9" x14ac:dyDescent="0.25">
      <c r="A200" s="36">
        <v>47822</v>
      </c>
      <c r="B200" s="71">
        <f t="shared" si="26"/>
        <v>30</v>
      </c>
      <c r="C200" s="33">
        <f t="shared" si="28"/>
        <v>13167896</v>
      </c>
      <c r="D200" s="48">
        <f t="shared" si="29"/>
        <v>7529048.04</v>
      </c>
      <c r="E200" s="47">
        <f t="shared" si="27"/>
        <v>5638847.96</v>
      </c>
      <c r="F200" s="33">
        <f t="shared" si="30"/>
        <v>451107836.64999986</v>
      </c>
      <c r="G200" s="47">
        <f t="shared" si="31"/>
        <v>443578788.60999984</v>
      </c>
      <c r="H200" s="14">
        <f t="shared" si="24"/>
        <v>5561603.4655479435</v>
      </c>
      <c r="I200" s="16">
        <f t="shared" si="25"/>
        <v>-77244.494452056475</v>
      </c>
    </row>
    <row r="201" spans="1:9" x14ac:dyDescent="0.25">
      <c r="A201" s="36">
        <v>47853</v>
      </c>
      <c r="B201" s="71">
        <f t="shared" si="26"/>
        <v>30</v>
      </c>
      <c r="C201" s="33">
        <f t="shared" si="28"/>
        <v>13167896</v>
      </c>
      <c r="D201" s="48">
        <f t="shared" si="29"/>
        <v>7623161.1399999997</v>
      </c>
      <c r="E201" s="47">
        <f t="shared" si="27"/>
        <v>5544734.8600000003</v>
      </c>
      <c r="F201" s="33">
        <f t="shared" si="30"/>
        <v>443578788.60999984</v>
      </c>
      <c r="G201" s="47">
        <f t="shared" si="31"/>
        <v>435955627.46999985</v>
      </c>
      <c r="H201" s="14">
        <f t="shared" si="24"/>
        <v>5468779.585602737</v>
      </c>
      <c r="I201" s="16">
        <f t="shared" si="25"/>
        <v>-75955.274397263303</v>
      </c>
    </row>
    <row r="202" spans="1:9" x14ac:dyDescent="0.25">
      <c r="A202" s="36">
        <v>47884</v>
      </c>
      <c r="B202" s="71">
        <f t="shared" si="26"/>
        <v>30</v>
      </c>
      <c r="C202" s="33">
        <f t="shared" si="28"/>
        <v>13167896</v>
      </c>
      <c r="D202" s="48">
        <f t="shared" si="29"/>
        <v>7718450.6600000001</v>
      </c>
      <c r="E202" s="47">
        <f t="shared" si="27"/>
        <v>5449445.3399999999</v>
      </c>
      <c r="F202" s="33">
        <f t="shared" si="30"/>
        <v>435955627.46999985</v>
      </c>
      <c r="G202" s="47">
        <f t="shared" si="31"/>
        <v>428237176.80999982</v>
      </c>
      <c r="H202" s="14">
        <f t="shared" si="24"/>
        <v>5374795.4071643818</v>
      </c>
      <c r="I202" s="16">
        <f t="shared" si="25"/>
        <v>-74649.932835618034</v>
      </c>
    </row>
    <row r="203" spans="1:9" x14ac:dyDescent="0.25">
      <c r="A203" s="36">
        <v>47912</v>
      </c>
      <c r="B203" s="71">
        <f t="shared" si="26"/>
        <v>30</v>
      </c>
      <c r="C203" s="33">
        <f t="shared" si="28"/>
        <v>13167896</v>
      </c>
      <c r="D203" s="48">
        <f t="shared" si="29"/>
        <v>7814931.29</v>
      </c>
      <c r="E203" s="47">
        <f t="shared" si="27"/>
        <v>5352964.71</v>
      </c>
      <c r="F203" s="33">
        <f t="shared" si="30"/>
        <v>428237176.80999982</v>
      </c>
      <c r="G203" s="47">
        <f t="shared" si="31"/>
        <v>420422245.5199998</v>
      </c>
      <c r="H203" s="14">
        <f t="shared" si="24"/>
        <v>5279636.4264246551</v>
      </c>
      <c r="I203" s="16">
        <f t="shared" si="25"/>
        <v>-73328.283575344831</v>
      </c>
    </row>
    <row r="204" spans="1:9" x14ac:dyDescent="0.25">
      <c r="A204" s="36">
        <v>47943</v>
      </c>
      <c r="B204" s="71">
        <f t="shared" si="26"/>
        <v>30</v>
      </c>
      <c r="C204" s="33">
        <f t="shared" si="28"/>
        <v>13167896</v>
      </c>
      <c r="D204" s="48">
        <f t="shared" si="29"/>
        <v>7912617.9299999997</v>
      </c>
      <c r="E204" s="47">
        <f t="shared" si="27"/>
        <v>5255278.07</v>
      </c>
      <c r="F204" s="33">
        <f t="shared" si="30"/>
        <v>420422245.5199998</v>
      </c>
      <c r="G204" s="47">
        <f t="shared" si="31"/>
        <v>412509627.58999979</v>
      </c>
      <c r="H204" s="14">
        <f t="shared" si="24"/>
        <v>5183287.9584657503</v>
      </c>
      <c r="I204" s="16">
        <f t="shared" si="25"/>
        <v>-71990.111534249969</v>
      </c>
    </row>
    <row r="205" spans="1:9" x14ac:dyDescent="0.25">
      <c r="A205" s="36">
        <v>47973</v>
      </c>
      <c r="B205" s="71">
        <f t="shared" si="26"/>
        <v>30</v>
      </c>
      <c r="C205" s="33">
        <f t="shared" si="28"/>
        <v>13167896</v>
      </c>
      <c r="D205" s="48">
        <f t="shared" si="29"/>
        <v>8011525.6600000001</v>
      </c>
      <c r="E205" s="47">
        <f t="shared" si="27"/>
        <v>5156370.34</v>
      </c>
      <c r="F205" s="33">
        <f t="shared" si="30"/>
        <v>412509627.58999979</v>
      </c>
      <c r="G205" s="47">
        <f t="shared" si="31"/>
        <v>404498101.92999977</v>
      </c>
      <c r="H205" s="14">
        <f t="shared" si="24"/>
        <v>5085735.1346712299</v>
      </c>
      <c r="I205" s="16">
        <f t="shared" si="25"/>
        <v>-70635.205328769982</v>
      </c>
    </row>
    <row r="206" spans="1:9" x14ac:dyDescent="0.25">
      <c r="A206" s="36">
        <v>48004</v>
      </c>
      <c r="B206" s="71">
        <f t="shared" si="26"/>
        <v>30</v>
      </c>
      <c r="C206" s="33">
        <f t="shared" si="28"/>
        <v>13167896</v>
      </c>
      <c r="D206" s="48">
        <f t="shared" si="29"/>
        <v>8111669.7300000004</v>
      </c>
      <c r="E206" s="47">
        <f t="shared" si="27"/>
        <v>5056226.2699999996</v>
      </c>
      <c r="F206" s="33">
        <f t="shared" si="30"/>
        <v>404498101.92999977</v>
      </c>
      <c r="G206" s="47">
        <f t="shared" si="31"/>
        <v>396386432.19999975</v>
      </c>
      <c r="H206" s="14">
        <f t="shared" si="24"/>
        <v>4986962.9005068457</v>
      </c>
      <c r="I206" s="16">
        <f t="shared" si="25"/>
        <v>-69263.369493153878</v>
      </c>
    </row>
    <row r="207" spans="1:9" x14ac:dyDescent="0.25">
      <c r="A207" s="36">
        <v>48034</v>
      </c>
      <c r="B207" s="71">
        <f t="shared" si="26"/>
        <v>30</v>
      </c>
      <c r="C207" s="33">
        <f t="shared" si="28"/>
        <v>13167896</v>
      </c>
      <c r="D207" s="48">
        <f t="shared" si="29"/>
        <v>8213065.5999999996</v>
      </c>
      <c r="E207" s="47">
        <f t="shared" si="27"/>
        <v>4954830.4000000004</v>
      </c>
      <c r="F207" s="33">
        <f t="shared" si="30"/>
        <v>396386432.19999975</v>
      </c>
      <c r="G207" s="47">
        <f t="shared" si="31"/>
        <v>388173366.59999973</v>
      </c>
      <c r="H207" s="14">
        <f t="shared" si="24"/>
        <v>4886956.0134246545</v>
      </c>
      <c r="I207" s="16">
        <f t="shared" si="25"/>
        <v>-67874.386575345881</v>
      </c>
    </row>
    <row r="208" spans="1:9" x14ac:dyDescent="0.25">
      <c r="A208" s="36">
        <v>48065</v>
      </c>
      <c r="B208" s="71">
        <f t="shared" si="26"/>
        <v>30</v>
      </c>
      <c r="C208" s="33">
        <f t="shared" si="28"/>
        <v>13167896</v>
      </c>
      <c r="D208" s="48">
        <f t="shared" si="29"/>
        <v>8315728.9199999999</v>
      </c>
      <c r="E208" s="47">
        <f t="shared" si="27"/>
        <v>4852167.08</v>
      </c>
      <c r="F208" s="33">
        <f t="shared" si="30"/>
        <v>388173366.59999973</v>
      </c>
      <c r="G208" s="47">
        <f t="shared" si="31"/>
        <v>379857637.67999971</v>
      </c>
      <c r="H208" s="14">
        <f t="shared" si="24"/>
        <v>4785699.0402739691</v>
      </c>
      <c r="I208" s="16">
        <f t="shared" si="25"/>
        <v>-66468.039726031013</v>
      </c>
    </row>
    <row r="209" spans="1:9" x14ac:dyDescent="0.25">
      <c r="A209" s="36">
        <v>48096</v>
      </c>
      <c r="B209" s="71">
        <f t="shared" si="26"/>
        <v>30</v>
      </c>
      <c r="C209" s="33">
        <f t="shared" si="28"/>
        <v>13167896</v>
      </c>
      <c r="D209" s="48">
        <f t="shared" si="29"/>
        <v>8419675.5300000012</v>
      </c>
      <c r="E209" s="47">
        <f t="shared" si="27"/>
        <v>4748220.47</v>
      </c>
      <c r="F209" s="33">
        <f t="shared" si="30"/>
        <v>379857637.67999971</v>
      </c>
      <c r="G209" s="47">
        <f t="shared" si="31"/>
        <v>371437962.14999974</v>
      </c>
      <c r="H209" s="14">
        <f t="shared" si="24"/>
        <v>4683176.3549589003</v>
      </c>
      <c r="I209" s="16">
        <f t="shared" si="25"/>
        <v>-65044.115041099489</v>
      </c>
    </row>
    <row r="210" spans="1:9" x14ac:dyDescent="0.25">
      <c r="A210" s="36">
        <v>48126</v>
      </c>
      <c r="B210" s="71">
        <f t="shared" si="26"/>
        <v>30</v>
      </c>
      <c r="C210" s="33">
        <f t="shared" si="28"/>
        <v>13167896</v>
      </c>
      <c r="D210" s="48">
        <f t="shared" si="29"/>
        <v>8524921.4699999988</v>
      </c>
      <c r="E210" s="47">
        <f t="shared" si="27"/>
        <v>4642974.53</v>
      </c>
      <c r="F210" s="33">
        <f t="shared" si="30"/>
        <v>371437962.14999974</v>
      </c>
      <c r="G210" s="47">
        <f t="shared" si="31"/>
        <v>362913040.67999971</v>
      </c>
      <c r="H210" s="14">
        <f t="shared" si="24"/>
        <v>4579372.1360958871</v>
      </c>
      <c r="I210" s="16">
        <f t="shared" si="25"/>
        <v>-63602.393904113211</v>
      </c>
    </row>
    <row r="211" spans="1:9" x14ac:dyDescent="0.25">
      <c r="A211" s="36">
        <v>48157</v>
      </c>
      <c r="B211" s="71">
        <f t="shared" si="26"/>
        <v>30</v>
      </c>
      <c r="C211" s="33">
        <f t="shared" si="28"/>
        <v>13167896</v>
      </c>
      <c r="D211" s="48">
        <f t="shared" si="29"/>
        <v>8631482.9900000002</v>
      </c>
      <c r="E211" s="47">
        <f t="shared" si="27"/>
        <v>4536413.01</v>
      </c>
      <c r="F211" s="33">
        <f t="shared" si="30"/>
        <v>362913040.67999971</v>
      </c>
      <c r="G211" s="47">
        <f t="shared" si="31"/>
        <v>354281557.6899997</v>
      </c>
      <c r="H211" s="14">
        <f t="shared" si="24"/>
        <v>4474270.3645479409</v>
      </c>
      <c r="I211" s="16">
        <f t="shared" si="25"/>
        <v>-62142.645452058874</v>
      </c>
    </row>
    <row r="212" spans="1:9" x14ac:dyDescent="0.25">
      <c r="A212" s="36">
        <v>48187</v>
      </c>
      <c r="B212" s="71">
        <f t="shared" si="26"/>
        <v>30</v>
      </c>
      <c r="C212" s="33">
        <f t="shared" si="28"/>
        <v>13167896</v>
      </c>
      <c r="D212" s="48">
        <f t="shared" si="29"/>
        <v>8739376.5300000012</v>
      </c>
      <c r="E212" s="47">
        <f t="shared" si="27"/>
        <v>4428519.47</v>
      </c>
      <c r="F212" s="33">
        <f t="shared" si="30"/>
        <v>354281557.6899997</v>
      </c>
      <c r="G212" s="47">
        <f t="shared" si="31"/>
        <v>345542181.15999973</v>
      </c>
      <c r="H212" s="14">
        <f t="shared" si="24"/>
        <v>4367854.8208356127</v>
      </c>
      <c r="I212" s="16">
        <f t="shared" si="25"/>
        <v>-60664.649164387025</v>
      </c>
    </row>
    <row r="213" spans="1:9" x14ac:dyDescent="0.25">
      <c r="A213" s="36">
        <v>48218</v>
      </c>
      <c r="B213" s="71">
        <f t="shared" si="26"/>
        <v>30</v>
      </c>
      <c r="C213" s="33">
        <f t="shared" si="28"/>
        <v>13167896</v>
      </c>
      <c r="D213" s="48">
        <f t="shared" si="29"/>
        <v>8848618.7400000002</v>
      </c>
      <c r="E213" s="47">
        <f t="shared" si="27"/>
        <v>4319277.26</v>
      </c>
      <c r="F213" s="33">
        <f t="shared" si="30"/>
        <v>345542181.15999973</v>
      </c>
      <c r="G213" s="47">
        <f t="shared" si="31"/>
        <v>336693562.41999972</v>
      </c>
      <c r="H213" s="14">
        <f t="shared" si="24"/>
        <v>4260109.0827945173</v>
      </c>
      <c r="I213" s="16">
        <f t="shared" si="25"/>
        <v>-59168.177205482498</v>
      </c>
    </row>
    <row r="214" spans="1:9" x14ac:dyDescent="0.25">
      <c r="A214" s="36">
        <v>48249</v>
      </c>
      <c r="B214" s="71">
        <f t="shared" si="26"/>
        <v>30</v>
      </c>
      <c r="C214" s="33">
        <f t="shared" si="28"/>
        <v>13167896</v>
      </c>
      <c r="D214" s="48">
        <f t="shared" si="29"/>
        <v>8959226.4699999988</v>
      </c>
      <c r="E214" s="47">
        <f t="shared" si="27"/>
        <v>4208669.53</v>
      </c>
      <c r="F214" s="33">
        <f t="shared" si="30"/>
        <v>336693562.41999972</v>
      </c>
      <c r="G214" s="47">
        <f t="shared" si="31"/>
        <v>327734335.94999969</v>
      </c>
      <c r="H214" s="14">
        <f t="shared" si="24"/>
        <v>4151016.522986298</v>
      </c>
      <c r="I214" s="16">
        <f t="shared" si="25"/>
        <v>-57653.007013702299</v>
      </c>
    </row>
    <row r="215" spans="1:9" x14ac:dyDescent="0.25">
      <c r="A215" s="36">
        <v>48278</v>
      </c>
      <c r="B215" s="71">
        <f t="shared" si="26"/>
        <v>30</v>
      </c>
      <c r="C215" s="33">
        <f t="shared" si="28"/>
        <v>13167896</v>
      </c>
      <c r="D215" s="48">
        <f t="shared" si="29"/>
        <v>9071216.8000000007</v>
      </c>
      <c r="E215" s="47">
        <f t="shared" si="27"/>
        <v>4096679.2</v>
      </c>
      <c r="F215" s="33">
        <f t="shared" si="30"/>
        <v>327734335.94999969</v>
      </c>
      <c r="G215" s="47">
        <f t="shared" si="31"/>
        <v>318663119.14999968</v>
      </c>
      <c r="H215" s="14">
        <f t="shared" si="24"/>
        <v>4040560.3062328729</v>
      </c>
      <c r="I215" s="16">
        <f t="shared" si="25"/>
        <v>-56118.893767127302</v>
      </c>
    </row>
    <row r="216" spans="1:9" x14ac:dyDescent="0.25">
      <c r="A216" s="36">
        <v>48309</v>
      </c>
      <c r="B216" s="71">
        <f t="shared" si="26"/>
        <v>30</v>
      </c>
      <c r="C216" s="33">
        <f t="shared" si="28"/>
        <v>13167896</v>
      </c>
      <c r="D216" s="48">
        <f t="shared" si="29"/>
        <v>9184607.0099999998</v>
      </c>
      <c r="E216" s="47">
        <f t="shared" si="27"/>
        <v>3983288.99</v>
      </c>
      <c r="F216" s="33">
        <f t="shared" si="30"/>
        <v>318663119.14999968</v>
      </c>
      <c r="G216" s="47">
        <f t="shared" si="31"/>
        <v>309478512.13999969</v>
      </c>
      <c r="H216" s="14">
        <f t="shared" si="24"/>
        <v>3928723.386780818</v>
      </c>
      <c r="I216" s="16">
        <f t="shared" si="25"/>
        <v>-54565.603219182231</v>
      </c>
    </row>
    <row r="217" spans="1:9" x14ac:dyDescent="0.25">
      <c r="A217" s="36">
        <v>48339</v>
      </c>
      <c r="B217" s="71">
        <f t="shared" si="26"/>
        <v>30</v>
      </c>
      <c r="C217" s="33">
        <f t="shared" si="28"/>
        <v>13167896</v>
      </c>
      <c r="D217" s="48">
        <f t="shared" si="29"/>
        <v>9299414.5999999996</v>
      </c>
      <c r="E217" s="47">
        <f t="shared" si="27"/>
        <v>3868481.4</v>
      </c>
      <c r="F217" s="33">
        <f t="shared" si="30"/>
        <v>309478512.13999969</v>
      </c>
      <c r="G217" s="47">
        <f t="shared" si="31"/>
        <v>300179097.53999966</v>
      </c>
      <c r="H217" s="14">
        <f t="shared" si="24"/>
        <v>3815488.5058356123</v>
      </c>
      <c r="I217" s="16">
        <f t="shared" si="25"/>
        <v>-52992.894164387602</v>
      </c>
    </row>
    <row r="218" spans="1:9" x14ac:dyDescent="0.25">
      <c r="A218" s="36">
        <v>48370</v>
      </c>
      <c r="B218" s="71">
        <f t="shared" si="26"/>
        <v>30</v>
      </c>
      <c r="C218" s="33">
        <f t="shared" si="28"/>
        <v>13167896</v>
      </c>
      <c r="D218" s="48">
        <f t="shared" si="29"/>
        <v>9415657.2799999993</v>
      </c>
      <c r="E218" s="47">
        <f t="shared" si="27"/>
        <v>3752238.72</v>
      </c>
      <c r="F218" s="33">
        <f t="shared" si="30"/>
        <v>300179097.53999966</v>
      </c>
      <c r="G218" s="47">
        <f t="shared" si="31"/>
        <v>290763440.25999969</v>
      </c>
      <c r="H218" s="14">
        <f t="shared" si="24"/>
        <v>3700838.1888493109</v>
      </c>
      <c r="I218" s="16">
        <f t="shared" si="25"/>
        <v>-51400.531150689349</v>
      </c>
    </row>
    <row r="219" spans="1:9" x14ac:dyDescent="0.25">
      <c r="A219" s="36">
        <v>48400</v>
      </c>
      <c r="B219" s="71">
        <f t="shared" si="26"/>
        <v>30</v>
      </c>
      <c r="C219" s="33">
        <f t="shared" si="28"/>
        <v>13167896</v>
      </c>
      <c r="D219" s="48">
        <f t="shared" si="29"/>
        <v>9533353</v>
      </c>
      <c r="E219" s="47">
        <f t="shared" si="27"/>
        <v>3634543</v>
      </c>
      <c r="F219" s="33">
        <f t="shared" si="30"/>
        <v>290763440.25999969</v>
      </c>
      <c r="G219" s="47">
        <f t="shared" si="31"/>
        <v>281230087.25999969</v>
      </c>
      <c r="H219" s="14">
        <f t="shared" si="24"/>
        <v>3584754.7429315033</v>
      </c>
      <c r="I219" s="16">
        <f t="shared" si="25"/>
        <v>-49788.257068496663</v>
      </c>
    </row>
    <row r="220" spans="1:9" x14ac:dyDescent="0.25">
      <c r="A220" s="36">
        <v>48431</v>
      </c>
      <c r="B220" s="71">
        <f t="shared" si="26"/>
        <v>30</v>
      </c>
      <c r="C220" s="33">
        <f t="shared" si="28"/>
        <v>13167896</v>
      </c>
      <c r="D220" s="48">
        <f t="shared" si="29"/>
        <v>9652519.9100000001</v>
      </c>
      <c r="E220" s="47">
        <f t="shared" si="27"/>
        <v>3515376.09</v>
      </c>
      <c r="F220" s="33">
        <f t="shared" si="30"/>
        <v>281230087.25999969</v>
      </c>
      <c r="G220" s="47">
        <f t="shared" si="31"/>
        <v>271577567.34999967</v>
      </c>
      <c r="H220" s="14">
        <f t="shared" si="24"/>
        <v>3467220.2538904068</v>
      </c>
      <c r="I220" s="16">
        <f t="shared" si="25"/>
        <v>-48155.836109593045</v>
      </c>
    </row>
    <row r="221" spans="1:9" x14ac:dyDescent="0.25">
      <c r="A221" s="36">
        <v>48462</v>
      </c>
      <c r="B221" s="71">
        <f t="shared" si="26"/>
        <v>30</v>
      </c>
      <c r="C221" s="33">
        <f t="shared" si="28"/>
        <v>13167896</v>
      </c>
      <c r="D221" s="48">
        <f t="shared" si="29"/>
        <v>9773176.4100000001</v>
      </c>
      <c r="E221" s="47">
        <f t="shared" si="27"/>
        <v>3394719.59</v>
      </c>
      <c r="F221" s="33">
        <f t="shared" si="30"/>
        <v>271577567.34999967</v>
      </c>
      <c r="G221" s="47">
        <f t="shared" si="31"/>
        <v>261804390.93999967</v>
      </c>
      <c r="H221" s="14">
        <f t="shared" si="24"/>
        <v>3348216.5837671189</v>
      </c>
      <c r="I221" s="16">
        <f t="shared" si="25"/>
        <v>-46503.006232880987</v>
      </c>
    </row>
    <row r="222" spans="1:9" x14ac:dyDescent="0.25">
      <c r="A222" s="36">
        <v>48492</v>
      </c>
      <c r="B222" s="71">
        <f t="shared" si="26"/>
        <v>30</v>
      </c>
      <c r="C222" s="33">
        <f t="shared" si="28"/>
        <v>13167896</v>
      </c>
      <c r="D222" s="48">
        <f t="shared" si="29"/>
        <v>9895341.1099999994</v>
      </c>
      <c r="E222" s="47">
        <f t="shared" si="27"/>
        <v>3272554.89</v>
      </c>
      <c r="F222" s="33">
        <f t="shared" si="30"/>
        <v>261804390.93999967</v>
      </c>
      <c r="G222" s="47">
        <f t="shared" si="31"/>
        <v>251909049.82999969</v>
      </c>
      <c r="H222" s="14">
        <f t="shared" si="24"/>
        <v>3227725.367753421</v>
      </c>
      <c r="I222" s="16">
        <f t="shared" si="25"/>
        <v>-44829.522246579174</v>
      </c>
    </row>
    <row r="223" spans="1:9" x14ac:dyDescent="0.25">
      <c r="A223" s="36">
        <v>48523</v>
      </c>
      <c r="B223" s="71">
        <f t="shared" si="26"/>
        <v>30</v>
      </c>
      <c r="C223" s="33">
        <f t="shared" si="28"/>
        <v>13167896</v>
      </c>
      <c r="D223" s="48">
        <f t="shared" si="29"/>
        <v>10019032.879999999</v>
      </c>
      <c r="E223" s="47">
        <f t="shared" si="27"/>
        <v>3148863.12</v>
      </c>
      <c r="F223" s="33">
        <f t="shared" si="30"/>
        <v>251909049.82999969</v>
      </c>
      <c r="G223" s="47">
        <f t="shared" si="31"/>
        <v>241890016.94999969</v>
      </c>
      <c r="H223" s="14">
        <f t="shared" si="24"/>
        <v>3105728.0116027356</v>
      </c>
      <c r="I223" s="16">
        <f t="shared" si="25"/>
        <v>-43135.108397264499</v>
      </c>
    </row>
    <row r="224" spans="1:9" x14ac:dyDescent="0.25">
      <c r="A224" s="36">
        <v>48553</v>
      </c>
      <c r="B224" s="71">
        <f t="shared" si="26"/>
        <v>30</v>
      </c>
      <c r="C224" s="33">
        <f t="shared" si="28"/>
        <v>13167896</v>
      </c>
      <c r="D224" s="48">
        <f t="shared" si="29"/>
        <v>10144270.789999999</v>
      </c>
      <c r="E224" s="47">
        <f t="shared" si="27"/>
        <v>3023625.21</v>
      </c>
      <c r="F224" s="33">
        <f t="shared" si="30"/>
        <v>241890016.94999969</v>
      </c>
      <c r="G224" s="47">
        <f t="shared" si="31"/>
        <v>231745746.1599997</v>
      </c>
      <c r="H224" s="14">
        <f t="shared" si="24"/>
        <v>2982205.6884246538</v>
      </c>
      <c r="I224" s="16">
        <f t="shared" si="25"/>
        <v>-41419.521575346123</v>
      </c>
    </row>
    <row r="225" spans="1:9" x14ac:dyDescent="0.25">
      <c r="A225" s="36">
        <v>48584</v>
      </c>
      <c r="B225" s="71">
        <f t="shared" si="26"/>
        <v>30</v>
      </c>
      <c r="C225" s="33">
        <f t="shared" si="28"/>
        <v>13167896</v>
      </c>
      <c r="D225" s="48">
        <f t="shared" si="29"/>
        <v>10271074.17</v>
      </c>
      <c r="E225" s="47">
        <f t="shared" si="27"/>
        <v>2896821.83</v>
      </c>
      <c r="F225" s="33">
        <f t="shared" si="30"/>
        <v>231745746.1599997</v>
      </c>
      <c r="G225" s="47">
        <f t="shared" si="31"/>
        <v>221474671.98999971</v>
      </c>
      <c r="H225" s="14">
        <f t="shared" si="24"/>
        <v>2857139.3362191739</v>
      </c>
      <c r="I225" s="16">
        <f t="shared" si="25"/>
        <v>-39682.493780826218</v>
      </c>
    </row>
    <row r="226" spans="1:9" x14ac:dyDescent="0.25">
      <c r="A226" s="36">
        <v>48615</v>
      </c>
      <c r="B226" s="71">
        <f t="shared" si="26"/>
        <v>30</v>
      </c>
      <c r="C226" s="33">
        <f t="shared" si="28"/>
        <v>13167896</v>
      </c>
      <c r="D226" s="48">
        <f t="shared" si="29"/>
        <v>10399462.6</v>
      </c>
      <c r="E226" s="47">
        <f t="shared" si="27"/>
        <v>2768433.4</v>
      </c>
      <c r="F226" s="33">
        <f t="shared" si="30"/>
        <v>221474671.98999971</v>
      </c>
      <c r="G226" s="47">
        <f t="shared" si="31"/>
        <v>211075209.38999972</v>
      </c>
      <c r="H226" s="14">
        <f t="shared" si="24"/>
        <v>2730509.6546712294</v>
      </c>
      <c r="I226" s="16">
        <f t="shared" si="25"/>
        <v>-37923.745328770485</v>
      </c>
    </row>
    <row r="227" spans="1:9" x14ac:dyDescent="0.25">
      <c r="A227" s="36">
        <v>48643</v>
      </c>
      <c r="B227" s="71">
        <f t="shared" si="26"/>
        <v>30</v>
      </c>
      <c r="C227" s="33">
        <f t="shared" si="28"/>
        <v>13167896</v>
      </c>
      <c r="D227" s="48">
        <f t="shared" si="29"/>
        <v>10529455.879999999</v>
      </c>
      <c r="E227" s="47">
        <f t="shared" si="27"/>
        <v>2638440.12</v>
      </c>
      <c r="F227" s="33">
        <f t="shared" si="30"/>
        <v>211075209.38999972</v>
      </c>
      <c r="G227" s="47">
        <f t="shared" si="31"/>
        <v>200545753.50999972</v>
      </c>
      <c r="H227" s="14">
        <f t="shared" si="24"/>
        <v>2602297.1020684894</v>
      </c>
      <c r="I227" s="16">
        <f t="shared" si="25"/>
        <v>-36143.017931510694</v>
      </c>
    </row>
    <row r="228" spans="1:9" x14ac:dyDescent="0.25">
      <c r="A228" s="36">
        <v>48674</v>
      </c>
      <c r="B228" s="71">
        <f t="shared" si="26"/>
        <v>30</v>
      </c>
      <c r="C228" s="33">
        <f t="shared" si="28"/>
        <v>13167896</v>
      </c>
      <c r="D228" s="48">
        <f t="shared" si="29"/>
        <v>10661074.08</v>
      </c>
      <c r="E228" s="47">
        <f t="shared" si="27"/>
        <v>2506821.92</v>
      </c>
      <c r="F228" s="33">
        <f t="shared" si="30"/>
        <v>200545753.50999972</v>
      </c>
      <c r="G228" s="47">
        <f t="shared" si="31"/>
        <v>189884679.42999971</v>
      </c>
      <c r="H228" s="14">
        <f t="shared" si="24"/>
        <v>2472481.8925890373</v>
      </c>
      <c r="I228" s="16">
        <f t="shared" si="25"/>
        <v>-34340.027410962619</v>
      </c>
    </row>
    <row r="229" spans="1:9" x14ac:dyDescent="0.25">
      <c r="A229" s="36">
        <v>48704</v>
      </c>
      <c r="B229" s="71">
        <f t="shared" si="26"/>
        <v>30</v>
      </c>
      <c r="C229" s="33">
        <f t="shared" si="28"/>
        <v>13167896</v>
      </c>
      <c r="D229" s="48">
        <f t="shared" si="29"/>
        <v>10794337.51</v>
      </c>
      <c r="E229" s="47">
        <f t="shared" si="27"/>
        <v>2373558.4900000002</v>
      </c>
      <c r="F229" s="33">
        <f t="shared" si="30"/>
        <v>189884679.42999971</v>
      </c>
      <c r="G229" s="47">
        <f t="shared" si="31"/>
        <v>179090341.91999972</v>
      </c>
      <c r="H229" s="14">
        <f t="shared" si="24"/>
        <v>2341043.9929725993</v>
      </c>
      <c r="I229" s="16">
        <f t="shared" si="25"/>
        <v>-32514.497027400881</v>
      </c>
    </row>
    <row r="230" spans="1:9" x14ac:dyDescent="0.25">
      <c r="A230" s="36">
        <v>48735</v>
      </c>
      <c r="B230" s="71">
        <f t="shared" si="26"/>
        <v>30</v>
      </c>
      <c r="C230" s="33">
        <f t="shared" si="28"/>
        <v>13167896</v>
      </c>
      <c r="D230" s="48">
        <f t="shared" si="29"/>
        <v>10929266.73</v>
      </c>
      <c r="E230" s="47">
        <f t="shared" si="27"/>
        <v>2238629.27</v>
      </c>
      <c r="F230" s="33">
        <f t="shared" si="30"/>
        <v>179090341.91999972</v>
      </c>
      <c r="G230" s="47">
        <f t="shared" si="31"/>
        <v>168161075.18999973</v>
      </c>
      <c r="H230" s="14">
        <f t="shared" si="24"/>
        <v>2207963.1195616401</v>
      </c>
      <c r="I230" s="16">
        <f t="shared" si="25"/>
        <v>-30666.150438359939</v>
      </c>
    </row>
    <row r="231" spans="1:9" x14ac:dyDescent="0.25">
      <c r="A231" s="36">
        <v>48765</v>
      </c>
      <c r="B231" s="71">
        <f t="shared" si="26"/>
        <v>30</v>
      </c>
      <c r="C231" s="33">
        <f t="shared" si="28"/>
        <v>13167896</v>
      </c>
      <c r="D231" s="48">
        <f t="shared" si="29"/>
        <v>11065882.560000001</v>
      </c>
      <c r="E231" s="47">
        <f t="shared" si="27"/>
        <v>2102013.44</v>
      </c>
      <c r="F231" s="33">
        <f t="shared" si="30"/>
        <v>168161075.18999973</v>
      </c>
      <c r="G231" s="47">
        <f t="shared" si="31"/>
        <v>157095192.62999973</v>
      </c>
      <c r="H231" s="14">
        <f t="shared" si="24"/>
        <v>2073218.7352191745</v>
      </c>
      <c r="I231" s="16">
        <f t="shared" si="25"/>
        <v>-28794.704780825414</v>
      </c>
    </row>
    <row r="232" spans="1:9" x14ac:dyDescent="0.25">
      <c r="A232" s="36">
        <v>48796</v>
      </c>
      <c r="B232" s="71">
        <f t="shared" si="26"/>
        <v>30</v>
      </c>
      <c r="C232" s="33">
        <f t="shared" si="28"/>
        <v>13167896</v>
      </c>
      <c r="D232" s="48">
        <f t="shared" si="29"/>
        <v>11204206.09</v>
      </c>
      <c r="E232" s="47">
        <f t="shared" si="27"/>
        <v>1963689.91</v>
      </c>
      <c r="F232" s="33">
        <f t="shared" si="30"/>
        <v>157095192.62999973</v>
      </c>
      <c r="G232" s="47">
        <f t="shared" si="31"/>
        <v>145890986.53999972</v>
      </c>
      <c r="H232" s="14">
        <f t="shared" si="24"/>
        <v>1936790.0461232841</v>
      </c>
      <c r="I232" s="16">
        <f t="shared" si="25"/>
        <v>-26899.863876715768</v>
      </c>
    </row>
    <row r="233" spans="1:9" x14ac:dyDescent="0.25">
      <c r="A233" s="36">
        <v>48827</v>
      </c>
      <c r="B233" s="71">
        <f t="shared" si="26"/>
        <v>30</v>
      </c>
      <c r="C233" s="33">
        <f t="shared" si="28"/>
        <v>13167896</v>
      </c>
      <c r="D233" s="48">
        <f t="shared" si="29"/>
        <v>11344258.67</v>
      </c>
      <c r="E233" s="47">
        <f t="shared" si="27"/>
        <v>1823637.33</v>
      </c>
      <c r="F233" s="33">
        <f t="shared" si="30"/>
        <v>145890986.53999972</v>
      </c>
      <c r="G233" s="47">
        <f t="shared" si="31"/>
        <v>134546727.86999974</v>
      </c>
      <c r="H233" s="14">
        <f t="shared" si="24"/>
        <v>1798655.9984383527</v>
      </c>
      <c r="I233" s="16">
        <f t="shared" si="25"/>
        <v>-24981.331561647356</v>
      </c>
    </row>
    <row r="234" spans="1:9" x14ac:dyDescent="0.25">
      <c r="A234" s="36">
        <v>48857</v>
      </c>
      <c r="B234" s="71">
        <f t="shared" si="26"/>
        <v>30</v>
      </c>
      <c r="C234" s="33">
        <f t="shared" si="28"/>
        <v>13167896</v>
      </c>
      <c r="D234" s="48">
        <f t="shared" si="29"/>
        <v>11486061.9</v>
      </c>
      <c r="E234" s="47">
        <f t="shared" si="27"/>
        <v>1681834.1</v>
      </c>
      <c r="F234" s="33">
        <f t="shared" si="30"/>
        <v>134546727.86999974</v>
      </c>
      <c r="G234" s="47">
        <f t="shared" si="31"/>
        <v>123060665.96999973</v>
      </c>
      <c r="H234" s="14">
        <f t="shared" si="24"/>
        <v>1658795.2751095856</v>
      </c>
      <c r="I234" s="16">
        <f t="shared" si="25"/>
        <v>-23038.824890414486</v>
      </c>
    </row>
    <row r="235" spans="1:9" x14ac:dyDescent="0.25">
      <c r="A235" s="36">
        <v>48888</v>
      </c>
      <c r="B235" s="71">
        <f t="shared" si="26"/>
        <v>30</v>
      </c>
      <c r="C235" s="33">
        <f t="shared" si="28"/>
        <v>13167896</v>
      </c>
      <c r="D235" s="48">
        <f t="shared" si="29"/>
        <v>11629637.68</v>
      </c>
      <c r="E235" s="47">
        <f t="shared" si="27"/>
        <v>1538258.32</v>
      </c>
      <c r="F235" s="33">
        <f t="shared" si="30"/>
        <v>123060665.96999973</v>
      </c>
      <c r="G235" s="47">
        <f t="shared" si="31"/>
        <v>111431028.28999972</v>
      </c>
      <c r="H235" s="14">
        <f t="shared" si="24"/>
        <v>1517186.2927808187</v>
      </c>
      <c r="I235" s="16">
        <f t="shared" si="25"/>
        <v>-21072.027219181415</v>
      </c>
    </row>
    <row r="236" spans="1:9" x14ac:dyDescent="0.25">
      <c r="A236" s="36">
        <v>48918</v>
      </c>
      <c r="B236" s="71">
        <f t="shared" si="26"/>
        <v>30</v>
      </c>
      <c r="C236" s="33">
        <f t="shared" si="28"/>
        <v>13167896</v>
      </c>
      <c r="D236" s="48">
        <f t="shared" si="29"/>
        <v>11775008.15</v>
      </c>
      <c r="E236" s="47">
        <f t="shared" si="27"/>
        <v>1392887.85</v>
      </c>
      <c r="F236" s="33">
        <f t="shared" si="30"/>
        <v>111431028.28999972</v>
      </c>
      <c r="G236" s="47">
        <f t="shared" si="31"/>
        <v>99656020.139999717</v>
      </c>
      <c r="H236" s="14">
        <f t="shared" si="24"/>
        <v>1373807.1980958867</v>
      </c>
      <c r="I236" s="16">
        <f t="shared" si="25"/>
        <v>-19080.651904113358</v>
      </c>
    </row>
    <row r="237" spans="1:9" x14ac:dyDescent="0.25">
      <c r="A237" s="36">
        <v>48949</v>
      </c>
      <c r="B237" s="71">
        <f t="shared" si="26"/>
        <v>30</v>
      </c>
      <c r="C237" s="33">
        <f t="shared" si="28"/>
        <v>13167896</v>
      </c>
      <c r="D237" s="48">
        <f t="shared" si="29"/>
        <v>11922195.75</v>
      </c>
      <c r="E237" s="47">
        <f t="shared" si="27"/>
        <v>1245700.25</v>
      </c>
      <c r="F237" s="33">
        <f t="shared" si="30"/>
        <v>99656020.139999717</v>
      </c>
      <c r="G237" s="47">
        <f t="shared" si="31"/>
        <v>87733824.389999717</v>
      </c>
      <c r="H237" s="14">
        <f t="shared" si="24"/>
        <v>1228635.8647397223</v>
      </c>
      <c r="I237" s="16">
        <f t="shared" si="25"/>
        <v>-17064.385260277661</v>
      </c>
    </row>
    <row r="238" spans="1:9" x14ac:dyDescent="0.25">
      <c r="A238" s="36">
        <v>48980</v>
      </c>
      <c r="B238" s="71">
        <f t="shared" si="26"/>
        <v>30</v>
      </c>
      <c r="C238" s="33">
        <f t="shared" si="28"/>
        <v>13167896</v>
      </c>
      <c r="D238" s="48">
        <f t="shared" si="29"/>
        <v>12071223.199999999</v>
      </c>
      <c r="E238" s="47">
        <f t="shared" si="27"/>
        <v>1096672.8</v>
      </c>
      <c r="F238" s="33">
        <f t="shared" si="30"/>
        <v>87733824.389999717</v>
      </c>
      <c r="G238" s="47">
        <f t="shared" si="31"/>
        <v>75662601.189999714</v>
      </c>
      <c r="H238" s="14">
        <f t="shared" si="24"/>
        <v>1081649.8897397225</v>
      </c>
      <c r="I238" s="16">
        <f t="shared" si="25"/>
        <v>-15022.910260277567</v>
      </c>
    </row>
    <row r="239" spans="1:9" x14ac:dyDescent="0.25">
      <c r="A239" s="36">
        <v>49008</v>
      </c>
      <c r="B239" s="71">
        <f t="shared" si="26"/>
        <v>30</v>
      </c>
      <c r="C239" s="33">
        <f t="shared" si="28"/>
        <v>13167896</v>
      </c>
      <c r="D239" s="48">
        <f t="shared" si="29"/>
        <v>12222113.49</v>
      </c>
      <c r="E239" s="47">
        <f t="shared" si="27"/>
        <v>945782.51</v>
      </c>
      <c r="F239" s="33">
        <f t="shared" si="30"/>
        <v>75662601.189999714</v>
      </c>
      <c r="G239" s="47">
        <f t="shared" si="31"/>
        <v>63440487.699999712</v>
      </c>
      <c r="H239" s="14">
        <f t="shared" si="24"/>
        <v>932826.59001369507</v>
      </c>
      <c r="I239" s="16">
        <f t="shared" si="25"/>
        <v>-12955.919986304943</v>
      </c>
    </row>
    <row r="240" spans="1:9" x14ac:dyDescent="0.25">
      <c r="A240" s="36">
        <v>49039</v>
      </c>
      <c r="B240" s="71">
        <f t="shared" si="26"/>
        <v>30</v>
      </c>
      <c r="C240" s="33">
        <f t="shared" si="28"/>
        <v>13167896</v>
      </c>
      <c r="D240" s="48">
        <f t="shared" si="29"/>
        <v>12374889.9</v>
      </c>
      <c r="E240" s="47">
        <f t="shared" si="27"/>
        <v>793006.1</v>
      </c>
      <c r="F240" s="33">
        <f t="shared" si="30"/>
        <v>63440487.699999712</v>
      </c>
      <c r="G240" s="47">
        <f t="shared" si="31"/>
        <v>51065597.799999714</v>
      </c>
      <c r="H240" s="14">
        <f t="shared" si="24"/>
        <v>782142.99904109223</v>
      </c>
      <c r="I240" s="16">
        <f t="shared" si="25"/>
        <v>-10863.100958907744</v>
      </c>
    </row>
    <row r="241" spans="1:9" x14ac:dyDescent="0.25">
      <c r="A241" s="36">
        <v>49069</v>
      </c>
      <c r="B241" s="71">
        <f t="shared" si="26"/>
        <v>30</v>
      </c>
      <c r="C241" s="33">
        <f t="shared" si="28"/>
        <v>13167896</v>
      </c>
      <c r="D241" s="48">
        <f t="shared" si="29"/>
        <v>12529576.029999999</v>
      </c>
      <c r="E241" s="47">
        <f t="shared" si="27"/>
        <v>638319.97</v>
      </c>
      <c r="F241" s="33">
        <f t="shared" si="30"/>
        <v>51065597.799999714</v>
      </c>
      <c r="G241" s="47">
        <f t="shared" si="31"/>
        <v>38536021.769999713</v>
      </c>
      <c r="H241" s="14">
        <f t="shared" si="24"/>
        <v>629575.86328766774</v>
      </c>
      <c r="I241" s="16">
        <f t="shared" si="25"/>
        <v>-8744.1067123322282</v>
      </c>
    </row>
    <row r="242" spans="1:9" x14ac:dyDescent="0.25">
      <c r="A242" s="36">
        <v>49100</v>
      </c>
      <c r="B242" s="71">
        <f t="shared" si="26"/>
        <v>30</v>
      </c>
      <c r="C242" s="33">
        <f t="shared" si="28"/>
        <v>13167896</v>
      </c>
      <c r="D242" s="48">
        <f t="shared" si="29"/>
        <v>12686195.73</v>
      </c>
      <c r="E242" s="47">
        <f t="shared" si="27"/>
        <v>481700.27</v>
      </c>
      <c r="F242" s="33">
        <f t="shared" si="30"/>
        <v>38536021.769999713</v>
      </c>
      <c r="G242" s="47">
        <f t="shared" si="31"/>
        <v>25849826.039999712</v>
      </c>
      <c r="H242" s="14">
        <f t="shared" si="24"/>
        <v>475101.63826027047</v>
      </c>
      <c r="I242" s="16">
        <f t="shared" si="25"/>
        <v>-6598.6317397295497</v>
      </c>
    </row>
    <row r="243" spans="1:9" x14ac:dyDescent="0.25">
      <c r="A243" s="36">
        <v>49130</v>
      </c>
      <c r="B243" s="71">
        <f t="shared" si="26"/>
        <v>30</v>
      </c>
      <c r="C243" s="33">
        <f t="shared" si="28"/>
        <v>13167896</v>
      </c>
      <c r="D243" s="48">
        <f t="shared" si="29"/>
        <v>12844773.17</v>
      </c>
      <c r="E243" s="47">
        <f t="shared" si="27"/>
        <v>323122.83</v>
      </c>
      <c r="F243" s="33">
        <f t="shared" si="30"/>
        <v>25849826.039999712</v>
      </c>
      <c r="G243" s="47">
        <f t="shared" si="31"/>
        <v>13005052.869999712</v>
      </c>
      <c r="H243" s="14">
        <f t="shared" si="24"/>
        <v>318696.48542465398</v>
      </c>
      <c r="I243" s="16">
        <f t="shared" si="25"/>
        <v>-4426.3445753460401</v>
      </c>
    </row>
    <row r="244" spans="1:9" x14ac:dyDescent="0.25">
      <c r="A244" s="36">
        <v>49161</v>
      </c>
      <c r="B244" s="71">
        <f t="shared" si="26"/>
        <v>30</v>
      </c>
      <c r="C244" s="33">
        <f t="shared" si="28"/>
        <v>13167896</v>
      </c>
      <c r="D244" s="48">
        <f t="shared" si="29"/>
        <v>13005052.869999712</v>
      </c>
      <c r="E244" s="47">
        <v>162843.13000028752</v>
      </c>
      <c r="F244" s="33">
        <f t="shared" si="30"/>
        <v>13005052.869999712</v>
      </c>
      <c r="G244" s="47">
        <f t="shared" si="31"/>
        <v>0</v>
      </c>
      <c r="H244" s="14">
        <f t="shared" si="24"/>
        <v>160336.26826027042</v>
      </c>
      <c r="I244" s="16">
        <f t="shared" si="25"/>
        <v>-2506.8617400171061</v>
      </c>
    </row>
    <row r="245" spans="1:9" x14ac:dyDescent="0.25">
      <c r="A245" s="36">
        <v>42160</v>
      </c>
      <c r="B245" s="46">
        <f>DAYS360(A13,A14,TRUE)</f>
        <v>30</v>
      </c>
      <c r="C245" s="33">
        <f t="shared" si="28"/>
        <v>13167896</v>
      </c>
      <c r="D245" s="48">
        <f>C14-E14</f>
        <v>746902.8900000006</v>
      </c>
      <c r="E245" s="47">
        <f>ROUND(F14*$B$2*B14/360,2)</f>
        <v>12420993.109999999</v>
      </c>
      <c r="F245" s="33">
        <f>G13</f>
        <v>993679449.12</v>
      </c>
      <c r="G245" s="47">
        <f>F14-D14</f>
        <v>992932546.23000002</v>
      </c>
      <c r="H245" s="14">
        <f t="shared" si="24"/>
        <v>12250842.523397259</v>
      </c>
      <c r="I245" s="16">
        <f t="shared" si="25"/>
        <v>-170150.58660273999</v>
      </c>
    </row>
    <row r="246" spans="1:9" x14ac:dyDescent="0.25">
      <c r="A246" s="36">
        <v>42190</v>
      </c>
      <c r="B246" s="71">
        <f>DAYS360(A245,A246,TRUE)</f>
        <v>30</v>
      </c>
      <c r="C246" s="33">
        <f>$F$1</f>
        <v>13074833</v>
      </c>
      <c r="D246" s="48">
        <f t="shared" ref="D246:D309" si="32">C246-E246</f>
        <v>663176.16999999993</v>
      </c>
      <c r="E246" s="47">
        <f>ROUND(F246*$B$2*B246/360,2)</f>
        <v>12411656.83</v>
      </c>
      <c r="F246" s="33">
        <f t="shared" ref="F246:F309" si="33">G245</f>
        <v>992932546.23000002</v>
      </c>
      <c r="G246" s="47">
        <f t="shared" ref="G246:G309" si="34">F246-D246</f>
        <v>992269370.06000006</v>
      </c>
    </row>
    <row r="247" spans="1:9" x14ac:dyDescent="0.25">
      <c r="A247" s="36">
        <v>42221</v>
      </c>
      <c r="B247" s="71">
        <f t="shared" ref="B247:B310" si="35">DAYS360(A246,A247,TRUE)</f>
        <v>30</v>
      </c>
      <c r="C247" s="33">
        <f t="shared" ref="C247:C310" si="36">$F$1</f>
        <v>13074833</v>
      </c>
      <c r="D247" s="48">
        <f t="shared" si="32"/>
        <v>671465.86999999918</v>
      </c>
      <c r="E247" s="47">
        <f t="shared" ref="E247:E310" si="37">ROUND(F247*$B$2*B247/360,2)</f>
        <v>12403367.130000001</v>
      </c>
      <c r="F247" s="33">
        <f t="shared" si="33"/>
        <v>992269370.06000006</v>
      </c>
      <c r="G247" s="47">
        <f t="shared" si="34"/>
        <v>991597904.19000006</v>
      </c>
    </row>
    <row r="248" spans="1:9" x14ac:dyDescent="0.25">
      <c r="A248" s="36">
        <v>42252</v>
      </c>
      <c r="B248" s="71">
        <f t="shared" si="35"/>
        <v>30</v>
      </c>
      <c r="C248" s="33">
        <f t="shared" si="36"/>
        <v>13074833</v>
      </c>
      <c r="D248" s="48">
        <f t="shared" si="32"/>
        <v>679859.19999999925</v>
      </c>
      <c r="E248" s="47">
        <f t="shared" si="37"/>
        <v>12394973.800000001</v>
      </c>
      <c r="F248" s="33">
        <f t="shared" si="33"/>
        <v>991597904.19000006</v>
      </c>
      <c r="G248" s="47">
        <f t="shared" si="34"/>
        <v>990918044.99000001</v>
      </c>
    </row>
    <row r="249" spans="1:9" x14ac:dyDescent="0.25">
      <c r="A249" s="36">
        <v>42282</v>
      </c>
      <c r="B249" s="71">
        <f t="shared" si="35"/>
        <v>30</v>
      </c>
      <c r="C249" s="33">
        <f t="shared" si="36"/>
        <v>13074833</v>
      </c>
      <c r="D249" s="48">
        <f t="shared" si="32"/>
        <v>688357.43999999948</v>
      </c>
      <c r="E249" s="47">
        <f t="shared" si="37"/>
        <v>12386475.560000001</v>
      </c>
      <c r="F249" s="33">
        <f t="shared" si="33"/>
        <v>990918044.99000001</v>
      </c>
      <c r="G249" s="47">
        <f t="shared" si="34"/>
        <v>990229687.54999995</v>
      </c>
    </row>
    <row r="250" spans="1:9" x14ac:dyDescent="0.25">
      <c r="A250" s="36">
        <v>42313</v>
      </c>
      <c r="B250" s="71">
        <f t="shared" si="35"/>
        <v>30</v>
      </c>
      <c r="C250" s="33">
        <f t="shared" si="36"/>
        <v>13074833</v>
      </c>
      <c r="D250" s="48">
        <f t="shared" si="32"/>
        <v>696961.91000000015</v>
      </c>
      <c r="E250" s="47">
        <f t="shared" si="37"/>
        <v>12377871.09</v>
      </c>
      <c r="F250" s="33">
        <f t="shared" si="33"/>
        <v>990229687.54999995</v>
      </c>
      <c r="G250" s="47">
        <f t="shared" si="34"/>
        <v>989532725.63999999</v>
      </c>
    </row>
    <row r="251" spans="1:9" x14ac:dyDescent="0.25">
      <c r="A251" s="36">
        <v>42343</v>
      </c>
      <c r="B251" s="71">
        <f t="shared" si="35"/>
        <v>30</v>
      </c>
      <c r="C251" s="33">
        <f t="shared" si="36"/>
        <v>13074833</v>
      </c>
      <c r="D251" s="48">
        <f t="shared" si="32"/>
        <v>705673.9299999997</v>
      </c>
      <c r="E251" s="47">
        <f t="shared" si="37"/>
        <v>12369159.07</v>
      </c>
      <c r="F251" s="33">
        <f t="shared" si="33"/>
        <v>989532725.63999999</v>
      </c>
      <c r="G251" s="47">
        <f t="shared" si="34"/>
        <v>988827051.71000004</v>
      </c>
    </row>
    <row r="252" spans="1:9" x14ac:dyDescent="0.25">
      <c r="A252" s="36">
        <v>42374</v>
      </c>
      <c r="B252" s="71">
        <f t="shared" si="35"/>
        <v>30</v>
      </c>
      <c r="C252" s="33">
        <f t="shared" si="36"/>
        <v>13074833</v>
      </c>
      <c r="D252" s="48">
        <f t="shared" si="32"/>
        <v>714494.84999999963</v>
      </c>
      <c r="E252" s="47">
        <f t="shared" si="37"/>
        <v>12360338.15</v>
      </c>
      <c r="F252" s="33">
        <f t="shared" si="33"/>
        <v>988827051.71000004</v>
      </c>
      <c r="G252" s="47">
        <f t="shared" si="34"/>
        <v>988112556.86000001</v>
      </c>
    </row>
    <row r="253" spans="1:9" x14ac:dyDescent="0.25">
      <c r="A253" s="36">
        <v>42405</v>
      </c>
      <c r="B253" s="71">
        <f t="shared" si="35"/>
        <v>30</v>
      </c>
      <c r="C253" s="33">
        <f t="shared" si="36"/>
        <v>13074833</v>
      </c>
      <c r="D253" s="48">
        <f t="shared" si="32"/>
        <v>723426.03999999911</v>
      </c>
      <c r="E253" s="47">
        <f t="shared" si="37"/>
        <v>12351406.960000001</v>
      </c>
      <c r="F253" s="33">
        <f t="shared" si="33"/>
        <v>988112556.86000001</v>
      </c>
      <c r="G253" s="47">
        <f t="shared" si="34"/>
        <v>987389130.82000005</v>
      </c>
    </row>
    <row r="254" spans="1:9" x14ac:dyDescent="0.25">
      <c r="A254" s="36">
        <v>42434</v>
      </c>
      <c r="B254" s="71">
        <f t="shared" si="35"/>
        <v>30</v>
      </c>
      <c r="C254" s="33">
        <f t="shared" si="36"/>
        <v>13074833</v>
      </c>
      <c r="D254" s="48">
        <f t="shared" si="32"/>
        <v>732468.8599999994</v>
      </c>
      <c r="E254" s="47">
        <f t="shared" si="37"/>
        <v>12342364.140000001</v>
      </c>
      <c r="F254" s="33">
        <f t="shared" si="33"/>
        <v>987389130.82000005</v>
      </c>
      <c r="G254" s="47">
        <f t="shared" si="34"/>
        <v>986656661.96000004</v>
      </c>
    </row>
    <row r="255" spans="1:9" x14ac:dyDescent="0.25">
      <c r="A255" s="36">
        <v>42465</v>
      </c>
      <c r="B255" s="71">
        <f t="shared" si="35"/>
        <v>30</v>
      </c>
      <c r="C255" s="33">
        <f t="shared" si="36"/>
        <v>13074833</v>
      </c>
      <c r="D255" s="48">
        <f t="shared" si="32"/>
        <v>741624.73000000045</v>
      </c>
      <c r="E255" s="47">
        <f t="shared" si="37"/>
        <v>12333208.27</v>
      </c>
      <c r="F255" s="33">
        <f t="shared" si="33"/>
        <v>986656661.96000004</v>
      </c>
      <c r="G255" s="47">
        <f t="shared" si="34"/>
        <v>985915037.23000002</v>
      </c>
    </row>
    <row r="256" spans="1:9" x14ac:dyDescent="0.25">
      <c r="A256" s="36">
        <v>42495</v>
      </c>
      <c r="B256" s="71">
        <f t="shared" si="35"/>
        <v>30</v>
      </c>
      <c r="C256" s="33">
        <f t="shared" si="36"/>
        <v>13074833</v>
      </c>
      <c r="D256" s="48">
        <f t="shared" si="32"/>
        <v>750895.02999999933</v>
      </c>
      <c r="E256" s="47">
        <f t="shared" si="37"/>
        <v>12323937.970000001</v>
      </c>
      <c r="F256" s="33">
        <f t="shared" si="33"/>
        <v>985915037.23000002</v>
      </c>
      <c r="G256" s="47">
        <f t="shared" si="34"/>
        <v>985164142.20000005</v>
      </c>
    </row>
    <row r="257" spans="1:7" x14ac:dyDescent="0.25">
      <c r="A257" s="36">
        <v>42526</v>
      </c>
      <c r="B257" s="71">
        <f t="shared" si="35"/>
        <v>30</v>
      </c>
      <c r="C257" s="33">
        <f t="shared" si="36"/>
        <v>13074833</v>
      </c>
      <c r="D257" s="48">
        <f t="shared" si="32"/>
        <v>760281.22000000067</v>
      </c>
      <c r="E257" s="47">
        <f t="shared" si="37"/>
        <v>12314551.779999999</v>
      </c>
      <c r="F257" s="33">
        <f t="shared" si="33"/>
        <v>985164142.20000005</v>
      </c>
      <c r="G257" s="47">
        <f t="shared" si="34"/>
        <v>984403860.98000002</v>
      </c>
    </row>
    <row r="258" spans="1:7" x14ac:dyDescent="0.25">
      <c r="A258" s="36">
        <v>42556</v>
      </c>
      <c r="B258" s="71">
        <f t="shared" si="35"/>
        <v>30</v>
      </c>
      <c r="C258" s="33">
        <f t="shared" si="36"/>
        <v>13074833</v>
      </c>
      <c r="D258" s="48">
        <f t="shared" si="32"/>
        <v>769784.74000000022</v>
      </c>
      <c r="E258" s="47">
        <f t="shared" si="37"/>
        <v>12305048.26</v>
      </c>
      <c r="F258" s="33">
        <f t="shared" si="33"/>
        <v>984403860.98000002</v>
      </c>
      <c r="G258" s="47">
        <f t="shared" si="34"/>
        <v>983634076.24000001</v>
      </c>
    </row>
    <row r="259" spans="1:7" x14ac:dyDescent="0.25">
      <c r="A259" s="36">
        <v>42587</v>
      </c>
      <c r="B259" s="71">
        <f t="shared" si="35"/>
        <v>30</v>
      </c>
      <c r="C259" s="33">
        <f t="shared" si="36"/>
        <v>13074833</v>
      </c>
      <c r="D259" s="48">
        <f t="shared" si="32"/>
        <v>779407.05000000075</v>
      </c>
      <c r="E259" s="47">
        <f t="shared" si="37"/>
        <v>12295425.949999999</v>
      </c>
      <c r="F259" s="33">
        <f t="shared" si="33"/>
        <v>983634076.24000001</v>
      </c>
      <c r="G259" s="47">
        <f t="shared" si="34"/>
        <v>982854669.19000006</v>
      </c>
    </row>
    <row r="260" spans="1:7" x14ac:dyDescent="0.25">
      <c r="A260" s="36">
        <v>42618</v>
      </c>
      <c r="B260" s="71">
        <f t="shared" si="35"/>
        <v>30</v>
      </c>
      <c r="C260" s="33">
        <f t="shared" si="36"/>
        <v>13074833</v>
      </c>
      <c r="D260" s="48">
        <f t="shared" si="32"/>
        <v>789149.6400000006</v>
      </c>
      <c r="E260" s="47">
        <f t="shared" si="37"/>
        <v>12285683.359999999</v>
      </c>
      <c r="F260" s="33">
        <f t="shared" si="33"/>
        <v>982854669.19000006</v>
      </c>
      <c r="G260" s="47">
        <f t="shared" si="34"/>
        <v>982065519.55000007</v>
      </c>
    </row>
    <row r="261" spans="1:7" x14ac:dyDescent="0.25">
      <c r="A261" s="36">
        <v>42648</v>
      </c>
      <c r="B261" s="71">
        <f t="shared" si="35"/>
        <v>30</v>
      </c>
      <c r="C261" s="33">
        <f t="shared" si="36"/>
        <v>13074833</v>
      </c>
      <c r="D261" s="48">
        <f t="shared" si="32"/>
        <v>799014.00999999978</v>
      </c>
      <c r="E261" s="47">
        <f t="shared" si="37"/>
        <v>12275818.99</v>
      </c>
      <c r="F261" s="33">
        <f t="shared" si="33"/>
        <v>982065519.55000007</v>
      </c>
      <c r="G261" s="47">
        <f t="shared" si="34"/>
        <v>981266505.54000008</v>
      </c>
    </row>
    <row r="262" spans="1:7" x14ac:dyDescent="0.25">
      <c r="A262" s="36">
        <v>42679</v>
      </c>
      <c r="B262" s="71">
        <f t="shared" si="35"/>
        <v>30</v>
      </c>
      <c r="C262" s="33">
        <f t="shared" si="36"/>
        <v>13074833</v>
      </c>
      <c r="D262" s="48">
        <f t="shared" si="32"/>
        <v>809001.6799999997</v>
      </c>
      <c r="E262" s="47">
        <f t="shared" si="37"/>
        <v>12265831.32</v>
      </c>
      <c r="F262" s="33">
        <f t="shared" si="33"/>
        <v>981266505.54000008</v>
      </c>
      <c r="G262" s="47">
        <f t="shared" si="34"/>
        <v>980457503.86000013</v>
      </c>
    </row>
    <row r="263" spans="1:7" x14ac:dyDescent="0.25">
      <c r="A263" s="36">
        <v>42709</v>
      </c>
      <c r="B263" s="71">
        <f t="shared" si="35"/>
        <v>30</v>
      </c>
      <c r="C263" s="33">
        <f t="shared" si="36"/>
        <v>13074833</v>
      </c>
      <c r="D263" s="48">
        <f t="shared" si="32"/>
        <v>819114.19999999925</v>
      </c>
      <c r="E263" s="47">
        <f t="shared" si="37"/>
        <v>12255718.800000001</v>
      </c>
      <c r="F263" s="33">
        <f t="shared" si="33"/>
        <v>980457503.86000013</v>
      </c>
      <c r="G263" s="47">
        <f t="shared" si="34"/>
        <v>979638389.66000009</v>
      </c>
    </row>
    <row r="264" spans="1:7" x14ac:dyDescent="0.25">
      <c r="A264" s="36">
        <v>42740</v>
      </c>
      <c r="B264" s="71">
        <f t="shared" si="35"/>
        <v>30</v>
      </c>
      <c r="C264" s="33">
        <f t="shared" si="36"/>
        <v>13074833</v>
      </c>
      <c r="D264" s="48">
        <f t="shared" si="32"/>
        <v>829353.13000000082</v>
      </c>
      <c r="E264" s="47">
        <f t="shared" si="37"/>
        <v>12245479.869999999</v>
      </c>
      <c r="F264" s="33">
        <f t="shared" si="33"/>
        <v>979638389.66000009</v>
      </c>
      <c r="G264" s="47">
        <f t="shared" si="34"/>
        <v>978809036.53000009</v>
      </c>
    </row>
    <row r="265" spans="1:7" x14ac:dyDescent="0.25">
      <c r="A265" s="36">
        <v>42771</v>
      </c>
      <c r="B265" s="71">
        <f t="shared" si="35"/>
        <v>30</v>
      </c>
      <c r="C265" s="33">
        <f t="shared" si="36"/>
        <v>13074833</v>
      </c>
      <c r="D265" s="48">
        <f t="shared" si="32"/>
        <v>839720.03999999911</v>
      </c>
      <c r="E265" s="47">
        <f t="shared" si="37"/>
        <v>12235112.960000001</v>
      </c>
      <c r="F265" s="33">
        <f t="shared" si="33"/>
        <v>978809036.53000009</v>
      </c>
      <c r="G265" s="47">
        <f t="shared" si="34"/>
        <v>977969316.49000013</v>
      </c>
    </row>
    <row r="266" spans="1:7" x14ac:dyDescent="0.25">
      <c r="A266" s="36">
        <v>42799</v>
      </c>
      <c r="B266" s="71">
        <f t="shared" si="35"/>
        <v>30</v>
      </c>
      <c r="C266" s="33">
        <f t="shared" si="36"/>
        <v>13074833</v>
      </c>
      <c r="D266" s="48">
        <f t="shared" si="32"/>
        <v>850216.53999999911</v>
      </c>
      <c r="E266" s="47">
        <f t="shared" si="37"/>
        <v>12224616.460000001</v>
      </c>
      <c r="F266" s="33">
        <f t="shared" si="33"/>
        <v>977969316.49000013</v>
      </c>
      <c r="G266" s="47">
        <f t="shared" si="34"/>
        <v>977119099.95000017</v>
      </c>
    </row>
    <row r="267" spans="1:7" x14ac:dyDescent="0.25">
      <c r="A267" s="36">
        <v>42830</v>
      </c>
      <c r="B267" s="71">
        <f t="shared" si="35"/>
        <v>30</v>
      </c>
      <c r="C267" s="33">
        <f t="shared" si="36"/>
        <v>13074833</v>
      </c>
      <c r="D267" s="48">
        <f t="shared" si="32"/>
        <v>860844.25</v>
      </c>
      <c r="E267" s="47">
        <f t="shared" si="37"/>
        <v>12213988.75</v>
      </c>
      <c r="F267" s="33">
        <f t="shared" si="33"/>
        <v>977119099.95000017</v>
      </c>
      <c r="G267" s="47">
        <f t="shared" si="34"/>
        <v>976258255.70000017</v>
      </c>
    </row>
    <row r="268" spans="1:7" x14ac:dyDescent="0.25">
      <c r="A268" s="36">
        <v>42860</v>
      </c>
      <c r="B268" s="71">
        <f t="shared" si="35"/>
        <v>30</v>
      </c>
      <c r="C268" s="33">
        <f t="shared" si="36"/>
        <v>13074833</v>
      </c>
      <c r="D268" s="48">
        <f t="shared" si="32"/>
        <v>871604.80000000075</v>
      </c>
      <c r="E268" s="47">
        <f t="shared" si="37"/>
        <v>12203228.199999999</v>
      </c>
      <c r="F268" s="33">
        <f t="shared" si="33"/>
        <v>976258255.70000017</v>
      </c>
      <c r="G268" s="47">
        <f t="shared" si="34"/>
        <v>975386650.90000021</v>
      </c>
    </row>
    <row r="269" spans="1:7" x14ac:dyDescent="0.25">
      <c r="A269" s="36">
        <v>42891</v>
      </c>
      <c r="B269" s="71">
        <f t="shared" si="35"/>
        <v>30</v>
      </c>
      <c r="C269" s="33">
        <f t="shared" si="36"/>
        <v>13074833</v>
      </c>
      <c r="D269" s="48">
        <f t="shared" si="32"/>
        <v>882499.8599999994</v>
      </c>
      <c r="E269" s="47">
        <f t="shared" si="37"/>
        <v>12192333.140000001</v>
      </c>
      <c r="F269" s="33">
        <f t="shared" si="33"/>
        <v>975386650.90000021</v>
      </c>
      <c r="G269" s="47">
        <f t="shared" si="34"/>
        <v>974504151.0400002</v>
      </c>
    </row>
    <row r="270" spans="1:7" x14ac:dyDescent="0.25">
      <c r="A270" s="36">
        <v>42921</v>
      </c>
      <c r="B270" s="71">
        <f t="shared" si="35"/>
        <v>30</v>
      </c>
      <c r="C270" s="33">
        <f t="shared" si="36"/>
        <v>13074833</v>
      </c>
      <c r="D270" s="48">
        <f t="shared" si="32"/>
        <v>893531.1099999994</v>
      </c>
      <c r="E270" s="47">
        <f t="shared" si="37"/>
        <v>12181301.890000001</v>
      </c>
      <c r="F270" s="33">
        <f t="shared" si="33"/>
        <v>974504151.0400002</v>
      </c>
      <c r="G270" s="47">
        <f t="shared" si="34"/>
        <v>973610619.93000019</v>
      </c>
    </row>
    <row r="271" spans="1:7" x14ac:dyDescent="0.25">
      <c r="A271" s="36">
        <v>42952</v>
      </c>
      <c r="B271" s="71">
        <f t="shared" si="35"/>
        <v>30</v>
      </c>
      <c r="C271" s="33">
        <f t="shared" si="36"/>
        <v>13074833</v>
      </c>
      <c r="D271" s="48">
        <f t="shared" si="32"/>
        <v>904700.25</v>
      </c>
      <c r="E271" s="47">
        <f t="shared" si="37"/>
        <v>12170132.75</v>
      </c>
      <c r="F271" s="33">
        <f t="shared" si="33"/>
        <v>973610619.93000019</v>
      </c>
      <c r="G271" s="47">
        <f t="shared" si="34"/>
        <v>972705919.68000019</v>
      </c>
    </row>
    <row r="272" spans="1:7" x14ac:dyDescent="0.25">
      <c r="A272" s="36">
        <v>42983</v>
      </c>
      <c r="B272" s="71">
        <f t="shared" si="35"/>
        <v>30</v>
      </c>
      <c r="C272" s="33">
        <f t="shared" si="36"/>
        <v>13074833</v>
      </c>
      <c r="D272" s="48">
        <f t="shared" si="32"/>
        <v>916009</v>
      </c>
      <c r="E272" s="47">
        <f t="shared" si="37"/>
        <v>12158824</v>
      </c>
      <c r="F272" s="33">
        <f t="shared" si="33"/>
        <v>972705919.68000019</v>
      </c>
      <c r="G272" s="47">
        <f t="shared" si="34"/>
        <v>971789910.68000019</v>
      </c>
    </row>
    <row r="273" spans="1:7" x14ac:dyDescent="0.25">
      <c r="A273" s="36">
        <v>43013</v>
      </c>
      <c r="B273" s="71">
        <f t="shared" si="35"/>
        <v>30</v>
      </c>
      <c r="C273" s="33">
        <f t="shared" si="36"/>
        <v>13074833</v>
      </c>
      <c r="D273" s="48">
        <f t="shared" si="32"/>
        <v>927459.11999999918</v>
      </c>
      <c r="E273" s="47">
        <f t="shared" si="37"/>
        <v>12147373.880000001</v>
      </c>
      <c r="F273" s="33">
        <f t="shared" si="33"/>
        <v>971789910.68000019</v>
      </c>
      <c r="G273" s="47">
        <f t="shared" si="34"/>
        <v>970862451.56000018</v>
      </c>
    </row>
    <row r="274" spans="1:7" x14ac:dyDescent="0.25">
      <c r="A274" s="36">
        <v>43044</v>
      </c>
      <c r="B274" s="71">
        <f t="shared" si="35"/>
        <v>30</v>
      </c>
      <c r="C274" s="33">
        <f t="shared" si="36"/>
        <v>13074833</v>
      </c>
      <c r="D274" s="48">
        <f t="shared" si="32"/>
        <v>939052.3599999994</v>
      </c>
      <c r="E274" s="47">
        <f t="shared" si="37"/>
        <v>12135780.640000001</v>
      </c>
      <c r="F274" s="33">
        <f t="shared" si="33"/>
        <v>970862451.56000018</v>
      </c>
      <c r="G274" s="47">
        <f t="shared" si="34"/>
        <v>969923399.20000017</v>
      </c>
    </row>
    <row r="275" spans="1:7" x14ac:dyDescent="0.25">
      <c r="A275" s="36">
        <v>43074</v>
      </c>
      <c r="B275" s="71">
        <f t="shared" si="35"/>
        <v>30</v>
      </c>
      <c r="C275" s="33">
        <f t="shared" si="36"/>
        <v>13074833</v>
      </c>
      <c r="D275" s="48">
        <f t="shared" si="32"/>
        <v>950790.50999999978</v>
      </c>
      <c r="E275" s="47">
        <f t="shared" si="37"/>
        <v>12124042.49</v>
      </c>
      <c r="F275" s="33">
        <f t="shared" si="33"/>
        <v>969923399.20000017</v>
      </c>
      <c r="G275" s="47">
        <f t="shared" si="34"/>
        <v>968972608.69000018</v>
      </c>
    </row>
    <row r="276" spans="1:7" x14ac:dyDescent="0.25">
      <c r="A276" s="36">
        <v>43105</v>
      </c>
      <c r="B276" s="71">
        <f t="shared" si="35"/>
        <v>30</v>
      </c>
      <c r="C276" s="33">
        <f t="shared" si="36"/>
        <v>13074833</v>
      </c>
      <c r="D276" s="48">
        <f t="shared" si="32"/>
        <v>962675.3900000006</v>
      </c>
      <c r="E276" s="47">
        <f t="shared" si="37"/>
        <v>12112157.609999999</v>
      </c>
      <c r="F276" s="33">
        <f t="shared" si="33"/>
        <v>968972608.69000018</v>
      </c>
      <c r="G276" s="47">
        <f t="shared" si="34"/>
        <v>968009933.30000019</v>
      </c>
    </row>
    <row r="277" spans="1:7" x14ac:dyDescent="0.25">
      <c r="A277" s="36">
        <v>43136</v>
      </c>
      <c r="B277" s="71">
        <f t="shared" si="35"/>
        <v>30</v>
      </c>
      <c r="C277" s="33">
        <f t="shared" si="36"/>
        <v>13074833</v>
      </c>
      <c r="D277" s="48">
        <f t="shared" si="32"/>
        <v>974708.83000000007</v>
      </c>
      <c r="E277" s="47">
        <f t="shared" si="37"/>
        <v>12100124.17</v>
      </c>
      <c r="F277" s="33">
        <f t="shared" si="33"/>
        <v>968009933.30000019</v>
      </c>
      <c r="G277" s="47">
        <f t="shared" si="34"/>
        <v>967035224.47000015</v>
      </c>
    </row>
    <row r="278" spans="1:7" x14ac:dyDescent="0.25">
      <c r="A278" s="36">
        <v>43164</v>
      </c>
      <c r="B278" s="71">
        <f t="shared" si="35"/>
        <v>30</v>
      </c>
      <c r="C278" s="33">
        <f t="shared" si="36"/>
        <v>13074833</v>
      </c>
      <c r="D278" s="48">
        <f t="shared" si="32"/>
        <v>986892.68999999948</v>
      </c>
      <c r="E278" s="47">
        <f t="shared" si="37"/>
        <v>12087940.310000001</v>
      </c>
      <c r="F278" s="33">
        <f t="shared" si="33"/>
        <v>967035224.47000015</v>
      </c>
      <c r="G278" s="47">
        <f t="shared" si="34"/>
        <v>966048331.78000009</v>
      </c>
    </row>
    <row r="279" spans="1:7" x14ac:dyDescent="0.25">
      <c r="A279" s="36">
        <v>43195</v>
      </c>
      <c r="B279" s="71">
        <f t="shared" si="35"/>
        <v>30</v>
      </c>
      <c r="C279" s="33">
        <f t="shared" si="36"/>
        <v>13074833</v>
      </c>
      <c r="D279" s="48">
        <f t="shared" si="32"/>
        <v>999228.84999999963</v>
      </c>
      <c r="E279" s="47">
        <f t="shared" si="37"/>
        <v>12075604.15</v>
      </c>
      <c r="F279" s="33">
        <f t="shared" si="33"/>
        <v>966048331.78000009</v>
      </c>
      <c r="G279" s="47">
        <f t="shared" si="34"/>
        <v>965049102.93000007</v>
      </c>
    </row>
    <row r="280" spans="1:7" x14ac:dyDescent="0.25">
      <c r="A280" s="36">
        <v>43225</v>
      </c>
      <c r="B280" s="71">
        <f t="shared" si="35"/>
        <v>30</v>
      </c>
      <c r="C280" s="33">
        <f t="shared" si="36"/>
        <v>13074833</v>
      </c>
      <c r="D280" s="48">
        <f t="shared" si="32"/>
        <v>1011719.2100000009</v>
      </c>
      <c r="E280" s="47">
        <f t="shared" si="37"/>
        <v>12063113.789999999</v>
      </c>
      <c r="F280" s="33">
        <f t="shared" si="33"/>
        <v>965049102.93000007</v>
      </c>
      <c r="G280" s="47">
        <f t="shared" si="34"/>
        <v>964037383.72000003</v>
      </c>
    </row>
    <row r="281" spans="1:7" x14ac:dyDescent="0.25">
      <c r="A281" s="36">
        <v>43256</v>
      </c>
      <c r="B281" s="71">
        <f t="shared" si="35"/>
        <v>30</v>
      </c>
      <c r="C281" s="33">
        <f t="shared" si="36"/>
        <v>13074833</v>
      </c>
      <c r="D281" s="48">
        <f t="shared" si="32"/>
        <v>1024365.6999999993</v>
      </c>
      <c r="E281" s="47">
        <f t="shared" si="37"/>
        <v>12050467.300000001</v>
      </c>
      <c r="F281" s="33">
        <f t="shared" si="33"/>
        <v>964037383.72000003</v>
      </c>
      <c r="G281" s="47">
        <f t="shared" si="34"/>
        <v>963013018.01999998</v>
      </c>
    </row>
    <row r="282" spans="1:7" x14ac:dyDescent="0.25">
      <c r="A282" s="36">
        <v>43286</v>
      </c>
      <c r="B282" s="71">
        <f t="shared" si="35"/>
        <v>30</v>
      </c>
      <c r="C282" s="33">
        <f t="shared" si="36"/>
        <v>13074833</v>
      </c>
      <c r="D282" s="48">
        <f t="shared" si="32"/>
        <v>1037170.2699999996</v>
      </c>
      <c r="E282" s="47">
        <f t="shared" si="37"/>
        <v>12037662.73</v>
      </c>
      <c r="F282" s="33">
        <f t="shared" si="33"/>
        <v>963013018.01999998</v>
      </c>
      <c r="G282" s="47">
        <f t="shared" si="34"/>
        <v>961975847.75</v>
      </c>
    </row>
    <row r="283" spans="1:7" x14ac:dyDescent="0.25">
      <c r="A283" s="36">
        <v>43317</v>
      </c>
      <c r="B283" s="71">
        <f t="shared" si="35"/>
        <v>30</v>
      </c>
      <c r="C283" s="33">
        <f t="shared" si="36"/>
        <v>13074833</v>
      </c>
      <c r="D283" s="48">
        <f t="shared" si="32"/>
        <v>1050134.9000000004</v>
      </c>
      <c r="E283" s="47">
        <f t="shared" si="37"/>
        <v>12024698.1</v>
      </c>
      <c r="F283" s="33">
        <f t="shared" si="33"/>
        <v>961975847.75</v>
      </c>
      <c r="G283" s="47">
        <f t="shared" si="34"/>
        <v>960925712.85000002</v>
      </c>
    </row>
    <row r="284" spans="1:7" x14ac:dyDescent="0.25">
      <c r="A284" s="36">
        <v>43348</v>
      </c>
      <c r="B284" s="71">
        <f t="shared" si="35"/>
        <v>30</v>
      </c>
      <c r="C284" s="33">
        <f t="shared" si="36"/>
        <v>13074833</v>
      </c>
      <c r="D284" s="48">
        <f t="shared" si="32"/>
        <v>1063261.5899999999</v>
      </c>
      <c r="E284" s="47">
        <f t="shared" si="37"/>
        <v>12011571.41</v>
      </c>
      <c r="F284" s="33">
        <f t="shared" si="33"/>
        <v>960925712.85000002</v>
      </c>
      <c r="G284" s="47">
        <f t="shared" si="34"/>
        <v>959862451.25999999</v>
      </c>
    </row>
    <row r="285" spans="1:7" x14ac:dyDescent="0.25">
      <c r="A285" s="36">
        <v>43378</v>
      </c>
      <c r="B285" s="71">
        <f t="shared" si="35"/>
        <v>30</v>
      </c>
      <c r="C285" s="33">
        <f t="shared" si="36"/>
        <v>13074833</v>
      </c>
      <c r="D285" s="48">
        <f t="shared" si="32"/>
        <v>1076552.3599999994</v>
      </c>
      <c r="E285" s="47">
        <f t="shared" si="37"/>
        <v>11998280.640000001</v>
      </c>
      <c r="F285" s="33">
        <f t="shared" si="33"/>
        <v>959862451.25999999</v>
      </c>
      <c r="G285" s="47">
        <f t="shared" si="34"/>
        <v>958785898.89999998</v>
      </c>
    </row>
    <row r="286" spans="1:7" x14ac:dyDescent="0.25">
      <c r="A286" s="36">
        <v>43409</v>
      </c>
      <c r="B286" s="71">
        <f t="shared" si="35"/>
        <v>30</v>
      </c>
      <c r="C286" s="33">
        <f t="shared" si="36"/>
        <v>13074833</v>
      </c>
      <c r="D286" s="48">
        <f t="shared" si="32"/>
        <v>1090009.2599999998</v>
      </c>
      <c r="E286" s="47">
        <f t="shared" si="37"/>
        <v>11984823.74</v>
      </c>
      <c r="F286" s="33">
        <f t="shared" si="33"/>
        <v>958785898.89999998</v>
      </c>
      <c r="G286" s="47">
        <f t="shared" si="34"/>
        <v>957695889.63999999</v>
      </c>
    </row>
    <row r="287" spans="1:7" x14ac:dyDescent="0.25">
      <c r="A287" s="36">
        <v>43439</v>
      </c>
      <c r="B287" s="71">
        <f t="shared" si="35"/>
        <v>30</v>
      </c>
      <c r="C287" s="33">
        <f t="shared" si="36"/>
        <v>13074833</v>
      </c>
      <c r="D287" s="48">
        <f t="shared" si="32"/>
        <v>1103634.3800000008</v>
      </c>
      <c r="E287" s="47">
        <f t="shared" si="37"/>
        <v>11971198.619999999</v>
      </c>
      <c r="F287" s="33">
        <f t="shared" si="33"/>
        <v>957695889.63999999</v>
      </c>
      <c r="G287" s="47">
        <f t="shared" si="34"/>
        <v>956592255.25999999</v>
      </c>
    </row>
    <row r="288" spans="1:7" x14ac:dyDescent="0.25">
      <c r="A288" s="36">
        <v>43470</v>
      </c>
      <c r="B288" s="71">
        <f t="shared" si="35"/>
        <v>30</v>
      </c>
      <c r="C288" s="33">
        <f t="shared" si="36"/>
        <v>13074833</v>
      </c>
      <c r="D288" s="48">
        <f t="shared" si="32"/>
        <v>1117429.8100000005</v>
      </c>
      <c r="E288" s="47">
        <f t="shared" si="37"/>
        <v>11957403.189999999</v>
      </c>
      <c r="F288" s="33">
        <f t="shared" si="33"/>
        <v>956592255.25999999</v>
      </c>
      <c r="G288" s="47">
        <f t="shared" si="34"/>
        <v>955474825.45000005</v>
      </c>
    </row>
    <row r="289" spans="1:7" x14ac:dyDescent="0.25">
      <c r="A289" s="36">
        <v>43501</v>
      </c>
      <c r="B289" s="71">
        <f t="shared" si="35"/>
        <v>30</v>
      </c>
      <c r="C289" s="33">
        <f t="shared" si="36"/>
        <v>13074833</v>
      </c>
      <c r="D289" s="48">
        <f t="shared" si="32"/>
        <v>1131397.6799999997</v>
      </c>
      <c r="E289" s="47">
        <f t="shared" si="37"/>
        <v>11943435.32</v>
      </c>
      <c r="F289" s="33">
        <f t="shared" si="33"/>
        <v>955474825.45000005</v>
      </c>
      <c r="G289" s="47">
        <f t="shared" si="34"/>
        <v>954343427.7700001</v>
      </c>
    </row>
    <row r="290" spans="1:7" x14ac:dyDescent="0.25">
      <c r="A290" s="36">
        <v>43529</v>
      </c>
      <c r="B290" s="71">
        <f t="shared" si="35"/>
        <v>30</v>
      </c>
      <c r="C290" s="33">
        <f t="shared" si="36"/>
        <v>13074833</v>
      </c>
      <c r="D290" s="48">
        <f t="shared" si="32"/>
        <v>1145540.1500000004</v>
      </c>
      <c r="E290" s="47">
        <f t="shared" si="37"/>
        <v>11929292.85</v>
      </c>
      <c r="F290" s="33">
        <f t="shared" si="33"/>
        <v>954343427.7700001</v>
      </c>
      <c r="G290" s="47">
        <f t="shared" si="34"/>
        <v>953197887.62000012</v>
      </c>
    </row>
    <row r="291" spans="1:7" x14ac:dyDescent="0.25">
      <c r="A291" s="36">
        <v>43560</v>
      </c>
      <c r="B291" s="71">
        <f t="shared" si="35"/>
        <v>30</v>
      </c>
      <c r="C291" s="33">
        <f t="shared" si="36"/>
        <v>13074833</v>
      </c>
      <c r="D291" s="48">
        <f t="shared" si="32"/>
        <v>1159859.4000000004</v>
      </c>
      <c r="E291" s="47">
        <f t="shared" si="37"/>
        <v>11914973.6</v>
      </c>
      <c r="F291" s="33">
        <f t="shared" si="33"/>
        <v>953197887.62000012</v>
      </c>
      <c r="G291" s="47">
        <f t="shared" si="34"/>
        <v>952038028.22000015</v>
      </c>
    </row>
    <row r="292" spans="1:7" x14ac:dyDescent="0.25">
      <c r="A292" s="36">
        <v>43590</v>
      </c>
      <c r="B292" s="71">
        <f t="shared" si="35"/>
        <v>30</v>
      </c>
      <c r="C292" s="33">
        <f t="shared" si="36"/>
        <v>13074833</v>
      </c>
      <c r="D292" s="48">
        <f t="shared" si="32"/>
        <v>1174357.6500000004</v>
      </c>
      <c r="E292" s="47">
        <f t="shared" si="37"/>
        <v>11900475.35</v>
      </c>
      <c r="F292" s="33">
        <f t="shared" si="33"/>
        <v>952038028.22000015</v>
      </c>
      <c r="G292" s="47">
        <f t="shared" si="34"/>
        <v>950863670.57000017</v>
      </c>
    </row>
    <row r="293" spans="1:7" x14ac:dyDescent="0.25">
      <c r="A293" s="36">
        <v>43621</v>
      </c>
      <c r="B293" s="71">
        <f t="shared" si="35"/>
        <v>30</v>
      </c>
      <c r="C293" s="33">
        <f t="shared" si="36"/>
        <v>13074833</v>
      </c>
      <c r="D293" s="48">
        <f t="shared" si="32"/>
        <v>1189037.1199999992</v>
      </c>
      <c r="E293" s="47">
        <f t="shared" si="37"/>
        <v>11885795.880000001</v>
      </c>
      <c r="F293" s="33">
        <f t="shared" si="33"/>
        <v>950863670.57000017</v>
      </c>
      <c r="G293" s="47">
        <f t="shared" si="34"/>
        <v>949674633.45000017</v>
      </c>
    </row>
    <row r="294" spans="1:7" x14ac:dyDescent="0.25">
      <c r="A294" s="36">
        <v>43651</v>
      </c>
      <c r="B294" s="71">
        <f t="shared" si="35"/>
        <v>30</v>
      </c>
      <c r="C294" s="33">
        <f t="shared" si="36"/>
        <v>13074833</v>
      </c>
      <c r="D294" s="48">
        <f t="shared" si="32"/>
        <v>1203900.08</v>
      </c>
      <c r="E294" s="47">
        <f t="shared" si="37"/>
        <v>11870932.92</v>
      </c>
      <c r="F294" s="33">
        <f t="shared" si="33"/>
        <v>949674633.45000017</v>
      </c>
      <c r="G294" s="47">
        <f t="shared" si="34"/>
        <v>948470733.37000012</v>
      </c>
    </row>
    <row r="295" spans="1:7" x14ac:dyDescent="0.25">
      <c r="A295" s="36">
        <v>43682</v>
      </c>
      <c r="B295" s="71">
        <f t="shared" si="35"/>
        <v>30</v>
      </c>
      <c r="C295" s="33">
        <f t="shared" si="36"/>
        <v>13074833</v>
      </c>
      <c r="D295" s="48">
        <f t="shared" si="32"/>
        <v>1218948.83</v>
      </c>
      <c r="E295" s="47">
        <f t="shared" si="37"/>
        <v>11855884.17</v>
      </c>
      <c r="F295" s="33">
        <f t="shared" si="33"/>
        <v>948470733.37000012</v>
      </c>
      <c r="G295" s="47">
        <f t="shared" si="34"/>
        <v>947251784.54000008</v>
      </c>
    </row>
    <row r="296" spans="1:7" x14ac:dyDescent="0.25">
      <c r="A296" s="36">
        <v>43713</v>
      </c>
      <c r="B296" s="71">
        <f t="shared" si="35"/>
        <v>30</v>
      </c>
      <c r="C296" s="33">
        <f t="shared" si="36"/>
        <v>13074833</v>
      </c>
      <c r="D296" s="48">
        <f t="shared" si="32"/>
        <v>1234185.6899999995</v>
      </c>
      <c r="E296" s="47">
        <f t="shared" si="37"/>
        <v>11840647.310000001</v>
      </c>
      <c r="F296" s="33">
        <f t="shared" si="33"/>
        <v>947251784.54000008</v>
      </c>
      <c r="G296" s="47">
        <f t="shared" si="34"/>
        <v>946017598.85000002</v>
      </c>
    </row>
    <row r="297" spans="1:7" x14ac:dyDescent="0.25">
      <c r="A297" s="36">
        <v>43743</v>
      </c>
      <c r="B297" s="71">
        <f t="shared" si="35"/>
        <v>30</v>
      </c>
      <c r="C297" s="33">
        <f t="shared" si="36"/>
        <v>13074833</v>
      </c>
      <c r="D297" s="48">
        <f t="shared" si="32"/>
        <v>1249613.0099999998</v>
      </c>
      <c r="E297" s="47">
        <f t="shared" si="37"/>
        <v>11825219.99</v>
      </c>
      <c r="F297" s="33">
        <f t="shared" si="33"/>
        <v>946017598.85000002</v>
      </c>
      <c r="G297" s="47">
        <f t="shared" si="34"/>
        <v>944767985.84000003</v>
      </c>
    </row>
    <row r="298" spans="1:7" x14ac:dyDescent="0.25">
      <c r="A298" s="36">
        <v>43774</v>
      </c>
      <c r="B298" s="71">
        <f t="shared" si="35"/>
        <v>30</v>
      </c>
      <c r="C298" s="33">
        <f t="shared" si="36"/>
        <v>13074833</v>
      </c>
      <c r="D298" s="48">
        <f t="shared" si="32"/>
        <v>1265233.1799999997</v>
      </c>
      <c r="E298" s="47">
        <f t="shared" si="37"/>
        <v>11809599.82</v>
      </c>
      <c r="F298" s="33">
        <f t="shared" si="33"/>
        <v>944767985.84000003</v>
      </c>
      <c r="G298" s="47">
        <f t="shared" si="34"/>
        <v>943502752.66000009</v>
      </c>
    </row>
    <row r="299" spans="1:7" x14ac:dyDescent="0.25">
      <c r="A299" s="36">
        <v>43804</v>
      </c>
      <c r="B299" s="71">
        <f t="shared" si="35"/>
        <v>30</v>
      </c>
      <c r="C299" s="33">
        <f t="shared" si="36"/>
        <v>13074833</v>
      </c>
      <c r="D299" s="48">
        <f t="shared" si="32"/>
        <v>1281048.5899999999</v>
      </c>
      <c r="E299" s="47">
        <f t="shared" si="37"/>
        <v>11793784.41</v>
      </c>
      <c r="F299" s="33">
        <f t="shared" si="33"/>
        <v>943502752.66000009</v>
      </c>
      <c r="G299" s="47">
        <f t="shared" si="34"/>
        <v>942221704.07000005</v>
      </c>
    </row>
    <row r="300" spans="1:7" x14ac:dyDescent="0.25">
      <c r="A300" s="36">
        <v>43835</v>
      </c>
      <c r="B300" s="71">
        <f t="shared" si="35"/>
        <v>30</v>
      </c>
      <c r="C300" s="33">
        <f t="shared" si="36"/>
        <v>13074833</v>
      </c>
      <c r="D300" s="48">
        <f t="shared" si="32"/>
        <v>1297061.6999999993</v>
      </c>
      <c r="E300" s="47">
        <f t="shared" si="37"/>
        <v>11777771.300000001</v>
      </c>
      <c r="F300" s="33">
        <f t="shared" si="33"/>
        <v>942221704.07000005</v>
      </c>
      <c r="G300" s="47">
        <f t="shared" si="34"/>
        <v>940924642.37</v>
      </c>
    </row>
    <row r="301" spans="1:7" x14ac:dyDescent="0.25">
      <c r="A301" s="36">
        <v>43866</v>
      </c>
      <c r="B301" s="71">
        <f t="shared" si="35"/>
        <v>30</v>
      </c>
      <c r="C301" s="33">
        <f t="shared" si="36"/>
        <v>13074833</v>
      </c>
      <c r="D301" s="48">
        <f t="shared" si="32"/>
        <v>1313274.9700000007</v>
      </c>
      <c r="E301" s="47">
        <f t="shared" si="37"/>
        <v>11761558.029999999</v>
      </c>
      <c r="F301" s="33">
        <f t="shared" si="33"/>
        <v>940924642.37</v>
      </c>
      <c r="G301" s="47">
        <f t="shared" si="34"/>
        <v>939611367.39999998</v>
      </c>
    </row>
    <row r="302" spans="1:7" x14ac:dyDescent="0.25">
      <c r="A302" s="36">
        <v>43895</v>
      </c>
      <c r="B302" s="71">
        <f t="shared" si="35"/>
        <v>30</v>
      </c>
      <c r="C302" s="33">
        <f t="shared" si="36"/>
        <v>13074833</v>
      </c>
      <c r="D302" s="48">
        <f t="shared" si="32"/>
        <v>1329690.9100000001</v>
      </c>
      <c r="E302" s="47">
        <f t="shared" si="37"/>
        <v>11745142.09</v>
      </c>
      <c r="F302" s="33">
        <f t="shared" si="33"/>
        <v>939611367.39999998</v>
      </c>
      <c r="G302" s="47">
        <f t="shared" si="34"/>
        <v>938281676.49000001</v>
      </c>
    </row>
    <row r="303" spans="1:7" x14ac:dyDescent="0.25">
      <c r="A303" s="36">
        <v>43926</v>
      </c>
      <c r="B303" s="71">
        <f t="shared" si="35"/>
        <v>30</v>
      </c>
      <c r="C303" s="33">
        <f t="shared" si="36"/>
        <v>13074833</v>
      </c>
      <c r="D303" s="48">
        <f t="shared" si="32"/>
        <v>1346312.0399999991</v>
      </c>
      <c r="E303" s="47">
        <f t="shared" si="37"/>
        <v>11728520.960000001</v>
      </c>
      <c r="F303" s="33">
        <f t="shared" si="33"/>
        <v>938281676.49000001</v>
      </c>
      <c r="G303" s="47">
        <f t="shared" si="34"/>
        <v>936935364.45000005</v>
      </c>
    </row>
    <row r="304" spans="1:7" x14ac:dyDescent="0.25">
      <c r="A304" s="36">
        <v>43956</v>
      </c>
      <c r="B304" s="71">
        <f t="shared" si="35"/>
        <v>30</v>
      </c>
      <c r="C304" s="33">
        <f t="shared" si="36"/>
        <v>13074833</v>
      </c>
      <c r="D304" s="48">
        <f t="shared" si="32"/>
        <v>1363140.9399999995</v>
      </c>
      <c r="E304" s="47">
        <f t="shared" si="37"/>
        <v>11711692.060000001</v>
      </c>
      <c r="F304" s="33">
        <f t="shared" si="33"/>
        <v>936935364.45000005</v>
      </c>
      <c r="G304" s="47">
        <f t="shared" si="34"/>
        <v>935572223.50999999</v>
      </c>
    </row>
    <row r="305" spans="1:7" x14ac:dyDescent="0.25">
      <c r="A305" s="36">
        <v>43987</v>
      </c>
      <c r="B305" s="71">
        <f t="shared" si="35"/>
        <v>30</v>
      </c>
      <c r="C305" s="33">
        <f t="shared" si="36"/>
        <v>13074833</v>
      </c>
      <c r="D305" s="48">
        <f t="shared" si="32"/>
        <v>1380180.2100000009</v>
      </c>
      <c r="E305" s="47">
        <f t="shared" si="37"/>
        <v>11694652.789999999</v>
      </c>
      <c r="F305" s="33">
        <f t="shared" si="33"/>
        <v>935572223.50999999</v>
      </c>
      <c r="G305" s="47">
        <f t="shared" si="34"/>
        <v>934192043.29999995</v>
      </c>
    </row>
    <row r="306" spans="1:7" x14ac:dyDescent="0.25">
      <c r="A306" s="36">
        <v>44017</v>
      </c>
      <c r="B306" s="71">
        <f t="shared" si="35"/>
        <v>30</v>
      </c>
      <c r="C306" s="33">
        <f t="shared" si="36"/>
        <v>13074833</v>
      </c>
      <c r="D306" s="48">
        <f t="shared" si="32"/>
        <v>1397432.4600000009</v>
      </c>
      <c r="E306" s="47">
        <f t="shared" si="37"/>
        <v>11677400.539999999</v>
      </c>
      <c r="F306" s="33">
        <f t="shared" si="33"/>
        <v>934192043.29999995</v>
      </c>
      <c r="G306" s="47">
        <f t="shared" si="34"/>
        <v>932794610.83999991</v>
      </c>
    </row>
    <row r="307" spans="1:7" x14ac:dyDescent="0.25">
      <c r="A307" s="36">
        <v>44048</v>
      </c>
      <c r="B307" s="71">
        <f t="shared" si="35"/>
        <v>30</v>
      </c>
      <c r="C307" s="33">
        <f t="shared" si="36"/>
        <v>13074833</v>
      </c>
      <c r="D307" s="48">
        <f t="shared" si="32"/>
        <v>1414900.3599999994</v>
      </c>
      <c r="E307" s="47">
        <f t="shared" si="37"/>
        <v>11659932.640000001</v>
      </c>
      <c r="F307" s="33">
        <f t="shared" si="33"/>
        <v>932794610.83999991</v>
      </c>
      <c r="G307" s="47">
        <f t="shared" si="34"/>
        <v>931379710.4799999</v>
      </c>
    </row>
    <row r="308" spans="1:7" x14ac:dyDescent="0.25">
      <c r="A308" s="36">
        <v>44079</v>
      </c>
      <c r="B308" s="71">
        <f t="shared" si="35"/>
        <v>30</v>
      </c>
      <c r="C308" s="33">
        <f t="shared" si="36"/>
        <v>13074833</v>
      </c>
      <c r="D308" s="48">
        <f t="shared" si="32"/>
        <v>1432586.6199999992</v>
      </c>
      <c r="E308" s="47">
        <f t="shared" si="37"/>
        <v>11642246.380000001</v>
      </c>
      <c r="F308" s="33">
        <f t="shared" si="33"/>
        <v>931379710.4799999</v>
      </c>
      <c r="G308" s="47">
        <f t="shared" si="34"/>
        <v>929947123.8599999</v>
      </c>
    </row>
    <row r="309" spans="1:7" x14ac:dyDescent="0.25">
      <c r="A309" s="36">
        <v>44109</v>
      </c>
      <c r="B309" s="71">
        <f t="shared" si="35"/>
        <v>30</v>
      </c>
      <c r="C309" s="33">
        <f t="shared" si="36"/>
        <v>13074833</v>
      </c>
      <c r="D309" s="48">
        <f t="shared" si="32"/>
        <v>1450493.9499999993</v>
      </c>
      <c r="E309" s="47">
        <f t="shared" si="37"/>
        <v>11624339.050000001</v>
      </c>
      <c r="F309" s="33">
        <f t="shared" si="33"/>
        <v>929947123.8599999</v>
      </c>
      <c r="G309" s="47">
        <f t="shared" si="34"/>
        <v>928496629.90999985</v>
      </c>
    </row>
    <row r="310" spans="1:7" x14ac:dyDescent="0.25">
      <c r="A310" s="36">
        <v>44140</v>
      </c>
      <c r="B310" s="71">
        <f t="shared" si="35"/>
        <v>30</v>
      </c>
      <c r="C310" s="33">
        <f t="shared" si="36"/>
        <v>13074833</v>
      </c>
      <c r="D310" s="48">
        <f t="shared" ref="D310:D373" si="38">C310-E310</f>
        <v>1468625.1300000008</v>
      </c>
      <c r="E310" s="47">
        <f t="shared" si="37"/>
        <v>11606207.869999999</v>
      </c>
      <c r="F310" s="33">
        <f t="shared" ref="F310:F373" si="39">G309</f>
        <v>928496629.90999985</v>
      </c>
      <c r="G310" s="47">
        <f t="shared" ref="G310:G373" si="40">F310-D310</f>
        <v>927028004.77999985</v>
      </c>
    </row>
    <row r="311" spans="1:7" x14ac:dyDescent="0.25">
      <c r="A311" s="36">
        <v>44170</v>
      </c>
      <c r="B311" s="71">
        <f t="shared" ref="B311:B374" si="41">DAYS360(A310,A311,TRUE)</f>
        <v>30</v>
      </c>
      <c r="C311" s="33">
        <f t="shared" ref="C311:C374" si="42">$F$1</f>
        <v>13074833</v>
      </c>
      <c r="D311" s="48">
        <f t="shared" si="38"/>
        <v>1486982.9399999995</v>
      </c>
      <c r="E311" s="47">
        <f t="shared" ref="E311:E374" si="43">ROUND(F311*$B$2*B311/360,2)</f>
        <v>11587850.060000001</v>
      </c>
      <c r="F311" s="33">
        <f t="shared" si="39"/>
        <v>927028004.77999985</v>
      </c>
      <c r="G311" s="47">
        <f t="shared" si="40"/>
        <v>925541021.83999979</v>
      </c>
    </row>
    <row r="312" spans="1:7" x14ac:dyDescent="0.25">
      <c r="A312" s="36">
        <v>44201</v>
      </c>
      <c r="B312" s="71">
        <f t="shared" si="41"/>
        <v>30</v>
      </c>
      <c r="C312" s="33">
        <f t="shared" si="42"/>
        <v>13074833</v>
      </c>
      <c r="D312" s="48">
        <f t="shared" si="38"/>
        <v>1505570.2300000004</v>
      </c>
      <c r="E312" s="47">
        <f t="shared" si="43"/>
        <v>11569262.77</v>
      </c>
      <c r="F312" s="33">
        <f t="shared" si="39"/>
        <v>925541021.83999979</v>
      </c>
      <c r="G312" s="47">
        <f t="shared" si="40"/>
        <v>924035451.60999978</v>
      </c>
    </row>
    <row r="313" spans="1:7" x14ac:dyDescent="0.25">
      <c r="A313" s="36">
        <v>44232</v>
      </c>
      <c r="B313" s="71">
        <f t="shared" si="41"/>
        <v>30</v>
      </c>
      <c r="C313" s="33">
        <f t="shared" si="42"/>
        <v>13074833</v>
      </c>
      <c r="D313" s="48">
        <f t="shared" si="38"/>
        <v>1524389.8499999996</v>
      </c>
      <c r="E313" s="47">
        <f t="shared" si="43"/>
        <v>11550443.15</v>
      </c>
      <c r="F313" s="33">
        <f t="shared" si="39"/>
        <v>924035451.60999978</v>
      </c>
      <c r="G313" s="47">
        <f t="shared" si="40"/>
        <v>922511061.75999975</v>
      </c>
    </row>
    <row r="314" spans="1:7" x14ac:dyDescent="0.25">
      <c r="A314" s="36">
        <v>44260</v>
      </c>
      <c r="B314" s="71">
        <f t="shared" si="41"/>
        <v>30</v>
      </c>
      <c r="C314" s="33">
        <f t="shared" si="42"/>
        <v>13074833</v>
      </c>
      <c r="D314" s="48">
        <f t="shared" si="38"/>
        <v>1543444.7300000004</v>
      </c>
      <c r="E314" s="47">
        <f t="shared" si="43"/>
        <v>11531388.27</v>
      </c>
      <c r="F314" s="33">
        <f t="shared" si="39"/>
        <v>922511061.75999975</v>
      </c>
      <c r="G314" s="47">
        <f t="shared" si="40"/>
        <v>920967617.02999973</v>
      </c>
    </row>
    <row r="315" spans="1:7" x14ac:dyDescent="0.25">
      <c r="A315" s="36">
        <v>44291</v>
      </c>
      <c r="B315" s="71">
        <f t="shared" si="41"/>
        <v>30</v>
      </c>
      <c r="C315" s="33">
        <f t="shared" si="42"/>
        <v>13074833</v>
      </c>
      <c r="D315" s="48">
        <f t="shared" si="38"/>
        <v>1562737.7899999991</v>
      </c>
      <c r="E315" s="47">
        <f t="shared" si="43"/>
        <v>11512095.210000001</v>
      </c>
      <c r="F315" s="33">
        <f t="shared" si="39"/>
        <v>920967617.02999973</v>
      </c>
      <c r="G315" s="47">
        <f t="shared" si="40"/>
        <v>919404879.23999977</v>
      </c>
    </row>
    <row r="316" spans="1:7" x14ac:dyDescent="0.25">
      <c r="A316" s="36">
        <v>44321</v>
      </c>
      <c r="B316" s="71">
        <f t="shared" si="41"/>
        <v>30</v>
      </c>
      <c r="C316" s="33">
        <f t="shared" si="42"/>
        <v>13074833</v>
      </c>
      <c r="D316" s="48">
        <f t="shared" si="38"/>
        <v>1582272.0099999998</v>
      </c>
      <c r="E316" s="47">
        <f t="shared" si="43"/>
        <v>11492560.99</v>
      </c>
      <c r="F316" s="33">
        <f t="shared" si="39"/>
        <v>919404879.23999977</v>
      </c>
      <c r="G316" s="47">
        <f t="shared" si="40"/>
        <v>917822607.22999978</v>
      </c>
    </row>
    <row r="317" spans="1:7" x14ac:dyDescent="0.25">
      <c r="A317" s="36">
        <v>44352</v>
      </c>
      <c r="B317" s="71">
        <f t="shared" si="41"/>
        <v>30</v>
      </c>
      <c r="C317" s="33">
        <f t="shared" si="42"/>
        <v>13074833</v>
      </c>
      <c r="D317" s="48">
        <f t="shared" si="38"/>
        <v>1602050.4100000001</v>
      </c>
      <c r="E317" s="47">
        <f t="shared" si="43"/>
        <v>11472782.59</v>
      </c>
      <c r="F317" s="33">
        <f t="shared" si="39"/>
        <v>917822607.22999978</v>
      </c>
      <c r="G317" s="47">
        <f t="shared" si="40"/>
        <v>916220556.81999981</v>
      </c>
    </row>
    <row r="318" spans="1:7" x14ac:dyDescent="0.25">
      <c r="A318" s="36">
        <v>44382</v>
      </c>
      <c r="B318" s="71">
        <f t="shared" si="41"/>
        <v>30</v>
      </c>
      <c r="C318" s="33">
        <f t="shared" si="42"/>
        <v>13074833</v>
      </c>
      <c r="D318" s="48">
        <f t="shared" si="38"/>
        <v>1622076.0399999991</v>
      </c>
      <c r="E318" s="47">
        <f t="shared" si="43"/>
        <v>11452756.960000001</v>
      </c>
      <c r="F318" s="33">
        <f t="shared" si="39"/>
        <v>916220556.81999981</v>
      </c>
      <c r="G318" s="47">
        <f t="shared" si="40"/>
        <v>914598480.77999985</v>
      </c>
    </row>
    <row r="319" spans="1:7" x14ac:dyDescent="0.25">
      <c r="A319" s="36">
        <v>44413</v>
      </c>
      <c r="B319" s="71">
        <f t="shared" si="41"/>
        <v>30</v>
      </c>
      <c r="C319" s="33">
        <f t="shared" si="42"/>
        <v>13074833</v>
      </c>
      <c r="D319" s="48">
        <f t="shared" si="38"/>
        <v>1642351.9900000002</v>
      </c>
      <c r="E319" s="47">
        <f t="shared" si="43"/>
        <v>11432481.01</v>
      </c>
      <c r="F319" s="33">
        <f t="shared" si="39"/>
        <v>914598480.77999985</v>
      </c>
      <c r="G319" s="47">
        <f t="shared" si="40"/>
        <v>912956128.78999984</v>
      </c>
    </row>
    <row r="320" spans="1:7" x14ac:dyDescent="0.25">
      <c r="A320" s="36">
        <v>44444</v>
      </c>
      <c r="B320" s="71">
        <f t="shared" si="41"/>
        <v>30</v>
      </c>
      <c r="C320" s="33">
        <f t="shared" si="42"/>
        <v>13074833</v>
      </c>
      <c r="D320" s="48">
        <f t="shared" si="38"/>
        <v>1662881.3900000006</v>
      </c>
      <c r="E320" s="47">
        <f t="shared" si="43"/>
        <v>11411951.609999999</v>
      </c>
      <c r="F320" s="33">
        <f t="shared" si="39"/>
        <v>912956128.78999984</v>
      </c>
      <c r="G320" s="47">
        <f t="shared" si="40"/>
        <v>911293247.39999986</v>
      </c>
    </row>
    <row r="321" spans="1:7" x14ac:dyDescent="0.25">
      <c r="A321" s="36">
        <v>44474</v>
      </c>
      <c r="B321" s="71">
        <f t="shared" si="41"/>
        <v>30</v>
      </c>
      <c r="C321" s="33">
        <f t="shared" si="42"/>
        <v>13074833</v>
      </c>
      <c r="D321" s="48">
        <f t="shared" si="38"/>
        <v>1683667.4100000001</v>
      </c>
      <c r="E321" s="47">
        <f t="shared" si="43"/>
        <v>11391165.59</v>
      </c>
      <c r="F321" s="33">
        <f t="shared" si="39"/>
        <v>911293247.39999986</v>
      </c>
      <c r="G321" s="47">
        <f t="shared" si="40"/>
        <v>909609579.98999989</v>
      </c>
    </row>
    <row r="322" spans="1:7" x14ac:dyDescent="0.25">
      <c r="A322" s="36">
        <v>44505</v>
      </c>
      <c r="B322" s="71">
        <f t="shared" si="41"/>
        <v>30</v>
      </c>
      <c r="C322" s="33">
        <f t="shared" si="42"/>
        <v>13074833</v>
      </c>
      <c r="D322" s="48">
        <f t="shared" si="38"/>
        <v>1704713.25</v>
      </c>
      <c r="E322" s="47">
        <f t="shared" si="43"/>
        <v>11370119.75</v>
      </c>
      <c r="F322" s="33">
        <f t="shared" si="39"/>
        <v>909609579.98999989</v>
      </c>
      <c r="G322" s="47">
        <f t="shared" si="40"/>
        <v>907904866.73999989</v>
      </c>
    </row>
    <row r="323" spans="1:7" x14ac:dyDescent="0.25">
      <c r="A323" s="36">
        <v>44535</v>
      </c>
      <c r="B323" s="71">
        <f t="shared" si="41"/>
        <v>30</v>
      </c>
      <c r="C323" s="33">
        <f t="shared" si="42"/>
        <v>13074833</v>
      </c>
      <c r="D323" s="48">
        <f t="shared" si="38"/>
        <v>1726022.17</v>
      </c>
      <c r="E323" s="47">
        <f t="shared" si="43"/>
        <v>11348810.83</v>
      </c>
      <c r="F323" s="33">
        <f t="shared" si="39"/>
        <v>907904866.73999989</v>
      </c>
      <c r="G323" s="47">
        <f t="shared" si="40"/>
        <v>906178844.56999993</v>
      </c>
    </row>
    <row r="324" spans="1:7" x14ac:dyDescent="0.25">
      <c r="A324" s="36">
        <v>44566</v>
      </c>
      <c r="B324" s="71">
        <f t="shared" si="41"/>
        <v>30</v>
      </c>
      <c r="C324" s="33">
        <f t="shared" si="42"/>
        <v>13074833</v>
      </c>
      <c r="D324" s="48">
        <f t="shared" si="38"/>
        <v>1747597.4399999995</v>
      </c>
      <c r="E324" s="47">
        <f t="shared" si="43"/>
        <v>11327235.560000001</v>
      </c>
      <c r="F324" s="33">
        <f t="shared" si="39"/>
        <v>906178844.56999993</v>
      </c>
      <c r="G324" s="47">
        <f t="shared" si="40"/>
        <v>904431247.12999988</v>
      </c>
    </row>
    <row r="325" spans="1:7" x14ac:dyDescent="0.25">
      <c r="A325" s="36">
        <v>44597</v>
      </c>
      <c r="B325" s="71">
        <f t="shared" si="41"/>
        <v>30</v>
      </c>
      <c r="C325" s="33">
        <f t="shared" si="42"/>
        <v>13074833</v>
      </c>
      <c r="D325" s="48">
        <f t="shared" si="38"/>
        <v>1769442.4100000001</v>
      </c>
      <c r="E325" s="47">
        <f t="shared" si="43"/>
        <v>11305390.59</v>
      </c>
      <c r="F325" s="33">
        <f t="shared" si="39"/>
        <v>904431247.12999988</v>
      </c>
      <c r="G325" s="47">
        <f t="shared" si="40"/>
        <v>902661804.71999991</v>
      </c>
    </row>
    <row r="326" spans="1:7" x14ac:dyDescent="0.25">
      <c r="A326" s="36">
        <v>44625</v>
      </c>
      <c r="B326" s="71">
        <f t="shared" si="41"/>
        <v>30</v>
      </c>
      <c r="C326" s="33">
        <f t="shared" si="42"/>
        <v>13074833</v>
      </c>
      <c r="D326" s="48">
        <f t="shared" si="38"/>
        <v>1791560.4399999995</v>
      </c>
      <c r="E326" s="47">
        <f t="shared" si="43"/>
        <v>11283272.560000001</v>
      </c>
      <c r="F326" s="33">
        <f t="shared" si="39"/>
        <v>902661804.71999991</v>
      </c>
      <c r="G326" s="47">
        <f t="shared" si="40"/>
        <v>900870244.27999985</v>
      </c>
    </row>
    <row r="327" spans="1:7" x14ac:dyDescent="0.25">
      <c r="A327" s="36">
        <v>44656</v>
      </c>
      <c r="B327" s="71">
        <f t="shared" si="41"/>
        <v>30</v>
      </c>
      <c r="C327" s="33">
        <f t="shared" si="42"/>
        <v>13074833</v>
      </c>
      <c r="D327" s="48">
        <f t="shared" si="38"/>
        <v>1813954.9499999993</v>
      </c>
      <c r="E327" s="47">
        <f t="shared" si="43"/>
        <v>11260878.050000001</v>
      </c>
      <c r="F327" s="33">
        <f t="shared" si="39"/>
        <v>900870244.27999985</v>
      </c>
      <c r="G327" s="47">
        <f t="shared" si="40"/>
        <v>899056289.3299998</v>
      </c>
    </row>
    <row r="328" spans="1:7" x14ac:dyDescent="0.25">
      <c r="A328" s="36">
        <v>44686</v>
      </c>
      <c r="B328" s="71">
        <f t="shared" si="41"/>
        <v>30</v>
      </c>
      <c r="C328" s="33">
        <f t="shared" si="42"/>
        <v>13074833</v>
      </c>
      <c r="D328" s="48">
        <f t="shared" si="38"/>
        <v>1836629.3800000008</v>
      </c>
      <c r="E328" s="47">
        <f t="shared" si="43"/>
        <v>11238203.619999999</v>
      </c>
      <c r="F328" s="33">
        <f t="shared" si="39"/>
        <v>899056289.3299998</v>
      </c>
      <c r="G328" s="47">
        <f t="shared" si="40"/>
        <v>897219659.94999981</v>
      </c>
    </row>
    <row r="329" spans="1:7" x14ac:dyDescent="0.25">
      <c r="A329" s="36">
        <v>44717</v>
      </c>
      <c r="B329" s="71">
        <f t="shared" si="41"/>
        <v>30</v>
      </c>
      <c r="C329" s="33">
        <f t="shared" si="42"/>
        <v>13074833</v>
      </c>
      <c r="D329" s="48">
        <f t="shared" si="38"/>
        <v>1859587.25</v>
      </c>
      <c r="E329" s="47">
        <f t="shared" si="43"/>
        <v>11215245.75</v>
      </c>
      <c r="F329" s="33">
        <f t="shared" si="39"/>
        <v>897219659.94999981</v>
      </c>
      <c r="G329" s="47">
        <f t="shared" si="40"/>
        <v>895360072.69999981</v>
      </c>
    </row>
    <row r="330" spans="1:7" x14ac:dyDescent="0.25">
      <c r="A330" s="36">
        <v>44747</v>
      </c>
      <c r="B330" s="71">
        <f t="shared" si="41"/>
        <v>30</v>
      </c>
      <c r="C330" s="33">
        <f t="shared" si="42"/>
        <v>13074833</v>
      </c>
      <c r="D330" s="48">
        <f t="shared" si="38"/>
        <v>1882832.0899999999</v>
      </c>
      <c r="E330" s="47">
        <f t="shared" si="43"/>
        <v>11192000.91</v>
      </c>
      <c r="F330" s="33">
        <f t="shared" si="39"/>
        <v>895360072.69999981</v>
      </c>
      <c r="G330" s="47">
        <f t="shared" si="40"/>
        <v>893477240.60999978</v>
      </c>
    </row>
    <row r="331" spans="1:7" x14ac:dyDescent="0.25">
      <c r="A331" s="36">
        <v>44778</v>
      </c>
      <c r="B331" s="71">
        <f t="shared" si="41"/>
        <v>30</v>
      </c>
      <c r="C331" s="33">
        <f t="shared" si="42"/>
        <v>13074833</v>
      </c>
      <c r="D331" s="48">
        <f t="shared" si="38"/>
        <v>1906367.4900000002</v>
      </c>
      <c r="E331" s="47">
        <f t="shared" si="43"/>
        <v>11168465.51</v>
      </c>
      <c r="F331" s="33">
        <f t="shared" si="39"/>
        <v>893477240.60999978</v>
      </c>
      <c r="G331" s="47">
        <f t="shared" si="40"/>
        <v>891570873.11999977</v>
      </c>
    </row>
    <row r="332" spans="1:7" x14ac:dyDescent="0.25">
      <c r="A332" s="36">
        <v>44809</v>
      </c>
      <c r="B332" s="71">
        <f t="shared" si="41"/>
        <v>30</v>
      </c>
      <c r="C332" s="33">
        <f t="shared" si="42"/>
        <v>13074833</v>
      </c>
      <c r="D332" s="48">
        <f t="shared" si="38"/>
        <v>1930197.0899999999</v>
      </c>
      <c r="E332" s="47">
        <f t="shared" si="43"/>
        <v>11144635.91</v>
      </c>
      <c r="F332" s="33">
        <f t="shared" si="39"/>
        <v>891570873.11999977</v>
      </c>
      <c r="G332" s="47">
        <f t="shared" si="40"/>
        <v>889640676.02999973</v>
      </c>
    </row>
    <row r="333" spans="1:7" x14ac:dyDescent="0.25">
      <c r="A333" s="36">
        <v>44839</v>
      </c>
      <c r="B333" s="71">
        <f t="shared" si="41"/>
        <v>30</v>
      </c>
      <c r="C333" s="33">
        <f t="shared" si="42"/>
        <v>13074833</v>
      </c>
      <c r="D333" s="48">
        <f t="shared" si="38"/>
        <v>1954324.5500000007</v>
      </c>
      <c r="E333" s="47">
        <f t="shared" si="43"/>
        <v>11120508.449999999</v>
      </c>
      <c r="F333" s="33">
        <f t="shared" si="39"/>
        <v>889640676.02999973</v>
      </c>
      <c r="G333" s="47">
        <f t="shared" si="40"/>
        <v>887686351.47999978</v>
      </c>
    </row>
    <row r="334" spans="1:7" x14ac:dyDescent="0.25">
      <c r="A334" s="36">
        <v>44870</v>
      </c>
      <c r="B334" s="71">
        <f t="shared" si="41"/>
        <v>30</v>
      </c>
      <c r="C334" s="33">
        <f t="shared" si="42"/>
        <v>13074833</v>
      </c>
      <c r="D334" s="48">
        <f t="shared" si="38"/>
        <v>1978753.6099999994</v>
      </c>
      <c r="E334" s="47">
        <f t="shared" si="43"/>
        <v>11096079.390000001</v>
      </c>
      <c r="F334" s="33">
        <f t="shared" si="39"/>
        <v>887686351.47999978</v>
      </c>
      <c r="G334" s="47">
        <f t="shared" si="40"/>
        <v>885707597.86999977</v>
      </c>
    </row>
    <row r="335" spans="1:7" x14ac:dyDescent="0.25">
      <c r="A335" s="36">
        <v>44900</v>
      </c>
      <c r="B335" s="71">
        <f t="shared" si="41"/>
        <v>30</v>
      </c>
      <c r="C335" s="33">
        <f t="shared" si="42"/>
        <v>13074833</v>
      </c>
      <c r="D335" s="48">
        <f t="shared" si="38"/>
        <v>2003488.0299999993</v>
      </c>
      <c r="E335" s="47">
        <f t="shared" si="43"/>
        <v>11071344.970000001</v>
      </c>
      <c r="F335" s="33">
        <f t="shared" si="39"/>
        <v>885707597.86999977</v>
      </c>
      <c r="G335" s="47">
        <f t="shared" si="40"/>
        <v>883704109.83999979</v>
      </c>
    </row>
    <row r="336" spans="1:7" x14ac:dyDescent="0.25">
      <c r="A336" s="36">
        <v>44931</v>
      </c>
      <c r="B336" s="71">
        <f t="shared" si="41"/>
        <v>30</v>
      </c>
      <c r="C336" s="33">
        <f t="shared" si="42"/>
        <v>13074833</v>
      </c>
      <c r="D336" s="48">
        <f t="shared" si="38"/>
        <v>2028531.6300000008</v>
      </c>
      <c r="E336" s="47">
        <f t="shared" si="43"/>
        <v>11046301.369999999</v>
      </c>
      <c r="F336" s="33">
        <f t="shared" si="39"/>
        <v>883704109.83999979</v>
      </c>
      <c r="G336" s="47">
        <f t="shared" si="40"/>
        <v>881675578.2099998</v>
      </c>
    </row>
    <row r="337" spans="1:7" x14ac:dyDescent="0.25">
      <c r="A337" s="36">
        <v>44962</v>
      </c>
      <c r="B337" s="71">
        <f t="shared" si="41"/>
        <v>30</v>
      </c>
      <c r="C337" s="33">
        <f t="shared" si="42"/>
        <v>13074833</v>
      </c>
      <c r="D337" s="48">
        <f t="shared" si="38"/>
        <v>2053888.2699999996</v>
      </c>
      <c r="E337" s="47">
        <f t="shared" si="43"/>
        <v>11020944.73</v>
      </c>
      <c r="F337" s="33">
        <f t="shared" si="39"/>
        <v>881675578.2099998</v>
      </c>
      <c r="G337" s="47">
        <f t="shared" si="40"/>
        <v>879621689.93999982</v>
      </c>
    </row>
    <row r="338" spans="1:7" x14ac:dyDescent="0.25">
      <c r="A338" s="36">
        <v>44990</v>
      </c>
      <c r="B338" s="71">
        <f t="shared" si="41"/>
        <v>30</v>
      </c>
      <c r="C338" s="33">
        <f t="shared" si="42"/>
        <v>13074833</v>
      </c>
      <c r="D338" s="48">
        <f t="shared" si="38"/>
        <v>2079561.8800000008</v>
      </c>
      <c r="E338" s="47">
        <f t="shared" si="43"/>
        <v>10995271.119999999</v>
      </c>
      <c r="F338" s="33">
        <f t="shared" si="39"/>
        <v>879621689.93999982</v>
      </c>
      <c r="G338" s="47">
        <f t="shared" si="40"/>
        <v>877542128.05999982</v>
      </c>
    </row>
    <row r="339" spans="1:7" x14ac:dyDescent="0.25">
      <c r="A339" s="36">
        <v>45021</v>
      </c>
      <c r="B339" s="71">
        <f t="shared" si="41"/>
        <v>30</v>
      </c>
      <c r="C339" s="33">
        <f t="shared" si="42"/>
        <v>13074833</v>
      </c>
      <c r="D339" s="48">
        <f t="shared" si="38"/>
        <v>2105556.4000000004</v>
      </c>
      <c r="E339" s="47">
        <f t="shared" si="43"/>
        <v>10969276.6</v>
      </c>
      <c r="F339" s="33">
        <f t="shared" si="39"/>
        <v>877542128.05999982</v>
      </c>
      <c r="G339" s="47">
        <f t="shared" si="40"/>
        <v>875436571.65999985</v>
      </c>
    </row>
    <row r="340" spans="1:7" x14ac:dyDescent="0.25">
      <c r="A340" s="36">
        <v>45051</v>
      </c>
      <c r="B340" s="71">
        <f t="shared" si="41"/>
        <v>30</v>
      </c>
      <c r="C340" s="33">
        <f t="shared" si="42"/>
        <v>13074833</v>
      </c>
      <c r="D340" s="48">
        <f t="shared" si="38"/>
        <v>2131875.8499999996</v>
      </c>
      <c r="E340" s="47">
        <f t="shared" si="43"/>
        <v>10942957.15</v>
      </c>
      <c r="F340" s="33">
        <f t="shared" si="39"/>
        <v>875436571.65999985</v>
      </c>
      <c r="G340" s="47">
        <f t="shared" si="40"/>
        <v>873304695.80999982</v>
      </c>
    </row>
    <row r="341" spans="1:7" x14ac:dyDescent="0.25">
      <c r="A341" s="36">
        <v>45082</v>
      </c>
      <c r="B341" s="71">
        <f t="shared" si="41"/>
        <v>30</v>
      </c>
      <c r="C341" s="33">
        <f t="shared" si="42"/>
        <v>13074833</v>
      </c>
      <c r="D341" s="48">
        <f t="shared" si="38"/>
        <v>2158524.3000000007</v>
      </c>
      <c r="E341" s="47">
        <f t="shared" si="43"/>
        <v>10916308.699999999</v>
      </c>
      <c r="F341" s="33">
        <f t="shared" si="39"/>
        <v>873304695.80999982</v>
      </c>
      <c r="G341" s="47">
        <f t="shared" si="40"/>
        <v>871146171.50999987</v>
      </c>
    </row>
    <row r="342" spans="1:7" x14ac:dyDescent="0.25">
      <c r="A342" s="36">
        <v>45112</v>
      </c>
      <c r="B342" s="71">
        <f t="shared" si="41"/>
        <v>30</v>
      </c>
      <c r="C342" s="33">
        <f t="shared" si="42"/>
        <v>13074833</v>
      </c>
      <c r="D342" s="48">
        <f t="shared" si="38"/>
        <v>2185505.8599999994</v>
      </c>
      <c r="E342" s="47">
        <f t="shared" si="43"/>
        <v>10889327.140000001</v>
      </c>
      <c r="F342" s="33">
        <f t="shared" si="39"/>
        <v>871146171.50999987</v>
      </c>
      <c r="G342" s="47">
        <f t="shared" si="40"/>
        <v>868960665.64999986</v>
      </c>
    </row>
    <row r="343" spans="1:7" x14ac:dyDescent="0.25">
      <c r="A343" s="36">
        <v>45143</v>
      </c>
      <c r="B343" s="71">
        <f t="shared" si="41"/>
        <v>30</v>
      </c>
      <c r="C343" s="33">
        <f t="shared" si="42"/>
        <v>13074833</v>
      </c>
      <c r="D343" s="48">
        <f t="shared" si="38"/>
        <v>2212824.6799999997</v>
      </c>
      <c r="E343" s="47">
        <f t="shared" si="43"/>
        <v>10862008.32</v>
      </c>
      <c r="F343" s="33">
        <f t="shared" si="39"/>
        <v>868960665.64999986</v>
      </c>
      <c r="G343" s="47">
        <f t="shared" si="40"/>
        <v>866747840.96999991</v>
      </c>
    </row>
    <row r="344" spans="1:7" x14ac:dyDescent="0.25">
      <c r="A344" s="36">
        <v>45174</v>
      </c>
      <c r="B344" s="71">
        <f t="shared" si="41"/>
        <v>30</v>
      </c>
      <c r="C344" s="33">
        <f t="shared" si="42"/>
        <v>13074833</v>
      </c>
      <c r="D344" s="48">
        <f t="shared" si="38"/>
        <v>2240484.9900000002</v>
      </c>
      <c r="E344" s="47">
        <f t="shared" si="43"/>
        <v>10834348.01</v>
      </c>
      <c r="F344" s="33">
        <f t="shared" si="39"/>
        <v>866747840.96999991</v>
      </c>
      <c r="G344" s="47">
        <f t="shared" si="40"/>
        <v>864507355.9799999</v>
      </c>
    </row>
    <row r="345" spans="1:7" x14ac:dyDescent="0.25">
      <c r="A345" s="36">
        <v>45204</v>
      </c>
      <c r="B345" s="71">
        <f t="shared" si="41"/>
        <v>30</v>
      </c>
      <c r="C345" s="33">
        <f t="shared" si="42"/>
        <v>13074833</v>
      </c>
      <c r="D345" s="48">
        <f t="shared" si="38"/>
        <v>2268491.0500000007</v>
      </c>
      <c r="E345" s="47">
        <f t="shared" si="43"/>
        <v>10806341.949999999</v>
      </c>
      <c r="F345" s="33">
        <f t="shared" si="39"/>
        <v>864507355.9799999</v>
      </c>
      <c r="G345" s="47">
        <f t="shared" si="40"/>
        <v>862238864.92999995</v>
      </c>
    </row>
    <row r="346" spans="1:7" x14ac:dyDescent="0.25">
      <c r="A346" s="36">
        <v>45235</v>
      </c>
      <c r="B346" s="71">
        <f t="shared" si="41"/>
        <v>30</v>
      </c>
      <c r="C346" s="33">
        <f t="shared" si="42"/>
        <v>13074833</v>
      </c>
      <c r="D346" s="48">
        <f t="shared" si="38"/>
        <v>2296847.1899999995</v>
      </c>
      <c r="E346" s="47">
        <f t="shared" si="43"/>
        <v>10777985.810000001</v>
      </c>
      <c r="F346" s="33">
        <f t="shared" si="39"/>
        <v>862238864.92999995</v>
      </c>
      <c r="G346" s="47">
        <f t="shared" si="40"/>
        <v>859942017.73999989</v>
      </c>
    </row>
    <row r="347" spans="1:7" x14ac:dyDescent="0.25">
      <c r="A347" s="36">
        <v>45265</v>
      </c>
      <c r="B347" s="71">
        <f t="shared" si="41"/>
        <v>30</v>
      </c>
      <c r="C347" s="33">
        <f t="shared" si="42"/>
        <v>13074833</v>
      </c>
      <c r="D347" s="48">
        <f t="shared" si="38"/>
        <v>2325557.7799999993</v>
      </c>
      <c r="E347" s="47">
        <f t="shared" si="43"/>
        <v>10749275.220000001</v>
      </c>
      <c r="F347" s="33">
        <f t="shared" si="39"/>
        <v>859942017.73999989</v>
      </c>
      <c r="G347" s="47">
        <f t="shared" si="40"/>
        <v>857616459.95999992</v>
      </c>
    </row>
    <row r="348" spans="1:7" x14ac:dyDescent="0.25">
      <c r="A348" s="36">
        <v>45296</v>
      </c>
      <c r="B348" s="71">
        <f t="shared" si="41"/>
        <v>30</v>
      </c>
      <c r="C348" s="33">
        <f t="shared" si="42"/>
        <v>13074833</v>
      </c>
      <c r="D348" s="48">
        <f t="shared" si="38"/>
        <v>2354627.25</v>
      </c>
      <c r="E348" s="47">
        <f t="shared" si="43"/>
        <v>10720205.75</v>
      </c>
      <c r="F348" s="33">
        <f t="shared" si="39"/>
        <v>857616459.95999992</v>
      </c>
      <c r="G348" s="47">
        <f t="shared" si="40"/>
        <v>855261832.70999992</v>
      </c>
    </row>
    <row r="349" spans="1:7" x14ac:dyDescent="0.25">
      <c r="A349" s="36">
        <v>45327</v>
      </c>
      <c r="B349" s="71">
        <f t="shared" si="41"/>
        <v>30</v>
      </c>
      <c r="C349" s="33">
        <f t="shared" si="42"/>
        <v>13074833</v>
      </c>
      <c r="D349" s="48">
        <f t="shared" si="38"/>
        <v>2384060.09</v>
      </c>
      <c r="E349" s="47">
        <f t="shared" si="43"/>
        <v>10690772.91</v>
      </c>
      <c r="F349" s="33">
        <f t="shared" si="39"/>
        <v>855261832.70999992</v>
      </c>
      <c r="G349" s="47">
        <f t="shared" si="40"/>
        <v>852877772.61999989</v>
      </c>
    </row>
    <row r="350" spans="1:7" x14ac:dyDescent="0.25">
      <c r="A350" s="36">
        <v>45356</v>
      </c>
      <c r="B350" s="71">
        <f t="shared" si="41"/>
        <v>30</v>
      </c>
      <c r="C350" s="33">
        <f t="shared" si="42"/>
        <v>13074833</v>
      </c>
      <c r="D350" s="48">
        <f t="shared" si="38"/>
        <v>2413860.84</v>
      </c>
      <c r="E350" s="47">
        <f t="shared" si="43"/>
        <v>10660972.16</v>
      </c>
      <c r="F350" s="33">
        <f t="shared" si="39"/>
        <v>852877772.61999989</v>
      </c>
      <c r="G350" s="47">
        <f t="shared" si="40"/>
        <v>850463911.77999985</v>
      </c>
    </row>
    <row r="351" spans="1:7" x14ac:dyDescent="0.25">
      <c r="A351" s="36">
        <v>45387</v>
      </c>
      <c r="B351" s="71">
        <f t="shared" si="41"/>
        <v>30</v>
      </c>
      <c r="C351" s="33">
        <f t="shared" si="42"/>
        <v>13074833</v>
      </c>
      <c r="D351" s="48">
        <f t="shared" si="38"/>
        <v>2444034.0999999996</v>
      </c>
      <c r="E351" s="47">
        <f t="shared" si="43"/>
        <v>10630798.9</v>
      </c>
      <c r="F351" s="33">
        <f t="shared" si="39"/>
        <v>850463911.77999985</v>
      </c>
      <c r="G351" s="47">
        <f t="shared" si="40"/>
        <v>848019877.67999983</v>
      </c>
    </row>
    <row r="352" spans="1:7" x14ac:dyDescent="0.25">
      <c r="A352" s="36">
        <v>45417</v>
      </c>
      <c r="B352" s="71">
        <f t="shared" si="41"/>
        <v>30</v>
      </c>
      <c r="C352" s="33">
        <f t="shared" si="42"/>
        <v>13074833</v>
      </c>
      <c r="D352" s="48">
        <f t="shared" si="38"/>
        <v>2474584.5299999993</v>
      </c>
      <c r="E352" s="47">
        <f t="shared" si="43"/>
        <v>10600248.470000001</v>
      </c>
      <c r="F352" s="33">
        <f t="shared" si="39"/>
        <v>848019877.67999983</v>
      </c>
      <c r="G352" s="47">
        <f t="shared" si="40"/>
        <v>845545293.14999986</v>
      </c>
    </row>
    <row r="353" spans="1:7" x14ac:dyDescent="0.25">
      <c r="A353" s="36">
        <v>45448</v>
      </c>
      <c r="B353" s="71">
        <f t="shared" si="41"/>
        <v>30</v>
      </c>
      <c r="C353" s="33">
        <f t="shared" si="42"/>
        <v>13074833</v>
      </c>
      <c r="D353" s="48">
        <f t="shared" si="38"/>
        <v>2505516.84</v>
      </c>
      <c r="E353" s="47">
        <f t="shared" si="43"/>
        <v>10569316.16</v>
      </c>
      <c r="F353" s="33">
        <f t="shared" si="39"/>
        <v>845545293.14999986</v>
      </c>
      <c r="G353" s="47">
        <f t="shared" si="40"/>
        <v>843039776.30999982</v>
      </c>
    </row>
    <row r="354" spans="1:7" x14ac:dyDescent="0.25">
      <c r="A354" s="36">
        <v>45478</v>
      </c>
      <c r="B354" s="71">
        <f t="shared" si="41"/>
        <v>30</v>
      </c>
      <c r="C354" s="33">
        <f t="shared" si="42"/>
        <v>13074833</v>
      </c>
      <c r="D354" s="48">
        <f t="shared" si="38"/>
        <v>2536835.8000000007</v>
      </c>
      <c r="E354" s="47">
        <f t="shared" si="43"/>
        <v>10537997.199999999</v>
      </c>
      <c r="F354" s="33">
        <f t="shared" si="39"/>
        <v>843039776.30999982</v>
      </c>
      <c r="G354" s="47">
        <f t="shared" si="40"/>
        <v>840502940.50999987</v>
      </c>
    </row>
    <row r="355" spans="1:7" x14ac:dyDescent="0.25">
      <c r="A355" s="36">
        <v>45509</v>
      </c>
      <c r="B355" s="71">
        <f t="shared" si="41"/>
        <v>30</v>
      </c>
      <c r="C355" s="33">
        <f t="shared" si="42"/>
        <v>13074833</v>
      </c>
      <c r="D355" s="48">
        <f t="shared" si="38"/>
        <v>2568546.2400000002</v>
      </c>
      <c r="E355" s="47">
        <f t="shared" si="43"/>
        <v>10506286.76</v>
      </c>
      <c r="F355" s="33">
        <f t="shared" si="39"/>
        <v>840502940.50999987</v>
      </c>
      <c r="G355" s="47">
        <f t="shared" si="40"/>
        <v>837934394.26999986</v>
      </c>
    </row>
    <row r="356" spans="1:7" x14ac:dyDescent="0.25">
      <c r="A356" s="36">
        <v>45540</v>
      </c>
      <c r="B356" s="71">
        <f t="shared" si="41"/>
        <v>30</v>
      </c>
      <c r="C356" s="33">
        <f t="shared" si="42"/>
        <v>13074833</v>
      </c>
      <c r="D356" s="48">
        <f t="shared" si="38"/>
        <v>2600653.0700000003</v>
      </c>
      <c r="E356" s="47">
        <f t="shared" si="43"/>
        <v>10474179.93</v>
      </c>
      <c r="F356" s="33">
        <f t="shared" si="39"/>
        <v>837934394.26999986</v>
      </c>
      <c r="G356" s="47">
        <f t="shared" si="40"/>
        <v>835333741.19999981</v>
      </c>
    </row>
    <row r="357" spans="1:7" x14ac:dyDescent="0.25">
      <c r="A357" s="36">
        <v>45570</v>
      </c>
      <c r="B357" s="71">
        <f t="shared" si="41"/>
        <v>30</v>
      </c>
      <c r="C357" s="33">
        <f t="shared" si="42"/>
        <v>13074833</v>
      </c>
      <c r="D357" s="48">
        <f t="shared" si="38"/>
        <v>2633161.2300000004</v>
      </c>
      <c r="E357" s="47">
        <f t="shared" si="43"/>
        <v>10441671.77</v>
      </c>
      <c r="F357" s="33">
        <f t="shared" si="39"/>
        <v>835333741.19999981</v>
      </c>
      <c r="G357" s="47">
        <f t="shared" si="40"/>
        <v>832700579.96999979</v>
      </c>
    </row>
    <row r="358" spans="1:7" x14ac:dyDescent="0.25">
      <c r="A358" s="36">
        <v>45601</v>
      </c>
      <c r="B358" s="71">
        <f t="shared" si="41"/>
        <v>30</v>
      </c>
      <c r="C358" s="33">
        <f t="shared" si="42"/>
        <v>13074833</v>
      </c>
      <c r="D358" s="48">
        <f t="shared" si="38"/>
        <v>2666075.75</v>
      </c>
      <c r="E358" s="47">
        <f t="shared" si="43"/>
        <v>10408757.25</v>
      </c>
      <c r="F358" s="33">
        <f t="shared" si="39"/>
        <v>832700579.96999979</v>
      </c>
      <c r="G358" s="47">
        <f t="shared" si="40"/>
        <v>830034504.21999979</v>
      </c>
    </row>
    <row r="359" spans="1:7" x14ac:dyDescent="0.25">
      <c r="A359" s="36">
        <v>45631</v>
      </c>
      <c r="B359" s="71">
        <f t="shared" si="41"/>
        <v>30</v>
      </c>
      <c r="C359" s="33">
        <f t="shared" si="42"/>
        <v>13074833</v>
      </c>
      <c r="D359" s="48">
        <f t="shared" si="38"/>
        <v>2699401.6999999993</v>
      </c>
      <c r="E359" s="47">
        <f t="shared" si="43"/>
        <v>10375431.300000001</v>
      </c>
      <c r="F359" s="33">
        <f t="shared" si="39"/>
        <v>830034504.21999979</v>
      </c>
      <c r="G359" s="47">
        <f t="shared" si="40"/>
        <v>827335102.51999974</v>
      </c>
    </row>
    <row r="360" spans="1:7" x14ac:dyDescent="0.25">
      <c r="A360" s="36">
        <v>45662</v>
      </c>
      <c r="B360" s="71">
        <f t="shared" si="41"/>
        <v>30</v>
      </c>
      <c r="C360" s="33">
        <f t="shared" si="42"/>
        <v>13074833</v>
      </c>
      <c r="D360" s="48">
        <f t="shared" si="38"/>
        <v>2733144.2200000007</v>
      </c>
      <c r="E360" s="47">
        <f t="shared" si="43"/>
        <v>10341688.779999999</v>
      </c>
      <c r="F360" s="33">
        <f t="shared" si="39"/>
        <v>827335102.51999974</v>
      </c>
      <c r="G360" s="47">
        <f t="shared" si="40"/>
        <v>824601958.29999971</v>
      </c>
    </row>
    <row r="361" spans="1:7" x14ac:dyDescent="0.25">
      <c r="A361" s="36">
        <v>45693</v>
      </c>
      <c r="B361" s="71">
        <f t="shared" si="41"/>
        <v>30</v>
      </c>
      <c r="C361" s="33">
        <f t="shared" si="42"/>
        <v>13074833</v>
      </c>
      <c r="D361" s="48">
        <f t="shared" si="38"/>
        <v>2767308.5199999996</v>
      </c>
      <c r="E361" s="47">
        <f t="shared" si="43"/>
        <v>10307524.48</v>
      </c>
      <c r="F361" s="33">
        <f t="shared" si="39"/>
        <v>824601958.29999971</v>
      </c>
      <c r="G361" s="47">
        <f t="shared" si="40"/>
        <v>821834649.77999973</v>
      </c>
    </row>
    <row r="362" spans="1:7" x14ac:dyDescent="0.25">
      <c r="A362" s="36">
        <v>45721</v>
      </c>
      <c r="B362" s="71">
        <f t="shared" si="41"/>
        <v>30</v>
      </c>
      <c r="C362" s="33">
        <f t="shared" si="42"/>
        <v>13074833</v>
      </c>
      <c r="D362" s="48">
        <f t="shared" si="38"/>
        <v>2801899.8800000008</v>
      </c>
      <c r="E362" s="47">
        <f t="shared" si="43"/>
        <v>10272933.119999999</v>
      </c>
      <c r="F362" s="33">
        <f t="shared" si="39"/>
        <v>821834649.77999973</v>
      </c>
      <c r="G362" s="47">
        <f t="shared" si="40"/>
        <v>819032749.89999974</v>
      </c>
    </row>
    <row r="363" spans="1:7" x14ac:dyDescent="0.25">
      <c r="A363" s="36">
        <v>45752</v>
      </c>
      <c r="B363" s="71">
        <f t="shared" si="41"/>
        <v>30</v>
      </c>
      <c r="C363" s="33">
        <f t="shared" si="42"/>
        <v>13074833</v>
      </c>
      <c r="D363" s="48">
        <f t="shared" si="38"/>
        <v>2836923.6300000008</v>
      </c>
      <c r="E363" s="47">
        <f t="shared" si="43"/>
        <v>10237909.369999999</v>
      </c>
      <c r="F363" s="33">
        <f t="shared" si="39"/>
        <v>819032749.89999974</v>
      </c>
      <c r="G363" s="47">
        <f t="shared" si="40"/>
        <v>816195826.26999974</v>
      </c>
    </row>
    <row r="364" spans="1:7" x14ac:dyDescent="0.25">
      <c r="A364" s="36">
        <v>45782</v>
      </c>
      <c r="B364" s="71">
        <f t="shared" si="41"/>
        <v>30</v>
      </c>
      <c r="C364" s="33">
        <f t="shared" si="42"/>
        <v>13074833</v>
      </c>
      <c r="D364" s="48">
        <f t="shared" si="38"/>
        <v>2872385.17</v>
      </c>
      <c r="E364" s="47">
        <f t="shared" si="43"/>
        <v>10202447.83</v>
      </c>
      <c r="F364" s="33">
        <f t="shared" si="39"/>
        <v>816195826.26999974</v>
      </c>
      <c r="G364" s="47">
        <f t="shared" si="40"/>
        <v>813323441.09999979</v>
      </c>
    </row>
    <row r="365" spans="1:7" x14ac:dyDescent="0.25">
      <c r="A365" s="36">
        <v>45813</v>
      </c>
      <c r="B365" s="71">
        <f t="shared" si="41"/>
        <v>30</v>
      </c>
      <c r="C365" s="33">
        <f t="shared" si="42"/>
        <v>13074833</v>
      </c>
      <c r="D365" s="48">
        <f t="shared" si="38"/>
        <v>2908289.99</v>
      </c>
      <c r="E365" s="47">
        <f t="shared" si="43"/>
        <v>10166543.01</v>
      </c>
      <c r="F365" s="33">
        <f t="shared" si="39"/>
        <v>813323441.09999979</v>
      </c>
      <c r="G365" s="47">
        <f t="shared" si="40"/>
        <v>810415151.10999978</v>
      </c>
    </row>
    <row r="366" spans="1:7" x14ac:dyDescent="0.25">
      <c r="A366" s="36">
        <v>45843</v>
      </c>
      <c r="B366" s="71">
        <f t="shared" si="41"/>
        <v>30</v>
      </c>
      <c r="C366" s="33">
        <f t="shared" si="42"/>
        <v>13074833</v>
      </c>
      <c r="D366" s="48">
        <f t="shared" si="38"/>
        <v>2944643.6099999994</v>
      </c>
      <c r="E366" s="47">
        <f t="shared" si="43"/>
        <v>10130189.390000001</v>
      </c>
      <c r="F366" s="33">
        <f t="shared" si="39"/>
        <v>810415151.10999978</v>
      </c>
      <c r="G366" s="47">
        <f t="shared" si="40"/>
        <v>807470507.49999976</v>
      </c>
    </row>
    <row r="367" spans="1:7" x14ac:dyDescent="0.25">
      <c r="A367" s="36">
        <v>45874</v>
      </c>
      <c r="B367" s="71">
        <f t="shared" si="41"/>
        <v>30</v>
      </c>
      <c r="C367" s="33">
        <f t="shared" si="42"/>
        <v>13074833</v>
      </c>
      <c r="D367" s="48">
        <f t="shared" si="38"/>
        <v>2981451.66</v>
      </c>
      <c r="E367" s="47">
        <f t="shared" si="43"/>
        <v>10093381.34</v>
      </c>
      <c r="F367" s="33">
        <f t="shared" si="39"/>
        <v>807470507.49999976</v>
      </c>
      <c r="G367" s="47">
        <f t="shared" si="40"/>
        <v>804489055.83999979</v>
      </c>
    </row>
    <row r="368" spans="1:7" x14ac:dyDescent="0.25">
      <c r="A368" s="36">
        <v>45905</v>
      </c>
      <c r="B368" s="71">
        <f t="shared" si="41"/>
        <v>30</v>
      </c>
      <c r="C368" s="33">
        <f t="shared" si="42"/>
        <v>13074833</v>
      </c>
      <c r="D368" s="48">
        <f t="shared" si="38"/>
        <v>3018719.8000000007</v>
      </c>
      <c r="E368" s="47">
        <f t="shared" si="43"/>
        <v>10056113.199999999</v>
      </c>
      <c r="F368" s="33">
        <f t="shared" si="39"/>
        <v>804489055.83999979</v>
      </c>
      <c r="G368" s="47">
        <f t="shared" si="40"/>
        <v>801470336.03999984</v>
      </c>
    </row>
    <row r="369" spans="1:7" x14ac:dyDescent="0.25">
      <c r="A369" s="36">
        <v>45935</v>
      </c>
      <c r="B369" s="71">
        <f t="shared" si="41"/>
        <v>30</v>
      </c>
      <c r="C369" s="33">
        <f t="shared" si="42"/>
        <v>13074833</v>
      </c>
      <c r="D369" s="48">
        <f t="shared" si="38"/>
        <v>3056453.8000000007</v>
      </c>
      <c r="E369" s="47">
        <f t="shared" si="43"/>
        <v>10018379.199999999</v>
      </c>
      <c r="F369" s="33">
        <f t="shared" si="39"/>
        <v>801470336.03999984</v>
      </c>
      <c r="G369" s="47">
        <f t="shared" si="40"/>
        <v>798413882.23999989</v>
      </c>
    </row>
    <row r="370" spans="1:7" x14ac:dyDescent="0.25">
      <c r="A370" s="36">
        <v>45966</v>
      </c>
      <c r="B370" s="71">
        <f t="shared" si="41"/>
        <v>30</v>
      </c>
      <c r="C370" s="33">
        <f t="shared" si="42"/>
        <v>13074833</v>
      </c>
      <c r="D370" s="48">
        <f t="shared" si="38"/>
        <v>3094659.4700000007</v>
      </c>
      <c r="E370" s="47">
        <f t="shared" si="43"/>
        <v>9980173.5299999993</v>
      </c>
      <c r="F370" s="33">
        <f t="shared" si="39"/>
        <v>798413882.23999989</v>
      </c>
      <c r="G370" s="47">
        <f t="shared" si="40"/>
        <v>795319222.76999986</v>
      </c>
    </row>
    <row r="371" spans="1:7" x14ac:dyDescent="0.25">
      <c r="A371" s="36">
        <v>45996</v>
      </c>
      <c r="B371" s="71">
        <f t="shared" si="41"/>
        <v>30</v>
      </c>
      <c r="C371" s="33">
        <f t="shared" si="42"/>
        <v>13074833</v>
      </c>
      <c r="D371" s="48">
        <f t="shared" si="38"/>
        <v>3133342.7200000007</v>
      </c>
      <c r="E371" s="47">
        <f t="shared" si="43"/>
        <v>9941490.2799999993</v>
      </c>
      <c r="F371" s="33">
        <f t="shared" si="39"/>
        <v>795319222.76999986</v>
      </c>
      <c r="G371" s="47">
        <f t="shared" si="40"/>
        <v>792185880.04999983</v>
      </c>
    </row>
    <row r="372" spans="1:7" x14ac:dyDescent="0.25">
      <c r="A372" s="36">
        <v>46027</v>
      </c>
      <c r="B372" s="71">
        <f t="shared" si="41"/>
        <v>30</v>
      </c>
      <c r="C372" s="33">
        <f t="shared" si="42"/>
        <v>13074833</v>
      </c>
      <c r="D372" s="48">
        <f t="shared" si="38"/>
        <v>3172509.5</v>
      </c>
      <c r="E372" s="47">
        <f t="shared" si="43"/>
        <v>9902323.5</v>
      </c>
      <c r="F372" s="33">
        <f t="shared" si="39"/>
        <v>792185880.04999983</v>
      </c>
      <c r="G372" s="47">
        <f t="shared" si="40"/>
        <v>789013370.54999983</v>
      </c>
    </row>
    <row r="373" spans="1:7" x14ac:dyDescent="0.25">
      <c r="A373" s="36">
        <v>46058</v>
      </c>
      <c r="B373" s="71">
        <f t="shared" si="41"/>
        <v>30</v>
      </c>
      <c r="C373" s="33">
        <f t="shared" si="42"/>
        <v>13074833</v>
      </c>
      <c r="D373" s="48">
        <f t="shared" si="38"/>
        <v>3212165.8699999992</v>
      </c>
      <c r="E373" s="47">
        <f t="shared" si="43"/>
        <v>9862667.1300000008</v>
      </c>
      <c r="F373" s="33">
        <f t="shared" si="39"/>
        <v>789013370.54999983</v>
      </c>
      <c r="G373" s="47">
        <f t="shared" si="40"/>
        <v>785801204.67999983</v>
      </c>
    </row>
    <row r="374" spans="1:7" x14ac:dyDescent="0.25">
      <c r="A374" s="36">
        <v>46086</v>
      </c>
      <c r="B374" s="71">
        <f t="shared" si="41"/>
        <v>30</v>
      </c>
      <c r="C374" s="33">
        <f t="shared" si="42"/>
        <v>13074833</v>
      </c>
      <c r="D374" s="48">
        <f t="shared" ref="D374:D437" si="44">C374-E374</f>
        <v>3252317.9399999995</v>
      </c>
      <c r="E374" s="47">
        <f t="shared" si="43"/>
        <v>9822515.0600000005</v>
      </c>
      <c r="F374" s="33">
        <f t="shared" ref="F374:F437" si="45">G373</f>
        <v>785801204.67999983</v>
      </c>
      <c r="G374" s="47">
        <f t="shared" ref="G374:G437" si="46">F374-D374</f>
        <v>782548886.73999977</v>
      </c>
    </row>
    <row r="375" spans="1:7" x14ac:dyDescent="0.25">
      <c r="A375" s="36">
        <v>46117</v>
      </c>
      <c r="B375" s="71">
        <f t="shared" ref="B375:B438" si="47">DAYS360(A374,A375,TRUE)</f>
        <v>30</v>
      </c>
      <c r="C375" s="33">
        <f t="shared" ref="C375:C438" si="48">$F$1</f>
        <v>13074833</v>
      </c>
      <c r="D375" s="48">
        <f t="shared" si="44"/>
        <v>3292971.92</v>
      </c>
      <c r="E375" s="47">
        <f t="shared" ref="E375:E438" si="49">ROUND(F375*$B$2*B375/360,2)</f>
        <v>9781861.0800000001</v>
      </c>
      <c r="F375" s="33">
        <f t="shared" si="45"/>
        <v>782548886.73999977</v>
      </c>
      <c r="G375" s="47">
        <f t="shared" si="46"/>
        <v>779255914.81999981</v>
      </c>
    </row>
    <row r="376" spans="1:7" x14ac:dyDescent="0.25">
      <c r="A376" s="36">
        <v>46147</v>
      </c>
      <c r="B376" s="71">
        <f t="shared" si="47"/>
        <v>30</v>
      </c>
      <c r="C376" s="33">
        <f t="shared" si="48"/>
        <v>13074833</v>
      </c>
      <c r="D376" s="48">
        <f t="shared" si="44"/>
        <v>3334134.0600000005</v>
      </c>
      <c r="E376" s="47">
        <f t="shared" si="49"/>
        <v>9740698.9399999995</v>
      </c>
      <c r="F376" s="33">
        <f t="shared" si="45"/>
        <v>779255914.81999981</v>
      </c>
      <c r="G376" s="47">
        <f t="shared" si="46"/>
        <v>775921780.75999987</v>
      </c>
    </row>
    <row r="377" spans="1:7" x14ac:dyDescent="0.25">
      <c r="A377" s="36">
        <v>46178</v>
      </c>
      <c r="B377" s="71">
        <f t="shared" si="47"/>
        <v>30</v>
      </c>
      <c r="C377" s="33">
        <f t="shared" si="48"/>
        <v>13074833</v>
      </c>
      <c r="D377" s="48">
        <f t="shared" si="44"/>
        <v>3375810.74</v>
      </c>
      <c r="E377" s="47">
        <f t="shared" si="49"/>
        <v>9699022.2599999998</v>
      </c>
      <c r="F377" s="33">
        <f t="shared" si="45"/>
        <v>775921780.75999987</v>
      </c>
      <c r="G377" s="47">
        <f t="shared" si="46"/>
        <v>772545970.01999986</v>
      </c>
    </row>
    <row r="378" spans="1:7" x14ac:dyDescent="0.25">
      <c r="A378" s="36">
        <v>46208</v>
      </c>
      <c r="B378" s="71">
        <f t="shared" si="47"/>
        <v>30</v>
      </c>
      <c r="C378" s="33">
        <f t="shared" si="48"/>
        <v>13074833</v>
      </c>
      <c r="D378" s="48">
        <f t="shared" si="44"/>
        <v>3418008.3699999992</v>
      </c>
      <c r="E378" s="47">
        <f t="shared" si="49"/>
        <v>9656824.6300000008</v>
      </c>
      <c r="F378" s="33">
        <f t="shared" si="45"/>
        <v>772545970.01999986</v>
      </c>
      <c r="G378" s="47">
        <f t="shared" si="46"/>
        <v>769127961.64999986</v>
      </c>
    </row>
    <row r="379" spans="1:7" x14ac:dyDescent="0.25">
      <c r="A379" s="36">
        <v>46239</v>
      </c>
      <c r="B379" s="71">
        <f t="shared" si="47"/>
        <v>30</v>
      </c>
      <c r="C379" s="33">
        <f t="shared" si="48"/>
        <v>13074833</v>
      </c>
      <c r="D379" s="48">
        <f t="shared" si="44"/>
        <v>3460733.4800000004</v>
      </c>
      <c r="E379" s="47">
        <f t="shared" si="49"/>
        <v>9614099.5199999996</v>
      </c>
      <c r="F379" s="33">
        <f t="shared" si="45"/>
        <v>769127961.64999986</v>
      </c>
      <c r="G379" s="47">
        <f t="shared" si="46"/>
        <v>765667228.16999984</v>
      </c>
    </row>
    <row r="380" spans="1:7" x14ac:dyDescent="0.25">
      <c r="A380" s="36">
        <v>46270</v>
      </c>
      <c r="B380" s="71">
        <f t="shared" si="47"/>
        <v>30</v>
      </c>
      <c r="C380" s="33">
        <f t="shared" si="48"/>
        <v>13074833</v>
      </c>
      <c r="D380" s="48">
        <f t="shared" si="44"/>
        <v>3503992.6500000004</v>
      </c>
      <c r="E380" s="47">
        <f t="shared" si="49"/>
        <v>9570840.3499999996</v>
      </c>
      <c r="F380" s="33">
        <f t="shared" si="45"/>
        <v>765667228.16999984</v>
      </c>
      <c r="G380" s="47">
        <f t="shared" si="46"/>
        <v>762163235.51999986</v>
      </c>
    </row>
    <row r="381" spans="1:7" x14ac:dyDescent="0.25">
      <c r="A381" s="36">
        <v>46300</v>
      </c>
      <c r="B381" s="71">
        <f t="shared" si="47"/>
        <v>30</v>
      </c>
      <c r="C381" s="33">
        <f t="shared" si="48"/>
        <v>13074833</v>
      </c>
      <c r="D381" s="48">
        <f t="shared" si="44"/>
        <v>3547792.5600000005</v>
      </c>
      <c r="E381" s="47">
        <f t="shared" si="49"/>
        <v>9527040.4399999995</v>
      </c>
      <c r="F381" s="33">
        <f t="shared" si="45"/>
        <v>762163235.51999986</v>
      </c>
      <c r="G381" s="47">
        <f t="shared" si="46"/>
        <v>758615442.95999992</v>
      </c>
    </row>
    <row r="382" spans="1:7" x14ac:dyDescent="0.25">
      <c r="A382" s="36">
        <v>46331</v>
      </c>
      <c r="B382" s="71">
        <f t="shared" si="47"/>
        <v>30</v>
      </c>
      <c r="C382" s="33">
        <f t="shared" si="48"/>
        <v>13074833</v>
      </c>
      <c r="D382" s="48">
        <f t="shared" si="44"/>
        <v>3592139.9600000009</v>
      </c>
      <c r="E382" s="47">
        <f t="shared" si="49"/>
        <v>9482693.0399999991</v>
      </c>
      <c r="F382" s="33">
        <f t="shared" si="45"/>
        <v>758615442.95999992</v>
      </c>
      <c r="G382" s="47">
        <f t="shared" si="46"/>
        <v>755023302.99999988</v>
      </c>
    </row>
    <row r="383" spans="1:7" x14ac:dyDescent="0.25">
      <c r="A383" s="36">
        <v>46361</v>
      </c>
      <c r="B383" s="71">
        <f t="shared" si="47"/>
        <v>30</v>
      </c>
      <c r="C383" s="33">
        <f t="shared" si="48"/>
        <v>13074833</v>
      </c>
      <c r="D383" s="48">
        <f t="shared" si="44"/>
        <v>3637041.7100000009</v>
      </c>
      <c r="E383" s="47">
        <f t="shared" si="49"/>
        <v>9437791.2899999991</v>
      </c>
      <c r="F383" s="33">
        <f t="shared" si="45"/>
        <v>755023302.99999988</v>
      </c>
      <c r="G383" s="47">
        <f t="shared" si="46"/>
        <v>751386261.28999984</v>
      </c>
    </row>
    <row r="384" spans="1:7" x14ac:dyDescent="0.25">
      <c r="A384" s="36">
        <v>46392</v>
      </c>
      <c r="B384" s="71">
        <f t="shared" si="47"/>
        <v>30</v>
      </c>
      <c r="C384" s="33">
        <f t="shared" si="48"/>
        <v>13074833</v>
      </c>
      <c r="D384" s="48">
        <f t="shared" si="44"/>
        <v>3682504.7300000004</v>
      </c>
      <c r="E384" s="47">
        <f t="shared" si="49"/>
        <v>9392328.2699999996</v>
      </c>
      <c r="F384" s="33">
        <f t="shared" si="45"/>
        <v>751386261.28999984</v>
      </c>
      <c r="G384" s="47">
        <f t="shared" si="46"/>
        <v>747703756.55999982</v>
      </c>
    </row>
    <row r="385" spans="1:7" x14ac:dyDescent="0.25">
      <c r="A385" s="36">
        <v>46423</v>
      </c>
      <c r="B385" s="71">
        <f t="shared" si="47"/>
        <v>30</v>
      </c>
      <c r="C385" s="33">
        <f t="shared" si="48"/>
        <v>13074833</v>
      </c>
      <c r="D385" s="48">
        <f t="shared" si="44"/>
        <v>3728536.0399999991</v>
      </c>
      <c r="E385" s="47">
        <f t="shared" si="49"/>
        <v>9346296.9600000009</v>
      </c>
      <c r="F385" s="33">
        <f t="shared" si="45"/>
        <v>747703756.55999982</v>
      </c>
      <c r="G385" s="47">
        <f t="shared" si="46"/>
        <v>743975220.51999986</v>
      </c>
    </row>
    <row r="386" spans="1:7" x14ac:dyDescent="0.25">
      <c r="A386" s="36">
        <v>46451</v>
      </c>
      <c r="B386" s="71">
        <f t="shared" si="47"/>
        <v>30</v>
      </c>
      <c r="C386" s="33">
        <f t="shared" si="48"/>
        <v>13074833</v>
      </c>
      <c r="D386" s="48">
        <f t="shared" si="44"/>
        <v>3775142.74</v>
      </c>
      <c r="E386" s="47">
        <f t="shared" si="49"/>
        <v>9299690.2599999998</v>
      </c>
      <c r="F386" s="33">
        <f t="shared" si="45"/>
        <v>743975220.51999986</v>
      </c>
      <c r="G386" s="47">
        <f t="shared" si="46"/>
        <v>740200077.77999985</v>
      </c>
    </row>
    <row r="387" spans="1:7" x14ac:dyDescent="0.25">
      <c r="A387" s="36">
        <v>46482</v>
      </c>
      <c r="B387" s="71">
        <f t="shared" si="47"/>
        <v>30</v>
      </c>
      <c r="C387" s="33">
        <f t="shared" si="48"/>
        <v>13074833</v>
      </c>
      <c r="D387" s="48">
        <f t="shared" si="44"/>
        <v>3822332.0299999993</v>
      </c>
      <c r="E387" s="47">
        <f t="shared" si="49"/>
        <v>9252500.9700000007</v>
      </c>
      <c r="F387" s="33">
        <f t="shared" si="45"/>
        <v>740200077.77999985</v>
      </c>
      <c r="G387" s="47">
        <f t="shared" si="46"/>
        <v>736377745.74999988</v>
      </c>
    </row>
    <row r="388" spans="1:7" x14ac:dyDescent="0.25">
      <c r="A388" s="36">
        <v>46512</v>
      </c>
      <c r="B388" s="71">
        <f t="shared" si="47"/>
        <v>30</v>
      </c>
      <c r="C388" s="33">
        <f t="shared" si="48"/>
        <v>13074833</v>
      </c>
      <c r="D388" s="48">
        <f t="shared" si="44"/>
        <v>3870111.1799999997</v>
      </c>
      <c r="E388" s="47">
        <f t="shared" si="49"/>
        <v>9204721.8200000003</v>
      </c>
      <c r="F388" s="33">
        <f t="shared" si="45"/>
        <v>736377745.74999988</v>
      </c>
      <c r="G388" s="47">
        <f t="shared" si="46"/>
        <v>732507634.56999993</v>
      </c>
    </row>
    <row r="389" spans="1:7" x14ac:dyDescent="0.25">
      <c r="A389" s="36">
        <v>46543</v>
      </c>
      <c r="B389" s="71">
        <f t="shared" si="47"/>
        <v>30</v>
      </c>
      <c r="C389" s="33">
        <f t="shared" si="48"/>
        <v>13074833</v>
      </c>
      <c r="D389" s="48">
        <f t="shared" si="44"/>
        <v>3918487.5700000003</v>
      </c>
      <c r="E389" s="47">
        <f t="shared" si="49"/>
        <v>9156345.4299999997</v>
      </c>
      <c r="F389" s="33">
        <f t="shared" si="45"/>
        <v>732507634.56999993</v>
      </c>
      <c r="G389" s="47">
        <f t="shared" si="46"/>
        <v>728589146.99999988</v>
      </c>
    </row>
    <row r="390" spans="1:7" x14ac:dyDescent="0.25">
      <c r="A390" s="36">
        <v>46573</v>
      </c>
      <c r="B390" s="71">
        <f t="shared" si="47"/>
        <v>30</v>
      </c>
      <c r="C390" s="33">
        <f t="shared" si="48"/>
        <v>13074833</v>
      </c>
      <c r="D390" s="48">
        <f t="shared" si="44"/>
        <v>3967468.66</v>
      </c>
      <c r="E390" s="47">
        <f t="shared" si="49"/>
        <v>9107364.3399999999</v>
      </c>
      <c r="F390" s="33">
        <f t="shared" si="45"/>
        <v>728589146.99999988</v>
      </c>
      <c r="G390" s="47">
        <f t="shared" si="46"/>
        <v>724621678.33999991</v>
      </c>
    </row>
    <row r="391" spans="1:7" x14ac:dyDescent="0.25">
      <c r="A391" s="36">
        <v>46604</v>
      </c>
      <c r="B391" s="71">
        <f t="shared" si="47"/>
        <v>30</v>
      </c>
      <c r="C391" s="33">
        <f t="shared" si="48"/>
        <v>13074833</v>
      </c>
      <c r="D391" s="48">
        <f t="shared" si="44"/>
        <v>4017062.0199999996</v>
      </c>
      <c r="E391" s="47">
        <f t="shared" si="49"/>
        <v>9057770.9800000004</v>
      </c>
      <c r="F391" s="33">
        <f t="shared" si="45"/>
        <v>724621678.33999991</v>
      </c>
      <c r="G391" s="47">
        <f t="shared" si="46"/>
        <v>720604616.31999993</v>
      </c>
    </row>
    <row r="392" spans="1:7" x14ac:dyDescent="0.25">
      <c r="A392" s="36">
        <v>46635</v>
      </c>
      <c r="B392" s="71">
        <f t="shared" si="47"/>
        <v>30</v>
      </c>
      <c r="C392" s="33">
        <f t="shared" si="48"/>
        <v>13074833</v>
      </c>
      <c r="D392" s="48">
        <f t="shared" si="44"/>
        <v>4067275.3000000007</v>
      </c>
      <c r="E392" s="47">
        <f t="shared" si="49"/>
        <v>9007557.6999999993</v>
      </c>
      <c r="F392" s="33">
        <f t="shared" si="45"/>
        <v>720604616.31999993</v>
      </c>
      <c r="G392" s="47">
        <f t="shared" si="46"/>
        <v>716537341.01999998</v>
      </c>
    </row>
    <row r="393" spans="1:7" x14ac:dyDescent="0.25">
      <c r="A393" s="36">
        <v>46665</v>
      </c>
      <c r="B393" s="71">
        <f t="shared" si="47"/>
        <v>30</v>
      </c>
      <c r="C393" s="33">
        <f t="shared" si="48"/>
        <v>13074833</v>
      </c>
      <c r="D393" s="48">
        <f t="shared" si="44"/>
        <v>4118116.24</v>
      </c>
      <c r="E393" s="47">
        <f t="shared" si="49"/>
        <v>8956716.7599999998</v>
      </c>
      <c r="F393" s="33">
        <f t="shared" si="45"/>
        <v>716537341.01999998</v>
      </c>
      <c r="G393" s="47">
        <f t="shared" si="46"/>
        <v>712419224.77999997</v>
      </c>
    </row>
    <row r="394" spans="1:7" x14ac:dyDescent="0.25">
      <c r="A394" s="36">
        <v>46696</v>
      </c>
      <c r="B394" s="71">
        <f t="shared" si="47"/>
        <v>30</v>
      </c>
      <c r="C394" s="33">
        <f t="shared" si="48"/>
        <v>13074833</v>
      </c>
      <c r="D394" s="48">
        <f t="shared" si="44"/>
        <v>4169592.6899999995</v>
      </c>
      <c r="E394" s="47">
        <f t="shared" si="49"/>
        <v>8905240.3100000005</v>
      </c>
      <c r="F394" s="33">
        <f t="shared" si="45"/>
        <v>712419224.77999997</v>
      </c>
      <c r="G394" s="47">
        <f t="shared" si="46"/>
        <v>708249632.08999991</v>
      </c>
    </row>
    <row r="395" spans="1:7" x14ac:dyDescent="0.25">
      <c r="A395" s="36">
        <v>46726</v>
      </c>
      <c r="B395" s="71">
        <f t="shared" si="47"/>
        <v>30</v>
      </c>
      <c r="C395" s="33">
        <f t="shared" si="48"/>
        <v>13074833</v>
      </c>
      <c r="D395" s="48">
        <f t="shared" si="44"/>
        <v>4221712.5999999996</v>
      </c>
      <c r="E395" s="47">
        <f t="shared" si="49"/>
        <v>8853120.4000000004</v>
      </c>
      <c r="F395" s="33">
        <f t="shared" si="45"/>
        <v>708249632.08999991</v>
      </c>
      <c r="G395" s="47">
        <f t="shared" si="46"/>
        <v>704027919.48999989</v>
      </c>
    </row>
    <row r="396" spans="1:7" x14ac:dyDescent="0.25">
      <c r="A396" s="36">
        <v>46757</v>
      </c>
      <c r="B396" s="71">
        <f t="shared" si="47"/>
        <v>30</v>
      </c>
      <c r="C396" s="33">
        <f t="shared" si="48"/>
        <v>13074833</v>
      </c>
      <c r="D396" s="48">
        <f t="shared" si="44"/>
        <v>4274484.01</v>
      </c>
      <c r="E396" s="47">
        <f t="shared" si="49"/>
        <v>8800348.9900000002</v>
      </c>
      <c r="F396" s="33">
        <f t="shared" si="45"/>
        <v>704027919.48999989</v>
      </c>
      <c r="G396" s="47">
        <f t="shared" si="46"/>
        <v>699753435.4799999</v>
      </c>
    </row>
    <row r="397" spans="1:7" x14ac:dyDescent="0.25">
      <c r="A397" s="36">
        <v>46788</v>
      </c>
      <c r="B397" s="71">
        <f t="shared" si="47"/>
        <v>30</v>
      </c>
      <c r="C397" s="33">
        <f t="shared" si="48"/>
        <v>13074833</v>
      </c>
      <c r="D397" s="48">
        <f t="shared" si="44"/>
        <v>4327915.0600000005</v>
      </c>
      <c r="E397" s="47">
        <f t="shared" si="49"/>
        <v>8746917.9399999995</v>
      </c>
      <c r="F397" s="33">
        <f t="shared" si="45"/>
        <v>699753435.4799999</v>
      </c>
      <c r="G397" s="47">
        <f t="shared" si="46"/>
        <v>695425520.41999996</v>
      </c>
    </row>
    <row r="398" spans="1:7" x14ac:dyDescent="0.25">
      <c r="A398" s="36">
        <v>46817</v>
      </c>
      <c r="B398" s="71">
        <f t="shared" si="47"/>
        <v>30</v>
      </c>
      <c r="C398" s="33">
        <f t="shared" si="48"/>
        <v>13074833</v>
      </c>
      <c r="D398" s="48">
        <f t="shared" si="44"/>
        <v>4382013.99</v>
      </c>
      <c r="E398" s="47">
        <f t="shared" si="49"/>
        <v>8692819.0099999998</v>
      </c>
      <c r="F398" s="33">
        <f t="shared" si="45"/>
        <v>695425520.41999996</v>
      </c>
      <c r="G398" s="47">
        <f t="shared" si="46"/>
        <v>691043506.42999995</v>
      </c>
    </row>
    <row r="399" spans="1:7" x14ac:dyDescent="0.25">
      <c r="A399" s="36">
        <v>46848</v>
      </c>
      <c r="B399" s="71">
        <f t="shared" si="47"/>
        <v>30</v>
      </c>
      <c r="C399" s="33">
        <f t="shared" si="48"/>
        <v>13074833</v>
      </c>
      <c r="D399" s="48">
        <f t="shared" si="44"/>
        <v>4436789.17</v>
      </c>
      <c r="E399" s="47">
        <f t="shared" si="49"/>
        <v>8638043.8300000001</v>
      </c>
      <c r="F399" s="33">
        <f t="shared" si="45"/>
        <v>691043506.42999995</v>
      </c>
      <c r="G399" s="47">
        <f t="shared" si="46"/>
        <v>686606717.25999999</v>
      </c>
    </row>
    <row r="400" spans="1:7" x14ac:dyDescent="0.25">
      <c r="A400" s="36">
        <v>46878</v>
      </c>
      <c r="B400" s="71">
        <f t="shared" si="47"/>
        <v>30</v>
      </c>
      <c r="C400" s="33">
        <f t="shared" si="48"/>
        <v>13074833</v>
      </c>
      <c r="D400" s="48">
        <f t="shared" si="44"/>
        <v>4492249.0299999993</v>
      </c>
      <c r="E400" s="47">
        <f t="shared" si="49"/>
        <v>8582583.9700000007</v>
      </c>
      <c r="F400" s="33">
        <f t="shared" si="45"/>
        <v>686606717.25999999</v>
      </c>
      <c r="G400" s="47">
        <f t="shared" si="46"/>
        <v>682114468.23000002</v>
      </c>
    </row>
    <row r="401" spans="1:7" x14ac:dyDescent="0.25">
      <c r="A401" s="36">
        <v>46909</v>
      </c>
      <c r="B401" s="71">
        <f t="shared" si="47"/>
        <v>30</v>
      </c>
      <c r="C401" s="33">
        <f t="shared" si="48"/>
        <v>13074833</v>
      </c>
      <c r="D401" s="48">
        <f t="shared" si="44"/>
        <v>4548402.1500000004</v>
      </c>
      <c r="E401" s="47">
        <f t="shared" si="49"/>
        <v>8526430.8499999996</v>
      </c>
      <c r="F401" s="33">
        <f t="shared" si="45"/>
        <v>682114468.23000002</v>
      </c>
      <c r="G401" s="47">
        <f t="shared" si="46"/>
        <v>677566066.08000004</v>
      </c>
    </row>
    <row r="402" spans="1:7" x14ac:dyDescent="0.25">
      <c r="A402" s="36">
        <v>46939</v>
      </c>
      <c r="B402" s="71">
        <f t="shared" si="47"/>
        <v>30</v>
      </c>
      <c r="C402" s="33">
        <f t="shared" si="48"/>
        <v>13074833</v>
      </c>
      <c r="D402" s="48">
        <f t="shared" si="44"/>
        <v>4605257.17</v>
      </c>
      <c r="E402" s="47">
        <f t="shared" si="49"/>
        <v>8469575.8300000001</v>
      </c>
      <c r="F402" s="33">
        <f t="shared" si="45"/>
        <v>677566066.08000004</v>
      </c>
      <c r="G402" s="47">
        <f t="shared" si="46"/>
        <v>672960808.91000009</v>
      </c>
    </row>
    <row r="403" spans="1:7" x14ac:dyDescent="0.25">
      <c r="A403" s="36">
        <v>46970</v>
      </c>
      <c r="B403" s="71">
        <f t="shared" si="47"/>
        <v>30</v>
      </c>
      <c r="C403" s="33">
        <f t="shared" si="48"/>
        <v>13074833</v>
      </c>
      <c r="D403" s="48">
        <f t="shared" si="44"/>
        <v>4662822.8900000006</v>
      </c>
      <c r="E403" s="47">
        <f t="shared" si="49"/>
        <v>8412010.1099999994</v>
      </c>
      <c r="F403" s="33">
        <f t="shared" si="45"/>
        <v>672960808.91000009</v>
      </c>
      <c r="G403" s="47">
        <f t="shared" si="46"/>
        <v>668297986.0200001</v>
      </c>
    </row>
    <row r="404" spans="1:7" x14ac:dyDescent="0.25">
      <c r="A404" s="36">
        <v>47001</v>
      </c>
      <c r="B404" s="71">
        <f t="shared" si="47"/>
        <v>30</v>
      </c>
      <c r="C404" s="33">
        <f t="shared" si="48"/>
        <v>13074833</v>
      </c>
      <c r="D404" s="48">
        <f t="shared" si="44"/>
        <v>4721108.17</v>
      </c>
      <c r="E404" s="47">
        <f t="shared" si="49"/>
        <v>8353724.8300000001</v>
      </c>
      <c r="F404" s="33">
        <f t="shared" si="45"/>
        <v>668297986.0200001</v>
      </c>
      <c r="G404" s="47">
        <f t="shared" si="46"/>
        <v>663576877.85000014</v>
      </c>
    </row>
    <row r="405" spans="1:7" x14ac:dyDescent="0.25">
      <c r="A405" s="36">
        <v>47031</v>
      </c>
      <c r="B405" s="71">
        <f t="shared" si="47"/>
        <v>30</v>
      </c>
      <c r="C405" s="33">
        <f t="shared" si="48"/>
        <v>13074833</v>
      </c>
      <c r="D405" s="48">
        <f t="shared" si="44"/>
        <v>4780122.03</v>
      </c>
      <c r="E405" s="47">
        <f t="shared" si="49"/>
        <v>8294710.9699999997</v>
      </c>
      <c r="F405" s="33">
        <f t="shared" si="45"/>
        <v>663576877.85000014</v>
      </c>
      <c r="G405" s="47">
        <f t="shared" si="46"/>
        <v>658796755.82000017</v>
      </c>
    </row>
    <row r="406" spans="1:7" x14ac:dyDescent="0.25">
      <c r="A406" s="36">
        <v>47062</v>
      </c>
      <c r="B406" s="71">
        <f t="shared" si="47"/>
        <v>30</v>
      </c>
      <c r="C406" s="33">
        <f t="shared" si="48"/>
        <v>13074833</v>
      </c>
      <c r="D406" s="48">
        <f t="shared" si="44"/>
        <v>4839873.55</v>
      </c>
      <c r="E406" s="47">
        <f t="shared" si="49"/>
        <v>8234959.4500000002</v>
      </c>
      <c r="F406" s="33">
        <f t="shared" si="45"/>
        <v>658796755.82000017</v>
      </c>
      <c r="G406" s="47">
        <f t="shared" si="46"/>
        <v>653956882.27000022</v>
      </c>
    </row>
    <row r="407" spans="1:7" x14ac:dyDescent="0.25">
      <c r="A407" s="36">
        <v>47092</v>
      </c>
      <c r="B407" s="71">
        <f t="shared" si="47"/>
        <v>30</v>
      </c>
      <c r="C407" s="33">
        <f t="shared" si="48"/>
        <v>13074833</v>
      </c>
      <c r="D407" s="48">
        <f t="shared" si="44"/>
        <v>4900371.97</v>
      </c>
      <c r="E407" s="47">
        <f t="shared" si="49"/>
        <v>8174461.0300000003</v>
      </c>
      <c r="F407" s="33">
        <f t="shared" si="45"/>
        <v>653956882.27000022</v>
      </c>
      <c r="G407" s="47">
        <f t="shared" si="46"/>
        <v>649056510.30000019</v>
      </c>
    </row>
    <row r="408" spans="1:7" x14ac:dyDescent="0.25">
      <c r="A408" s="36">
        <v>47123</v>
      </c>
      <c r="B408" s="71">
        <f t="shared" si="47"/>
        <v>30</v>
      </c>
      <c r="C408" s="33">
        <f t="shared" si="48"/>
        <v>13074833</v>
      </c>
      <c r="D408" s="48">
        <f t="shared" si="44"/>
        <v>4961626.62</v>
      </c>
      <c r="E408" s="47">
        <f t="shared" si="49"/>
        <v>8113206.3799999999</v>
      </c>
      <c r="F408" s="33">
        <f t="shared" si="45"/>
        <v>649056510.30000019</v>
      </c>
      <c r="G408" s="47">
        <f t="shared" si="46"/>
        <v>644094883.68000019</v>
      </c>
    </row>
    <row r="409" spans="1:7" x14ac:dyDescent="0.25">
      <c r="A409" s="36">
        <v>47154</v>
      </c>
      <c r="B409" s="71">
        <f t="shared" si="47"/>
        <v>30</v>
      </c>
      <c r="C409" s="33">
        <f t="shared" si="48"/>
        <v>13074833</v>
      </c>
      <c r="D409" s="48">
        <f t="shared" si="44"/>
        <v>5023646.95</v>
      </c>
      <c r="E409" s="47">
        <f t="shared" si="49"/>
        <v>8051186.0499999998</v>
      </c>
      <c r="F409" s="33">
        <f t="shared" si="45"/>
        <v>644094883.68000019</v>
      </c>
      <c r="G409" s="47">
        <f t="shared" si="46"/>
        <v>639071236.73000014</v>
      </c>
    </row>
    <row r="410" spans="1:7" x14ac:dyDescent="0.25">
      <c r="A410" s="36">
        <v>47182</v>
      </c>
      <c r="B410" s="71">
        <f t="shared" si="47"/>
        <v>30</v>
      </c>
      <c r="C410" s="33">
        <f t="shared" si="48"/>
        <v>13074833</v>
      </c>
      <c r="D410" s="48">
        <f t="shared" si="44"/>
        <v>5086442.54</v>
      </c>
      <c r="E410" s="47">
        <f t="shared" si="49"/>
        <v>7988390.46</v>
      </c>
      <c r="F410" s="33">
        <f t="shared" si="45"/>
        <v>639071236.73000014</v>
      </c>
      <c r="G410" s="47">
        <f t="shared" si="46"/>
        <v>633984794.19000018</v>
      </c>
    </row>
    <row r="411" spans="1:7" x14ac:dyDescent="0.25">
      <c r="A411" s="36">
        <v>47213</v>
      </c>
      <c r="B411" s="71">
        <f t="shared" si="47"/>
        <v>30</v>
      </c>
      <c r="C411" s="33">
        <f t="shared" si="48"/>
        <v>13074833</v>
      </c>
      <c r="D411" s="48">
        <f t="shared" si="44"/>
        <v>5150023.07</v>
      </c>
      <c r="E411" s="47">
        <f t="shared" si="49"/>
        <v>7924809.9299999997</v>
      </c>
      <c r="F411" s="33">
        <f t="shared" si="45"/>
        <v>633984794.19000018</v>
      </c>
      <c r="G411" s="47">
        <f t="shared" si="46"/>
        <v>628834771.12000012</v>
      </c>
    </row>
    <row r="412" spans="1:7" x14ac:dyDescent="0.25">
      <c r="A412" s="36">
        <v>47243</v>
      </c>
      <c r="B412" s="71">
        <f t="shared" si="47"/>
        <v>30</v>
      </c>
      <c r="C412" s="33">
        <f t="shared" si="48"/>
        <v>13074833</v>
      </c>
      <c r="D412" s="48">
        <f t="shared" si="44"/>
        <v>5214398.3600000003</v>
      </c>
      <c r="E412" s="47">
        <f t="shared" si="49"/>
        <v>7860434.6399999997</v>
      </c>
      <c r="F412" s="33">
        <f t="shared" si="45"/>
        <v>628834771.12000012</v>
      </c>
      <c r="G412" s="47">
        <f t="shared" si="46"/>
        <v>623620372.76000011</v>
      </c>
    </row>
    <row r="413" spans="1:7" x14ac:dyDescent="0.25">
      <c r="A413" s="36">
        <v>47274</v>
      </c>
      <c r="B413" s="71">
        <f t="shared" si="47"/>
        <v>30</v>
      </c>
      <c r="C413" s="33">
        <f t="shared" si="48"/>
        <v>13074833</v>
      </c>
      <c r="D413" s="48">
        <f t="shared" si="44"/>
        <v>5279578.34</v>
      </c>
      <c r="E413" s="47">
        <f t="shared" si="49"/>
        <v>7795254.6600000001</v>
      </c>
      <c r="F413" s="33">
        <f t="shared" si="45"/>
        <v>623620372.76000011</v>
      </c>
      <c r="G413" s="47">
        <f t="shared" si="46"/>
        <v>618340794.42000008</v>
      </c>
    </row>
    <row r="414" spans="1:7" x14ac:dyDescent="0.25">
      <c r="A414" s="36">
        <v>47304</v>
      </c>
      <c r="B414" s="71">
        <f t="shared" si="47"/>
        <v>30</v>
      </c>
      <c r="C414" s="33">
        <f t="shared" si="48"/>
        <v>13074833</v>
      </c>
      <c r="D414" s="48">
        <f t="shared" si="44"/>
        <v>5345573.07</v>
      </c>
      <c r="E414" s="47">
        <f t="shared" si="49"/>
        <v>7729259.9299999997</v>
      </c>
      <c r="F414" s="33">
        <f t="shared" si="45"/>
        <v>618340794.42000008</v>
      </c>
      <c r="G414" s="47">
        <f t="shared" si="46"/>
        <v>612995221.35000002</v>
      </c>
    </row>
    <row r="415" spans="1:7" x14ac:dyDescent="0.25">
      <c r="A415" s="36">
        <v>47335</v>
      </c>
      <c r="B415" s="71">
        <f t="shared" si="47"/>
        <v>30</v>
      </c>
      <c r="C415" s="33">
        <f t="shared" si="48"/>
        <v>13074833</v>
      </c>
      <c r="D415" s="48">
        <f t="shared" si="44"/>
        <v>5412392.7300000004</v>
      </c>
      <c r="E415" s="47">
        <f t="shared" si="49"/>
        <v>7662440.2699999996</v>
      </c>
      <c r="F415" s="33">
        <f t="shared" si="45"/>
        <v>612995221.35000002</v>
      </c>
      <c r="G415" s="47">
        <f t="shared" si="46"/>
        <v>607582828.62</v>
      </c>
    </row>
    <row r="416" spans="1:7" x14ac:dyDescent="0.25">
      <c r="A416" s="36">
        <v>47366</v>
      </c>
      <c r="B416" s="71">
        <f t="shared" si="47"/>
        <v>30</v>
      </c>
      <c r="C416" s="33">
        <f t="shared" si="48"/>
        <v>13074833</v>
      </c>
      <c r="D416" s="48">
        <f t="shared" si="44"/>
        <v>5480047.6399999997</v>
      </c>
      <c r="E416" s="47">
        <f t="shared" si="49"/>
        <v>7594785.3600000003</v>
      </c>
      <c r="F416" s="33">
        <f t="shared" si="45"/>
        <v>607582828.62</v>
      </c>
      <c r="G416" s="47">
        <f t="shared" si="46"/>
        <v>602102780.98000002</v>
      </c>
    </row>
    <row r="417" spans="1:7" x14ac:dyDescent="0.25">
      <c r="A417" s="36">
        <v>47396</v>
      </c>
      <c r="B417" s="71">
        <f t="shared" si="47"/>
        <v>30</v>
      </c>
      <c r="C417" s="33">
        <f t="shared" si="48"/>
        <v>13074833</v>
      </c>
      <c r="D417" s="48">
        <f t="shared" si="44"/>
        <v>5548548.2400000002</v>
      </c>
      <c r="E417" s="47">
        <f t="shared" si="49"/>
        <v>7526284.7599999998</v>
      </c>
      <c r="F417" s="33">
        <f t="shared" si="45"/>
        <v>602102780.98000002</v>
      </c>
      <c r="G417" s="47">
        <f t="shared" si="46"/>
        <v>596554232.74000001</v>
      </c>
    </row>
    <row r="418" spans="1:7" x14ac:dyDescent="0.25">
      <c r="A418" s="36">
        <v>47427</v>
      </c>
      <c r="B418" s="71">
        <f t="shared" si="47"/>
        <v>30</v>
      </c>
      <c r="C418" s="33">
        <f t="shared" si="48"/>
        <v>13074833</v>
      </c>
      <c r="D418" s="48">
        <f t="shared" si="44"/>
        <v>5617905.0899999999</v>
      </c>
      <c r="E418" s="47">
        <f t="shared" si="49"/>
        <v>7456927.9100000001</v>
      </c>
      <c r="F418" s="33">
        <f t="shared" si="45"/>
        <v>596554232.74000001</v>
      </c>
      <c r="G418" s="47">
        <f t="shared" si="46"/>
        <v>590936327.64999998</v>
      </c>
    </row>
    <row r="419" spans="1:7" x14ac:dyDescent="0.25">
      <c r="A419" s="36">
        <v>47457</v>
      </c>
      <c r="B419" s="71">
        <f t="shared" si="47"/>
        <v>30</v>
      </c>
      <c r="C419" s="33">
        <f t="shared" si="48"/>
        <v>13074833</v>
      </c>
      <c r="D419" s="48">
        <f t="shared" si="44"/>
        <v>5688128.9000000004</v>
      </c>
      <c r="E419" s="47">
        <f t="shared" si="49"/>
        <v>7386704.0999999996</v>
      </c>
      <c r="F419" s="33">
        <f t="shared" si="45"/>
        <v>590936327.64999998</v>
      </c>
      <c r="G419" s="47">
        <f t="shared" si="46"/>
        <v>585248198.75</v>
      </c>
    </row>
    <row r="420" spans="1:7" x14ac:dyDescent="0.25">
      <c r="A420" s="36">
        <v>47488</v>
      </c>
      <c r="B420" s="71">
        <f t="shared" si="47"/>
        <v>30</v>
      </c>
      <c r="C420" s="33">
        <f t="shared" si="48"/>
        <v>13074833</v>
      </c>
      <c r="D420" s="48">
        <f t="shared" si="44"/>
        <v>5759230.5199999996</v>
      </c>
      <c r="E420" s="47">
        <f t="shared" si="49"/>
        <v>7315602.4800000004</v>
      </c>
      <c r="F420" s="33">
        <f t="shared" si="45"/>
        <v>585248198.75</v>
      </c>
      <c r="G420" s="47">
        <f t="shared" si="46"/>
        <v>579488968.23000002</v>
      </c>
    </row>
    <row r="421" spans="1:7" x14ac:dyDescent="0.25">
      <c r="A421" s="36">
        <v>47519</v>
      </c>
      <c r="B421" s="71">
        <f t="shared" si="47"/>
        <v>30</v>
      </c>
      <c r="C421" s="33">
        <f t="shared" si="48"/>
        <v>13074833</v>
      </c>
      <c r="D421" s="48">
        <f t="shared" si="44"/>
        <v>5831220.9000000004</v>
      </c>
      <c r="E421" s="47">
        <f t="shared" si="49"/>
        <v>7243612.0999999996</v>
      </c>
      <c r="F421" s="33">
        <f t="shared" si="45"/>
        <v>579488968.23000002</v>
      </c>
      <c r="G421" s="47">
        <f t="shared" si="46"/>
        <v>573657747.33000004</v>
      </c>
    </row>
    <row r="422" spans="1:7" x14ac:dyDescent="0.25">
      <c r="A422" s="36">
        <v>47547</v>
      </c>
      <c r="B422" s="71">
        <f t="shared" si="47"/>
        <v>30</v>
      </c>
      <c r="C422" s="33">
        <f t="shared" si="48"/>
        <v>13074833</v>
      </c>
      <c r="D422" s="48">
        <f t="shared" si="44"/>
        <v>5904111.1600000001</v>
      </c>
      <c r="E422" s="47">
        <f t="shared" si="49"/>
        <v>7170721.8399999999</v>
      </c>
      <c r="F422" s="33">
        <f t="shared" si="45"/>
        <v>573657747.33000004</v>
      </c>
      <c r="G422" s="47">
        <f t="shared" si="46"/>
        <v>567753636.17000008</v>
      </c>
    </row>
    <row r="423" spans="1:7" x14ac:dyDescent="0.25">
      <c r="A423" s="36">
        <v>47578</v>
      </c>
      <c r="B423" s="71">
        <f t="shared" si="47"/>
        <v>30</v>
      </c>
      <c r="C423" s="33">
        <f t="shared" si="48"/>
        <v>13074833</v>
      </c>
      <c r="D423" s="48">
        <f t="shared" si="44"/>
        <v>5977912.5499999998</v>
      </c>
      <c r="E423" s="47">
        <f t="shared" si="49"/>
        <v>7096920.4500000002</v>
      </c>
      <c r="F423" s="33">
        <f t="shared" si="45"/>
        <v>567753636.17000008</v>
      </c>
      <c r="G423" s="47">
        <f t="shared" si="46"/>
        <v>561775723.62000012</v>
      </c>
    </row>
    <row r="424" spans="1:7" x14ac:dyDescent="0.25">
      <c r="A424" s="36">
        <v>47608</v>
      </c>
      <c r="B424" s="71">
        <f t="shared" si="47"/>
        <v>30</v>
      </c>
      <c r="C424" s="33">
        <f t="shared" si="48"/>
        <v>13074833</v>
      </c>
      <c r="D424" s="48">
        <f t="shared" si="44"/>
        <v>6052636.4500000002</v>
      </c>
      <c r="E424" s="47">
        <f t="shared" si="49"/>
        <v>7022196.5499999998</v>
      </c>
      <c r="F424" s="33">
        <f t="shared" si="45"/>
        <v>561775723.62000012</v>
      </c>
      <c r="G424" s="47">
        <f t="shared" si="46"/>
        <v>555723087.17000008</v>
      </c>
    </row>
    <row r="425" spans="1:7" x14ac:dyDescent="0.25">
      <c r="A425" s="36">
        <v>47639</v>
      </c>
      <c r="B425" s="71">
        <f t="shared" si="47"/>
        <v>30</v>
      </c>
      <c r="C425" s="33">
        <f t="shared" si="48"/>
        <v>13074833</v>
      </c>
      <c r="D425" s="48">
        <f t="shared" si="44"/>
        <v>6128294.4100000001</v>
      </c>
      <c r="E425" s="47">
        <f t="shared" si="49"/>
        <v>6946538.5899999999</v>
      </c>
      <c r="F425" s="33">
        <f t="shared" si="45"/>
        <v>555723087.17000008</v>
      </c>
      <c r="G425" s="47">
        <f t="shared" si="46"/>
        <v>549594792.76000011</v>
      </c>
    </row>
    <row r="426" spans="1:7" x14ac:dyDescent="0.25">
      <c r="A426" s="36">
        <v>47669</v>
      </c>
      <c r="B426" s="71">
        <f t="shared" si="47"/>
        <v>30</v>
      </c>
      <c r="C426" s="33">
        <f t="shared" si="48"/>
        <v>13074833</v>
      </c>
      <c r="D426" s="48">
        <f t="shared" si="44"/>
        <v>6204898.0899999999</v>
      </c>
      <c r="E426" s="47">
        <f t="shared" si="49"/>
        <v>6869934.9100000001</v>
      </c>
      <c r="F426" s="33">
        <f t="shared" si="45"/>
        <v>549594792.76000011</v>
      </c>
      <c r="G426" s="47">
        <f t="shared" si="46"/>
        <v>543389894.67000008</v>
      </c>
    </row>
    <row r="427" spans="1:7" x14ac:dyDescent="0.25">
      <c r="A427" s="36">
        <v>47700</v>
      </c>
      <c r="B427" s="71">
        <f t="shared" si="47"/>
        <v>30</v>
      </c>
      <c r="C427" s="33">
        <f t="shared" si="48"/>
        <v>13074833</v>
      </c>
      <c r="D427" s="48">
        <f t="shared" si="44"/>
        <v>6282459.3200000003</v>
      </c>
      <c r="E427" s="47">
        <f t="shared" si="49"/>
        <v>6792373.6799999997</v>
      </c>
      <c r="F427" s="33">
        <f t="shared" si="45"/>
        <v>543389894.67000008</v>
      </c>
      <c r="G427" s="47">
        <f t="shared" si="46"/>
        <v>537107435.35000002</v>
      </c>
    </row>
    <row r="428" spans="1:7" x14ac:dyDescent="0.25">
      <c r="A428" s="36">
        <v>47731</v>
      </c>
      <c r="B428" s="71">
        <f t="shared" si="47"/>
        <v>30</v>
      </c>
      <c r="C428" s="33">
        <f t="shared" si="48"/>
        <v>13074833</v>
      </c>
      <c r="D428" s="48">
        <f t="shared" si="44"/>
        <v>6360990.0599999996</v>
      </c>
      <c r="E428" s="47">
        <f t="shared" si="49"/>
        <v>6713842.9400000004</v>
      </c>
      <c r="F428" s="33">
        <f t="shared" si="45"/>
        <v>537107435.35000002</v>
      </c>
      <c r="G428" s="47">
        <f t="shared" si="46"/>
        <v>530746445.29000002</v>
      </c>
    </row>
    <row r="429" spans="1:7" x14ac:dyDescent="0.25">
      <c r="A429" s="36">
        <v>47761</v>
      </c>
      <c r="B429" s="71">
        <f t="shared" si="47"/>
        <v>30</v>
      </c>
      <c r="C429" s="33">
        <f t="shared" si="48"/>
        <v>13074833</v>
      </c>
      <c r="D429" s="48">
        <f t="shared" si="44"/>
        <v>6440502.4299999997</v>
      </c>
      <c r="E429" s="47">
        <f t="shared" si="49"/>
        <v>6634330.5700000003</v>
      </c>
      <c r="F429" s="33">
        <f t="shared" si="45"/>
        <v>530746445.29000002</v>
      </c>
      <c r="G429" s="47">
        <f t="shared" si="46"/>
        <v>524305942.86000001</v>
      </c>
    </row>
    <row r="430" spans="1:7" x14ac:dyDescent="0.25">
      <c r="A430" s="36">
        <v>47792</v>
      </c>
      <c r="B430" s="71">
        <f t="shared" si="47"/>
        <v>30</v>
      </c>
      <c r="C430" s="33">
        <f t="shared" si="48"/>
        <v>13074833</v>
      </c>
      <c r="D430" s="48">
        <f t="shared" si="44"/>
        <v>6521008.71</v>
      </c>
      <c r="E430" s="47">
        <f t="shared" si="49"/>
        <v>6553824.29</v>
      </c>
      <c r="F430" s="33">
        <f t="shared" si="45"/>
        <v>524305942.86000001</v>
      </c>
      <c r="G430" s="47">
        <f t="shared" si="46"/>
        <v>517784934.15000004</v>
      </c>
    </row>
    <row r="431" spans="1:7" x14ac:dyDescent="0.25">
      <c r="A431" s="36">
        <v>47822</v>
      </c>
      <c r="B431" s="71">
        <f t="shared" si="47"/>
        <v>30</v>
      </c>
      <c r="C431" s="33">
        <f t="shared" si="48"/>
        <v>13074833</v>
      </c>
      <c r="D431" s="48">
        <f t="shared" si="44"/>
        <v>6602521.3200000003</v>
      </c>
      <c r="E431" s="47">
        <f t="shared" si="49"/>
        <v>6472311.6799999997</v>
      </c>
      <c r="F431" s="33">
        <f t="shared" si="45"/>
        <v>517784934.15000004</v>
      </c>
      <c r="G431" s="47">
        <f t="shared" si="46"/>
        <v>511182412.83000004</v>
      </c>
    </row>
    <row r="432" spans="1:7" x14ac:dyDescent="0.25">
      <c r="A432" s="36">
        <v>47853</v>
      </c>
      <c r="B432" s="71">
        <f t="shared" si="47"/>
        <v>30</v>
      </c>
      <c r="C432" s="33">
        <f t="shared" si="48"/>
        <v>13074833</v>
      </c>
      <c r="D432" s="48">
        <f t="shared" si="44"/>
        <v>6685052.8399999999</v>
      </c>
      <c r="E432" s="47">
        <f t="shared" si="49"/>
        <v>6389780.1600000001</v>
      </c>
      <c r="F432" s="33">
        <f t="shared" si="45"/>
        <v>511182412.83000004</v>
      </c>
      <c r="G432" s="47">
        <f t="shared" si="46"/>
        <v>504497359.99000007</v>
      </c>
    </row>
    <row r="433" spans="1:7" x14ac:dyDescent="0.25">
      <c r="A433" s="36">
        <v>47884</v>
      </c>
      <c r="B433" s="71">
        <f t="shared" si="47"/>
        <v>30</v>
      </c>
      <c r="C433" s="33">
        <f t="shared" si="48"/>
        <v>13074833</v>
      </c>
      <c r="D433" s="48">
        <f t="shared" si="44"/>
        <v>6768616</v>
      </c>
      <c r="E433" s="47">
        <f t="shared" si="49"/>
        <v>6306217</v>
      </c>
      <c r="F433" s="33">
        <f t="shared" si="45"/>
        <v>504497359.99000007</v>
      </c>
      <c r="G433" s="47">
        <f t="shared" si="46"/>
        <v>497728743.99000007</v>
      </c>
    </row>
    <row r="434" spans="1:7" x14ac:dyDescent="0.25">
      <c r="A434" s="36">
        <v>47912</v>
      </c>
      <c r="B434" s="71">
        <f t="shared" si="47"/>
        <v>30</v>
      </c>
      <c r="C434" s="33">
        <f t="shared" si="48"/>
        <v>13074833</v>
      </c>
      <c r="D434" s="48">
        <f t="shared" si="44"/>
        <v>6853223.7000000002</v>
      </c>
      <c r="E434" s="47">
        <f t="shared" si="49"/>
        <v>6221609.2999999998</v>
      </c>
      <c r="F434" s="33">
        <f t="shared" si="45"/>
        <v>497728743.99000007</v>
      </c>
      <c r="G434" s="47">
        <f t="shared" si="46"/>
        <v>490875520.29000008</v>
      </c>
    </row>
    <row r="435" spans="1:7" x14ac:dyDescent="0.25">
      <c r="A435" s="36">
        <v>47943</v>
      </c>
      <c r="B435" s="71">
        <f t="shared" si="47"/>
        <v>30</v>
      </c>
      <c r="C435" s="33">
        <f t="shared" si="48"/>
        <v>13074833</v>
      </c>
      <c r="D435" s="48">
        <f t="shared" si="44"/>
        <v>6938889</v>
      </c>
      <c r="E435" s="47">
        <f t="shared" si="49"/>
        <v>6135944</v>
      </c>
      <c r="F435" s="33">
        <f t="shared" si="45"/>
        <v>490875520.29000008</v>
      </c>
      <c r="G435" s="47">
        <f t="shared" si="46"/>
        <v>483936631.29000008</v>
      </c>
    </row>
    <row r="436" spans="1:7" x14ac:dyDescent="0.25">
      <c r="A436" s="36">
        <v>47973</v>
      </c>
      <c r="B436" s="71">
        <f t="shared" si="47"/>
        <v>30</v>
      </c>
      <c r="C436" s="33">
        <f t="shared" si="48"/>
        <v>13074833</v>
      </c>
      <c r="D436" s="48">
        <f t="shared" si="44"/>
        <v>7025625.1100000003</v>
      </c>
      <c r="E436" s="47">
        <f t="shared" si="49"/>
        <v>6049207.8899999997</v>
      </c>
      <c r="F436" s="33">
        <f t="shared" si="45"/>
        <v>483936631.29000008</v>
      </c>
      <c r="G436" s="47">
        <f t="shared" si="46"/>
        <v>476911006.18000007</v>
      </c>
    </row>
    <row r="437" spans="1:7" x14ac:dyDescent="0.25">
      <c r="A437" s="36">
        <v>48004</v>
      </c>
      <c r="B437" s="71">
        <f t="shared" si="47"/>
        <v>30</v>
      </c>
      <c r="C437" s="33">
        <f t="shared" si="48"/>
        <v>13074833</v>
      </c>
      <c r="D437" s="48">
        <f t="shared" si="44"/>
        <v>7113445.4199999999</v>
      </c>
      <c r="E437" s="47">
        <f t="shared" si="49"/>
        <v>5961387.5800000001</v>
      </c>
      <c r="F437" s="33">
        <f t="shared" si="45"/>
        <v>476911006.18000007</v>
      </c>
      <c r="G437" s="47">
        <f t="shared" si="46"/>
        <v>469797560.76000005</v>
      </c>
    </row>
    <row r="438" spans="1:7" x14ac:dyDescent="0.25">
      <c r="A438" s="36">
        <v>48034</v>
      </c>
      <c r="B438" s="71">
        <f t="shared" si="47"/>
        <v>30</v>
      </c>
      <c r="C438" s="33">
        <f t="shared" si="48"/>
        <v>13074833</v>
      </c>
      <c r="D438" s="48">
        <f t="shared" ref="D438:D485" si="50">C438-E438</f>
        <v>7202363.4900000002</v>
      </c>
      <c r="E438" s="47">
        <f t="shared" si="49"/>
        <v>5872469.5099999998</v>
      </c>
      <c r="F438" s="33">
        <f t="shared" ref="F438:F485" si="51">G437</f>
        <v>469797560.76000005</v>
      </c>
      <c r="G438" s="47">
        <f t="shared" ref="G438:G485" si="52">F438-D438</f>
        <v>462595197.27000004</v>
      </c>
    </row>
    <row r="439" spans="1:7" x14ac:dyDescent="0.25">
      <c r="A439" s="36">
        <v>48065</v>
      </c>
      <c r="B439" s="71">
        <f t="shared" ref="B439:B485" si="53">DAYS360(A438,A439,TRUE)</f>
        <v>30</v>
      </c>
      <c r="C439" s="33">
        <f t="shared" ref="C439:C485" si="54">$F$1</f>
        <v>13074833</v>
      </c>
      <c r="D439" s="48">
        <f t="shared" si="50"/>
        <v>7292393.0300000003</v>
      </c>
      <c r="E439" s="47">
        <f t="shared" ref="E439:E484" si="55">ROUND(F439*$B$2*B439/360,2)</f>
        <v>5782439.9699999997</v>
      </c>
      <c r="F439" s="33">
        <f t="shared" si="51"/>
        <v>462595197.27000004</v>
      </c>
      <c r="G439" s="47">
        <f t="shared" si="52"/>
        <v>455302804.24000007</v>
      </c>
    </row>
    <row r="440" spans="1:7" x14ac:dyDescent="0.25">
      <c r="A440" s="36">
        <v>48096</v>
      </c>
      <c r="B440" s="71">
        <f t="shared" si="53"/>
        <v>30</v>
      </c>
      <c r="C440" s="33">
        <f t="shared" si="54"/>
        <v>13074833</v>
      </c>
      <c r="D440" s="48">
        <f t="shared" si="50"/>
        <v>7383547.9500000002</v>
      </c>
      <c r="E440" s="47">
        <f t="shared" si="55"/>
        <v>5691285.0499999998</v>
      </c>
      <c r="F440" s="33">
        <f t="shared" si="51"/>
        <v>455302804.24000007</v>
      </c>
      <c r="G440" s="47">
        <f t="shared" si="52"/>
        <v>447919256.29000008</v>
      </c>
    </row>
    <row r="441" spans="1:7" x14ac:dyDescent="0.25">
      <c r="A441" s="36">
        <v>48126</v>
      </c>
      <c r="B441" s="71">
        <f t="shared" si="53"/>
        <v>30</v>
      </c>
      <c r="C441" s="33">
        <f t="shared" si="54"/>
        <v>13074833</v>
      </c>
      <c r="D441" s="48">
        <f t="shared" si="50"/>
        <v>7475842.2999999998</v>
      </c>
      <c r="E441" s="47">
        <f t="shared" si="55"/>
        <v>5598990.7000000002</v>
      </c>
      <c r="F441" s="33">
        <f t="shared" si="51"/>
        <v>447919256.29000008</v>
      </c>
      <c r="G441" s="47">
        <f t="shared" si="52"/>
        <v>440443413.99000007</v>
      </c>
    </row>
    <row r="442" spans="1:7" x14ac:dyDescent="0.25">
      <c r="A442" s="36">
        <v>48157</v>
      </c>
      <c r="B442" s="71">
        <f t="shared" si="53"/>
        <v>30</v>
      </c>
      <c r="C442" s="33">
        <f t="shared" si="54"/>
        <v>13074833</v>
      </c>
      <c r="D442" s="48">
        <f t="shared" si="50"/>
        <v>7569290.3300000001</v>
      </c>
      <c r="E442" s="47">
        <f t="shared" si="55"/>
        <v>5505542.6699999999</v>
      </c>
      <c r="F442" s="33">
        <f t="shared" si="51"/>
        <v>440443413.99000007</v>
      </c>
      <c r="G442" s="47">
        <f t="shared" si="52"/>
        <v>432874123.66000009</v>
      </c>
    </row>
    <row r="443" spans="1:7" x14ac:dyDescent="0.25">
      <c r="A443" s="36">
        <v>48187</v>
      </c>
      <c r="B443" s="71">
        <f t="shared" si="53"/>
        <v>30</v>
      </c>
      <c r="C443" s="33">
        <f t="shared" si="54"/>
        <v>13074833</v>
      </c>
      <c r="D443" s="48">
        <f t="shared" si="50"/>
        <v>7663906.4500000002</v>
      </c>
      <c r="E443" s="47">
        <f t="shared" si="55"/>
        <v>5410926.5499999998</v>
      </c>
      <c r="F443" s="33">
        <f t="shared" si="51"/>
        <v>432874123.66000009</v>
      </c>
      <c r="G443" s="47">
        <f t="shared" si="52"/>
        <v>425210217.2100001</v>
      </c>
    </row>
    <row r="444" spans="1:7" x14ac:dyDescent="0.25">
      <c r="A444" s="36">
        <v>48218</v>
      </c>
      <c r="B444" s="71">
        <f t="shared" si="53"/>
        <v>30</v>
      </c>
      <c r="C444" s="33">
        <f t="shared" si="54"/>
        <v>13074833</v>
      </c>
      <c r="D444" s="48">
        <f t="shared" si="50"/>
        <v>7759705.2800000003</v>
      </c>
      <c r="E444" s="47">
        <f t="shared" si="55"/>
        <v>5315127.72</v>
      </c>
      <c r="F444" s="33">
        <f t="shared" si="51"/>
        <v>425210217.2100001</v>
      </c>
      <c r="G444" s="47">
        <f t="shared" si="52"/>
        <v>417450511.93000013</v>
      </c>
    </row>
    <row r="445" spans="1:7" x14ac:dyDescent="0.25">
      <c r="A445" s="36">
        <v>48249</v>
      </c>
      <c r="B445" s="71">
        <f t="shared" si="53"/>
        <v>30</v>
      </c>
      <c r="C445" s="33">
        <f t="shared" si="54"/>
        <v>13074833</v>
      </c>
      <c r="D445" s="48">
        <f t="shared" si="50"/>
        <v>7856701.5999999996</v>
      </c>
      <c r="E445" s="47">
        <f t="shared" si="55"/>
        <v>5218131.4000000004</v>
      </c>
      <c r="F445" s="33">
        <f t="shared" si="51"/>
        <v>417450511.93000013</v>
      </c>
      <c r="G445" s="47">
        <f t="shared" si="52"/>
        <v>409593810.3300001</v>
      </c>
    </row>
    <row r="446" spans="1:7" x14ac:dyDescent="0.25">
      <c r="A446" s="36">
        <v>48278</v>
      </c>
      <c r="B446" s="71">
        <f t="shared" si="53"/>
        <v>30</v>
      </c>
      <c r="C446" s="33">
        <f t="shared" si="54"/>
        <v>13074833</v>
      </c>
      <c r="D446" s="48">
        <f t="shared" si="50"/>
        <v>7954910.3700000001</v>
      </c>
      <c r="E446" s="47">
        <f t="shared" si="55"/>
        <v>5119922.63</v>
      </c>
      <c r="F446" s="33">
        <f t="shared" si="51"/>
        <v>409593810.3300001</v>
      </c>
      <c r="G446" s="47">
        <f t="shared" si="52"/>
        <v>401638899.9600001</v>
      </c>
    </row>
    <row r="447" spans="1:7" x14ac:dyDescent="0.25">
      <c r="A447" s="36">
        <v>48309</v>
      </c>
      <c r="B447" s="71">
        <f t="shared" si="53"/>
        <v>30</v>
      </c>
      <c r="C447" s="33">
        <f t="shared" si="54"/>
        <v>13074833</v>
      </c>
      <c r="D447" s="48">
        <f t="shared" si="50"/>
        <v>8054346.75</v>
      </c>
      <c r="E447" s="47">
        <f t="shared" si="55"/>
        <v>5020486.25</v>
      </c>
      <c r="F447" s="33">
        <f t="shared" si="51"/>
        <v>401638899.9600001</v>
      </c>
      <c r="G447" s="47">
        <f t="shared" si="52"/>
        <v>393584553.2100001</v>
      </c>
    </row>
    <row r="448" spans="1:7" x14ac:dyDescent="0.25">
      <c r="A448" s="36">
        <v>48339</v>
      </c>
      <c r="B448" s="71">
        <f t="shared" si="53"/>
        <v>30</v>
      </c>
      <c r="C448" s="33">
        <f t="shared" si="54"/>
        <v>13074833</v>
      </c>
      <c r="D448" s="48">
        <f t="shared" si="50"/>
        <v>8155026.0800000001</v>
      </c>
      <c r="E448" s="47">
        <f t="shared" si="55"/>
        <v>4919806.92</v>
      </c>
      <c r="F448" s="33">
        <f t="shared" si="51"/>
        <v>393584553.2100001</v>
      </c>
      <c r="G448" s="47">
        <f t="shared" si="52"/>
        <v>385429527.13000011</v>
      </c>
    </row>
    <row r="449" spans="1:7" x14ac:dyDescent="0.25">
      <c r="A449" s="36">
        <v>48370</v>
      </c>
      <c r="B449" s="71">
        <f t="shared" si="53"/>
        <v>30</v>
      </c>
      <c r="C449" s="33">
        <f t="shared" si="54"/>
        <v>13074833</v>
      </c>
      <c r="D449" s="48">
        <f t="shared" si="50"/>
        <v>8256963.9100000001</v>
      </c>
      <c r="E449" s="47">
        <f t="shared" si="55"/>
        <v>4817869.09</v>
      </c>
      <c r="F449" s="33">
        <f t="shared" si="51"/>
        <v>385429527.13000011</v>
      </c>
      <c r="G449" s="47">
        <f t="shared" si="52"/>
        <v>377172563.22000009</v>
      </c>
    </row>
    <row r="450" spans="1:7" x14ac:dyDescent="0.25">
      <c r="A450" s="36">
        <v>48400</v>
      </c>
      <c r="B450" s="71">
        <f t="shared" si="53"/>
        <v>30</v>
      </c>
      <c r="C450" s="33">
        <f t="shared" si="54"/>
        <v>13074833</v>
      </c>
      <c r="D450" s="48">
        <f t="shared" si="50"/>
        <v>8360175.96</v>
      </c>
      <c r="E450" s="47">
        <f t="shared" si="55"/>
        <v>4714657.04</v>
      </c>
      <c r="F450" s="33">
        <f t="shared" si="51"/>
        <v>377172563.22000009</v>
      </c>
      <c r="G450" s="47">
        <f t="shared" si="52"/>
        <v>368812387.26000011</v>
      </c>
    </row>
    <row r="451" spans="1:7" x14ac:dyDescent="0.25">
      <c r="A451" s="36">
        <v>48431</v>
      </c>
      <c r="B451" s="71">
        <f t="shared" si="53"/>
        <v>30</v>
      </c>
      <c r="C451" s="33">
        <f t="shared" si="54"/>
        <v>13074833</v>
      </c>
      <c r="D451" s="48">
        <f t="shared" si="50"/>
        <v>8464678.1600000001</v>
      </c>
      <c r="E451" s="47">
        <f t="shared" si="55"/>
        <v>4610154.84</v>
      </c>
      <c r="F451" s="33">
        <f t="shared" si="51"/>
        <v>368812387.26000011</v>
      </c>
      <c r="G451" s="47">
        <f t="shared" si="52"/>
        <v>360347709.10000008</v>
      </c>
    </row>
    <row r="452" spans="1:7" x14ac:dyDescent="0.25">
      <c r="A452" s="36">
        <v>48462</v>
      </c>
      <c r="B452" s="71">
        <f t="shared" si="53"/>
        <v>30</v>
      </c>
      <c r="C452" s="33">
        <f t="shared" si="54"/>
        <v>13074833</v>
      </c>
      <c r="D452" s="48">
        <f t="shared" si="50"/>
        <v>8570486.6400000006</v>
      </c>
      <c r="E452" s="47">
        <f t="shared" si="55"/>
        <v>4504346.3600000003</v>
      </c>
      <c r="F452" s="33">
        <f t="shared" si="51"/>
        <v>360347709.10000008</v>
      </c>
      <c r="G452" s="47">
        <f t="shared" si="52"/>
        <v>351777222.4600001</v>
      </c>
    </row>
    <row r="453" spans="1:7" x14ac:dyDescent="0.25">
      <c r="A453" s="36">
        <v>48492</v>
      </c>
      <c r="B453" s="71">
        <f t="shared" si="53"/>
        <v>30</v>
      </c>
      <c r="C453" s="33">
        <f t="shared" si="54"/>
        <v>13074833</v>
      </c>
      <c r="D453" s="48">
        <f t="shared" si="50"/>
        <v>8677617.7199999988</v>
      </c>
      <c r="E453" s="47">
        <f t="shared" si="55"/>
        <v>4397215.28</v>
      </c>
      <c r="F453" s="33">
        <f t="shared" si="51"/>
        <v>351777222.4600001</v>
      </c>
      <c r="G453" s="47">
        <f t="shared" si="52"/>
        <v>343099604.74000013</v>
      </c>
    </row>
    <row r="454" spans="1:7" x14ac:dyDescent="0.25">
      <c r="A454" s="36">
        <v>48523</v>
      </c>
      <c r="B454" s="71">
        <f t="shared" si="53"/>
        <v>30</v>
      </c>
      <c r="C454" s="33">
        <f t="shared" si="54"/>
        <v>13074833</v>
      </c>
      <c r="D454" s="48">
        <f t="shared" si="50"/>
        <v>8786087.9400000013</v>
      </c>
      <c r="E454" s="47">
        <f t="shared" si="55"/>
        <v>4288745.0599999996</v>
      </c>
      <c r="F454" s="33">
        <f t="shared" si="51"/>
        <v>343099604.74000013</v>
      </c>
      <c r="G454" s="47">
        <f t="shared" si="52"/>
        <v>334313516.80000013</v>
      </c>
    </row>
    <row r="455" spans="1:7" x14ac:dyDescent="0.25">
      <c r="A455" s="36">
        <v>48553</v>
      </c>
      <c r="B455" s="71">
        <f t="shared" si="53"/>
        <v>30</v>
      </c>
      <c r="C455" s="33">
        <f t="shared" si="54"/>
        <v>13074833</v>
      </c>
      <c r="D455" s="48">
        <f t="shared" si="50"/>
        <v>8895914.0399999991</v>
      </c>
      <c r="E455" s="47">
        <f t="shared" si="55"/>
        <v>4178918.96</v>
      </c>
      <c r="F455" s="33">
        <f t="shared" si="51"/>
        <v>334313516.80000013</v>
      </c>
      <c r="G455" s="47">
        <f t="shared" si="52"/>
        <v>325417602.76000011</v>
      </c>
    </row>
    <row r="456" spans="1:7" x14ac:dyDescent="0.25">
      <c r="A456" s="36">
        <v>48584</v>
      </c>
      <c r="B456" s="71">
        <f t="shared" si="53"/>
        <v>30</v>
      </c>
      <c r="C456" s="33">
        <f t="shared" si="54"/>
        <v>13074833</v>
      </c>
      <c r="D456" s="48">
        <f t="shared" si="50"/>
        <v>9007112.9700000007</v>
      </c>
      <c r="E456" s="47">
        <f t="shared" si="55"/>
        <v>4067720.03</v>
      </c>
      <c r="F456" s="33">
        <f t="shared" si="51"/>
        <v>325417602.76000011</v>
      </c>
      <c r="G456" s="47">
        <f t="shared" si="52"/>
        <v>316410489.79000008</v>
      </c>
    </row>
    <row r="457" spans="1:7" x14ac:dyDescent="0.25">
      <c r="A457" s="36">
        <v>48615</v>
      </c>
      <c r="B457" s="71">
        <f t="shared" si="53"/>
        <v>30</v>
      </c>
      <c r="C457" s="33">
        <f t="shared" si="54"/>
        <v>13074833</v>
      </c>
      <c r="D457" s="48">
        <f t="shared" si="50"/>
        <v>9119701.879999999</v>
      </c>
      <c r="E457" s="47">
        <f t="shared" si="55"/>
        <v>3955131.12</v>
      </c>
      <c r="F457" s="33">
        <f t="shared" si="51"/>
        <v>316410489.79000008</v>
      </c>
      <c r="G457" s="47">
        <f t="shared" si="52"/>
        <v>307290787.91000009</v>
      </c>
    </row>
    <row r="458" spans="1:7" x14ac:dyDescent="0.25">
      <c r="A458" s="36">
        <v>48643</v>
      </c>
      <c r="B458" s="71">
        <f t="shared" si="53"/>
        <v>30</v>
      </c>
      <c r="C458" s="33">
        <f t="shared" si="54"/>
        <v>13074833</v>
      </c>
      <c r="D458" s="48">
        <f t="shared" si="50"/>
        <v>9233698.1500000004</v>
      </c>
      <c r="E458" s="47">
        <f t="shared" si="55"/>
        <v>3841134.85</v>
      </c>
      <c r="F458" s="33">
        <f t="shared" si="51"/>
        <v>307290787.91000009</v>
      </c>
      <c r="G458" s="47">
        <f t="shared" si="52"/>
        <v>298057089.76000011</v>
      </c>
    </row>
    <row r="459" spans="1:7" x14ac:dyDescent="0.25">
      <c r="A459" s="36">
        <v>48674</v>
      </c>
      <c r="B459" s="71">
        <f t="shared" si="53"/>
        <v>30</v>
      </c>
      <c r="C459" s="33">
        <f t="shared" si="54"/>
        <v>13074833</v>
      </c>
      <c r="D459" s="48">
        <f t="shared" si="50"/>
        <v>9349119.379999999</v>
      </c>
      <c r="E459" s="47">
        <f t="shared" si="55"/>
        <v>3725713.62</v>
      </c>
      <c r="F459" s="33">
        <f t="shared" si="51"/>
        <v>298057089.76000011</v>
      </c>
      <c r="G459" s="47">
        <f t="shared" si="52"/>
        <v>288707970.38000011</v>
      </c>
    </row>
    <row r="460" spans="1:7" x14ac:dyDescent="0.25">
      <c r="A460" s="36">
        <v>48704</v>
      </c>
      <c r="B460" s="71">
        <f t="shared" si="53"/>
        <v>30</v>
      </c>
      <c r="C460" s="33">
        <f t="shared" si="54"/>
        <v>13074833</v>
      </c>
      <c r="D460" s="48">
        <f t="shared" si="50"/>
        <v>9465983.370000001</v>
      </c>
      <c r="E460" s="47">
        <f t="shared" si="55"/>
        <v>3608849.63</v>
      </c>
      <c r="F460" s="33">
        <f t="shared" si="51"/>
        <v>288707970.38000011</v>
      </c>
      <c r="G460" s="47">
        <f t="shared" si="52"/>
        <v>279241987.01000011</v>
      </c>
    </row>
    <row r="461" spans="1:7" x14ac:dyDescent="0.25">
      <c r="A461" s="36">
        <v>48735</v>
      </c>
      <c r="B461" s="71">
        <f t="shared" si="53"/>
        <v>30</v>
      </c>
      <c r="C461" s="33">
        <f t="shared" si="54"/>
        <v>13074833</v>
      </c>
      <c r="D461" s="48">
        <f t="shared" si="50"/>
        <v>9584308.1600000001</v>
      </c>
      <c r="E461" s="47">
        <f t="shared" si="55"/>
        <v>3490524.84</v>
      </c>
      <c r="F461" s="33">
        <f t="shared" si="51"/>
        <v>279241987.01000011</v>
      </c>
      <c r="G461" s="47">
        <f t="shared" si="52"/>
        <v>269657678.85000008</v>
      </c>
    </row>
    <row r="462" spans="1:7" x14ac:dyDescent="0.25">
      <c r="A462" s="36">
        <v>48765</v>
      </c>
      <c r="B462" s="71">
        <f t="shared" si="53"/>
        <v>30</v>
      </c>
      <c r="C462" s="33">
        <f t="shared" si="54"/>
        <v>13074833</v>
      </c>
      <c r="D462" s="48">
        <f t="shared" si="50"/>
        <v>9704112.0099999998</v>
      </c>
      <c r="E462" s="47">
        <f t="shared" si="55"/>
        <v>3370720.99</v>
      </c>
      <c r="F462" s="33">
        <f t="shared" si="51"/>
        <v>269657678.85000008</v>
      </c>
      <c r="G462" s="47">
        <f t="shared" si="52"/>
        <v>259953566.84000009</v>
      </c>
    </row>
    <row r="463" spans="1:7" x14ac:dyDescent="0.25">
      <c r="A463" s="36">
        <v>48796</v>
      </c>
      <c r="B463" s="71">
        <f t="shared" si="53"/>
        <v>30</v>
      </c>
      <c r="C463" s="33">
        <f t="shared" si="54"/>
        <v>13074833</v>
      </c>
      <c r="D463" s="48">
        <f t="shared" si="50"/>
        <v>9825413.4100000001</v>
      </c>
      <c r="E463" s="47">
        <f t="shared" si="55"/>
        <v>3249419.59</v>
      </c>
      <c r="F463" s="33">
        <f t="shared" si="51"/>
        <v>259953566.84000009</v>
      </c>
      <c r="G463" s="47">
        <f t="shared" si="52"/>
        <v>250128153.4300001</v>
      </c>
    </row>
    <row r="464" spans="1:7" x14ac:dyDescent="0.25">
      <c r="A464" s="36">
        <v>48827</v>
      </c>
      <c r="B464" s="71">
        <f t="shared" si="53"/>
        <v>30</v>
      </c>
      <c r="C464" s="33">
        <f t="shared" si="54"/>
        <v>13074833</v>
      </c>
      <c r="D464" s="48">
        <f t="shared" si="50"/>
        <v>9948231.0800000001</v>
      </c>
      <c r="E464" s="47">
        <f t="shared" si="55"/>
        <v>3126601.92</v>
      </c>
      <c r="F464" s="33">
        <f t="shared" si="51"/>
        <v>250128153.4300001</v>
      </c>
      <c r="G464" s="47">
        <f t="shared" si="52"/>
        <v>240179922.35000008</v>
      </c>
    </row>
    <row r="465" spans="1:7" x14ac:dyDescent="0.25">
      <c r="A465" s="36">
        <v>48857</v>
      </c>
      <c r="B465" s="71">
        <f t="shared" si="53"/>
        <v>30</v>
      </c>
      <c r="C465" s="33">
        <f t="shared" si="54"/>
        <v>13074833</v>
      </c>
      <c r="D465" s="48">
        <f t="shared" si="50"/>
        <v>10072583.970000001</v>
      </c>
      <c r="E465" s="47">
        <f t="shared" si="55"/>
        <v>3002249.03</v>
      </c>
      <c r="F465" s="33">
        <f t="shared" si="51"/>
        <v>240179922.35000008</v>
      </c>
      <c r="G465" s="47">
        <f t="shared" si="52"/>
        <v>230107338.38000008</v>
      </c>
    </row>
    <row r="466" spans="1:7" x14ac:dyDescent="0.25">
      <c r="A466" s="36">
        <v>48888</v>
      </c>
      <c r="B466" s="71">
        <f t="shared" si="53"/>
        <v>30</v>
      </c>
      <c r="C466" s="33">
        <f t="shared" si="54"/>
        <v>13074833</v>
      </c>
      <c r="D466" s="48">
        <f t="shared" si="50"/>
        <v>10198491.27</v>
      </c>
      <c r="E466" s="47">
        <f t="shared" si="55"/>
        <v>2876341.73</v>
      </c>
      <c r="F466" s="33">
        <f t="shared" si="51"/>
        <v>230107338.38000008</v>
      </c>
      <c r="G466" s="47">
        <f t="shared" si="52"/>
        <v>219908847.11000007</v>
      </c>
    </row>
    <row r="467" spans="1:7" x14ac:dyDescent="0.25">
      <c r="A467" s="36">
        <v>48918</v>
      </c>
      <c r="B467" s="71">
        <f t="shared" si="53"/>
        <v>30</v>
      </c>
      <c r="C467" s="33">
        <f t="shared" si="54"/>
        <v>13074833</v>
      </c>
      <c r="D467" s="48">
        <f t="shared" si="50"/>
        <v>10325972.41</v>
      </c>
      <c r="E467" s="47">
        <f t="shared" si="55"/>
        <v>2748860.59</v>
      </c>
      <c r="F467" s="33">
        <f t="shared" si="51"/>
        <v>219908847.11000007</v>
      </c>
      <c r="G467" s="47">
        <f t="shared" si="52"/>
        <v>209582874.70000008</v>
      </c>
    </row>
    <row r="468" spans="1:7" x14ac:dyDescent="0.25">
      <c r="A468" s="36">
        <v>48949</v>
      </c>
      <c r="B468" s="71">
        <f t="shared" si="53"/>
        <v>30</v>
      </c>
      <c r="C468" s="33">
        <f t="shared" si="54"/>
        <v>13074833</v>
      </c>
      <c r="D468" s="48">
        <f t="shared" si="50"/>
        <v>10455047.07</v>
      </c>
      <c r="E468" s="47">
        <f t="shared" si="55"/>
        <v>2619785.9300000002</v>
      </c>
      <c r="F468" s="33">
        <f t="shared" si="51"/>
        <v>209582874.70000008</v>
      </c>
      <c r="G468" s="47">
        <f t="shared" si="52"/>
        <v>199127827.63000008</v>
      </c>
    </row>
    <row r="469" spans="1:7" x14ac:dyDescent="0.25">
      <c r="A469" s="36">
        <v>48980</v>
      </c>
      <c r="B469" s="71">
        <f t="shared" si="53"/>
        <v>30</v>
      </c>
      <c r="C469" s="33">
        <f t="shared" si="54"/>
        <v>13074833</v>
      </c>
      <c r="D469" s="48">
        <f t="shared" si="50"/>
        <v>10585735.15</v>
      </c>
      <c r="E469" s="47">
        <f t="shared" si="55"/>
        <v>2489097.85</v>
      </c>
      <c r="F469" s="33">
        <f t="shared" si="51"/>
        <v>199127827.63000008</v>
      </c>
      <c r="G469" s="47">
        <f t="shared" si="52"/>
        <v>188542092.48000008</v>
      </c>
    </row>
    <row r="470" spans="1:7" x14ac:dyDescent="0.25">
      <c r="A470" s="36">
        <v>49008</v>
      </c>
      <c r="B470" s="71">
        <f t="shared" si="53"/>
        <v>30</v>
      </c>
      <c r="C470" s="33">
        <f t="shared" si="54"/>
        <v>13074833</v>
      </c>
      <c r="D470" s="48">
        <f t="shared" si="50"/>
        <v>10718056.84</v>
      </c>
      <c r="E470" s="47">
        <f t="shared" si="55"/>
        <v>2356776.16</v>
      </c>
      <c r="F470" s="33">
        <f t="shared" si="51"/>
        <v>188542092.48000008</v>
      </c>
      <c r="G470" s="47">
        <f t="shared" si="52"/>
        <v>177824035.64000008</v>
      </c>
    </row>
    <row r="471" spans="1:7" x14ac:dyDescent="0.25">
      <c r="A471" s="36">
        <v>49039</v>
      </c>
      <c r="B471" s="71">
        <f t="shared" si="53"/>
        <v>30</v>
      </c>
      <c r="C471" s="33">
        <f t="shared" si="54"/>
        <v>13074833</v>
      </c>
      <c r="D471" s="48">
        <f t="shared" si="50"/>
        <v>10852032.550000001</v>
      </c>
      <c r="E471" s="47">
        <f t="shared" si="55"/>
        <v>2222800.4500000002</v>
      </c>
      <c r="F471" s="33">
        <f t="shared" si="51"/>
        <v>177824035.64000008</v>
      </c>
      <c r="G471" s="47">
        <f t="shared" si="52"/>
        <v>166972003.09000006</v>
      </c>
    </row>
    <row r="472" spans="1:7" x14ac:dyDescent="0.25">
      <c r="A472" s="36">
        <v>49069</v>
      </c>
      <c r="B472" s="71">
        <f t="shared" si="53"/>
        <v>30</v>
      </c>
      <c r="C472" s="33">
        <f t="shared" si="54"/>
        <v>13074833</v>
      </c>
      <c r="D472" s="48">
        <f t="shared" si="50"/>
        <v>10987682.960000001</v>
      </c>
      <c r="E472" s="47">
        <f t="shared" si="55"/>
        <v>2087150.04</v>
      </c>
      <c r="F472" s="33">
        <f t="shared" si="51"/>
        <v>166972003.09000006</v>
      </c>
      <c r="G472" s="47">
        <f t="shared" si="52"/>
        <v>155984320.13000005</v>
      </c>
    </row>
    <row r="473" spans="1:7" x14ac:dyDescent="0.25">
      <c r="A473" s="36">
        <v>49100</v>
      </c>
      <c r="B473" s="71">
        <f t="shared" si="53"/>
        <v>30</v>
      </c>
      <c r="C473" s="33">
        <f t="shared" si="54"/>
        <v>13074833</v>
      </c>
      <c r="D473" s="48">
        <f t="shared" si="50"/>
        <v>11125029</v>
      </c>
      <c r="E473" s="47">
        <f t="shared" si="55"/>
        <v>1949804</v>
      </c>
      <c r="F473" s="33">
        <f t="shared" si="51"/>
        <v>155984320.13000005</v>
      </c>
      <c r="G473" s="47">
        <f t="shared" si="52"/>
        <v>144859291.13000005</v>
      </c>
    </row>
    <row r="474" spans="1:7" x14ac:dyDescent="0.25">
      <c r="A474" s="36">
        <v>49130</v>
      </c>
      <c r="B474" s="71">
        <f t="shared" si="53"/>
        <v>30</v>
      </c>
      <c r="C474" s="33">
        <f t="shared" si="54"/>
        <v>13074833</v>
      </c>
      <c r="D474" s="48">
        <f t="shared" si="50"/>
        <v>11264091.859999999</v>
      </c>
      <c r="E474" s="47">
        <f t="shared" si="55"/>
        <v>1810741.14</v>
      </c>
      <c r="F474" s="33">
        <f t="shared" si="51"/>
        <v>144859291.13000005</v>
      </c>
      <c r="G474" s="47">
        <f t="shared" si="52"/>
        <v>133595199.27000006</v>
      </c>
    </row>
    <row r="475" spans="1:7" x14ac:dyDescent="0.25">
      <c r="A475" s="36">
        <v>49161</v>
      </c>
      <c r="B475" s="71">
        <f t="shared" si="53"/>
        <v>30</v>
      </c>
      <c r="C475" s="33">
        <f t="shared" si="54"/>
        <v>13074833</v>
      </c>
      <c r="D475" s="48">
        <f t="shared" si="50"/>
        <v>11404893.01</v>
      </c>
      <c r="E475" s="47">
        <f t="shared" si="55"/>
        <v>1669939.99</v>
      </c>
      <c r="F475" s="33">
        <f t="shared" si="51"/>
        <v>133595199.27000006</v>
      </c>
      <c r="G475" s="47">
        <f t="shared" si="52"/>
        <v>122190306.26000005</v>
      </c>
    </row>
    <row r="476" spans="1:7" x14ac:dyDescent="0.25">
      <c r="A476" s="36">
        <v>49192</v>
      </c>
      <c r="B476" s="71">
        <f t="shared" si="53"/>
        <v>30</v>
      </c>
      <c r="C476" s="33">
        <f t="shared" si="54"/>
        <v>13074833</v>
      </c>
      <c r="D476" s="48">
        <f t="shared" si="50"/>
        <v>11547454.17</v>
      </c>
      <c r="E476" s="47">
        <f t="shared" si="55"/>
        <v>1527378.83</v>
      </c>
      <c r="F476" s="33">
        <f t="shared" si="51"/>
        <v>122190306.26000005</v>
      </c>
      <c r="G476" s="47">
        <f t="shared" si="52"/>
        <v>110642852.09000005</v>
      </c>
    </row>
    <row r="477" spans="1:7" x14ac:dyDescent="0.25">
      <c r="A477" s="36">
        <v>49222</v>
      </c>
      <c r="B477" s="71">
        <f t="shared" si="53"/>
        <v>30</v>
      </c>
      <c r="C477" s="33">
        <f t="shared" si="54"/>
        <v>13074833</v>
      </c>
      <c r="D477" s="48">
        <f t="shared" si="50"/>
        <v>11691797.35</v>
      </c>
      <c r="E477" s="47">
        <f t="shared" si="55"/>
        <v>1383035.65</v>
      </c>
      <c r="F477" s="33">
        <f t="shared" si="51"/>
        <v>110642852.09000005</v>
      </c>
      <c r="G477" s="47">
        <f t="shared" si="52"/>
        <v>98951054.740000054</v>
      </c>
    </row>
    <row r="478" spans="1:7" x14ac:dyDescent="0.25">
      <c r="A478" s="36">
        <v>49253</v>
      </c>
      <c r="B478" s="71">
        <f t="shared" si="53"/>
        <v>30</v>
      </c>
      <c r="C478" s="33">
        <f t="shared" si="54"/>
        <v>13074833</v>
      </c>
      <c r="D478" s="48">
        <f t="shared" si="50"/>
        <v>11837944.82</v>
      </c>
      <c r="E478" s="47">
        <f t="shared" si="55"/>
        <v>1236888.18</v>
      </c>
      <c r="F478" s="33">
        <f t="shared" si="51"/>
        <v>98951054.740000054</v>
      </c>
      <c r="G478" s="47">
        <f t="shared" si="52"/>
        <v>87113109.920000046</v>
      </c>
    </row>
    <row r="479" spans="1:7" x14ac:dyDescent="0.25">
      <c r="A479" s="36">
        <v>49283</v>
      </c>
      <c r="B479" s="71">
        <f t="shared" si="53"/>
        <v>30</v>
      </c>
      <c r="C479" s="33">
        <f t="shared" si="54"/>
        <v>13074833</v>
      </c>
      <c r="D479" s="48">
        <f t="shared" si="50"/>
        <v>11985919.129999999</v>
      </c>
      <c r="E479" s="47">
        <f t="shared" si="55"/>
        <v>1088913.8700000001</v>
      </c>
      <c r="F479" s="33">
        <f t="shared" si="51"/>
        <v>87113109.920000046</v>
      </c>
      <c r="G479" s="47">
        <f t="shared" si="52"/>
        <v>75127190.790000051</v>
      </c>
    </row>
    <row r="480" spans="1:7" x14ac:dyDescent="0.25">
      <c r="A480" s="36">
        <v>49314</v>
      </c>
      <c r="B480" s="71">
        <f t="shared" si="53"/>
        <v>30</v>
      </c>
      <c r="C480" s="33">
        <f t="shared" si="54"/>
        <v>13074833</v>
      </c>
      <c r="D480" s="48">
        <f t="shared" si="50"/>
        <v>12135743.119999999</v>
      </c>
      <c r="E480" s="47">
        <f t="shared" si="55"/>
        <v>939089.88</v>
      </c>
      <c r="F480" s="33">
        <f t="shared" si="51"/>
        <v>75127190.790000051</v>
      </c>
      <c r="G480" s="47">
        <f t="shared" si="52"/>
        <v>62991447.670000054</v>
      </c>
    </row>
    <row r="481" spans="1:7" x14ac:dyDescent="0.25">
      <c r="A481" s="36">
        <v>49345</v>
      </c>
      <c r="B481" s="71">
        <f t="shared" si="53"/>
        <v>30</v>
      </c>
      <c r="C481" s="33">
        <f t="shared" si="54"/>
        <v>13074833</v>
      </c>
      <c r="D481" s="48">
        <f t="shared" si="50"/>
        <v>12287439.9</v>
      </c>
      <c r="E481" s="47">
        <f t="shared" si="55"/>
        <v>787393.1</v>
      </c>
      <c r="F481" s="33">
        <f t="shared" si="51"/>
        <v>62991447.670000054</v>
      </c>
      <c r="G481" s="47">
        <f t="shared" si="52"/>
        <v>50704007.770000055</v>
      </c>
    </row>
    <row r="482" spans="1:7" x14ac:dyDescent="0.25">
      <c r="A482" s="36">
        <v>49373</v>
      </c>
      <c r="B482" s="71">
        <f t="shared" si="53"/>
        <v>30</v>
      </c>
      <c r="C482" s="33">
        <f t="shared" si="54"/>
        <v>13074833</v>
      </c>
      <c r="D482" s="48">
        <f t="shared" si="50"/>
        <v>12441032.9</v>
      </c>
      <c r="E482" s="47">
        <f t="shared" si="55"/>
        <v>633800.1</v>
      </c>
      <c r="F482" s="33">
        <f t="shared" si="51"/>
        <v>50704007.770000055</v>
      </c>
      <c r="G482" s="47">
        <f t="shared" si="52"/>
        <v>38262974.870000057</v>
      </c>
    </row>
    <row r="483" spans="1:7" x14ac:dyDescent="0.25">
      <c r="A483" s="36">
        <v>49404</v>
      </c>
      <c r="B483" s="71">
        <f t="shared" si="53"/>
        <v>30</v>
      </c>
      <c r="C483" s="33">
        <f t="shared" si="54"/>
        <v>13074833</v>
      </c>
      <c r="D483" s="48">
        <f t="shared" si="50"/>
        <v>12596545.810000001</v>
      </c>
      <c r="E483" s="47">
        <f t="shared" si="55"/>
        <v>478287.19</v>
      </c>
      <c r="F483" s="33">
        <f t="shared" si="51"/>
        <v>38262974.870000057</v>
      </c>
      <c r="G483" s="47">
        <f t="shared" si="52"/>
        <v>25666429.060000055</v>
      </c>
    </row>
    <row r="484" spans="1:7" x14ac:dyDescent="0.25">
      <c r="A484" s="36">
        <v>49434</v>
      </c>
      <c r="B484" s="71">
        <f t="shared" si="53"/>
        <v>30</v>
      </c>
      <c r="C484" s="33">
        <f t="shared" si="54"/>
        <v>13074833</v>
      </c>
      <c r="D484" s="48">
        <f t="shared" si="50"/>
        <v>12754002.640000001</v>
      </c>
      <c r="E484" s="47">
        <f t="shared" si="55"/>
        <v>320830.36</v>
      </c>
      <c r="F484" s="33">
        <f t="shared" si="51"/>
        <v>25666429.060000055</v>
      </c>
      <c r="G484" s="47">
        <f t="shared" si="52"/>
        <v>12912426.420000054</v>
      </c>
    </row>
    <row r="485" spans="1:7" x14ac:dyDescent="0.25">
      <c r="A485" s="36">
        <v>49465</v>
      </c>
      <c r="B485" s="71">
        <f t="shared" si="53"/>
        <v>30</v>
      </c>
      <c r="C485" s="33">
        <f t="shared" si="54"/>
        <v>13074833</v>
      </c>
      <c r="D485" s="48">
        <f t="shared" si="50"/>
        <v>12912426.420000054</v>
      </c>
      <c r="E485" s="47">
        <v>162406.57999994597</v>
      </c>
      <c r="F485" s="33">
        <f t="shared" si="51"/>
        <v>12912426.420000054</v>
      </c>
      <c r="G485" s="47">
        <f t="shared" si="52"/>
        <v>0</v>
      </c>
    </row>
  </sheetData>
  <pageMargins left="0.7" right="0.7" top="0.75" bottom="0.75" header="0.3" footer="0.3"/>
  <pageSetup orientation="portrait" r:id="rId1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5DE26B-DE94-46A1-A4AB-F5EFE0EEE912}">
  <dimension ref="A1:J9"/>
  <sheetViews>
    <sheetView zoomScale="85" zoomScaleNormal="90" workbookViewId="0">
      <pane ySplit="3" topLeftCell="A4" activePane="bottomLeft" state="frozen"/>
      <selection activeCell="R2" sqref="R2:R5"/>
      <selection pane="bottomLeft" sqref="A1:J9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6.71093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ROUNDUP(3417.704133627,0)</f>
        <v>3418</v>
      </c>
      <c r="E1" s="25" t="s">
        <v>51</v>
      </c>
      <c r="F1" s="32">
        <f>ROUNDUP(6792.11585663351,0)</f>
        <v>6793</v>
      </c>
      <c r="G1" s="28" t="s">
        <v>52</v>
      </c>
      <c r="H1" s="26">
        <v>41887</v>
      </c>
      <c r="I1" s="28" t="s">
        <v>115</v>
      </c>
      <c r="J1" s="27">
        <v>2</v>
      </c>
    </row>
    <row r="2" spans="1:10" x14ac:dyDescent="0.25">
      <c r="A2" s="17" t="s">
        <v>34</v>
      </c>
      <c r="B2" s="18">
        <v>0.15</v>
      </c>
      <c r="C2" s="30" t="s">
        <v>60</v>
      </c>
      <c r="D2" s="32">
        <v>0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36">
        <v>41856</v>
      </c>
      <c r="B4" s="46">
        <f>A4-B1</f>
        <v>3</v>
      </c>
      <c r="C4" s="10" t="s">
        <v>15</v>
      </c>
      <c r="D4" s="48">
        <v>0</v>
      </c>
      <c r="E4" s="49">
        <f>ROUNDUP(F4*B2*B4/365,0)</f>
        <v>13</v>
      </c>
      <c r="F4" s="23">
        <v>10000</v>
      </c>
      <c r="G4" s="47">
        <f t="shared" ref="G4:G7" si="0">F4-D4</f>
        <v>10000</v>
      </c>
    </row>
    <row r="5" spans="1:10" x14ac:dyDescent="0.25">
      <c r="A5" s="36">
        <v>41887</v>
      </c>
      <c r="B5" s="46">
        <f>A5-A4</f>
        <v>31</v>
      </c>
      <c r="C5" s="33">
        <f>$D$1</f>
        <v>3418</v>
      </c>
      <c r="D5" s="48">
        <f t="shared" ref="D5:D9" si="1">C5-E5</f>
        <v>3290.6</v>
      </c>
      <c r="E5" s="49">
        <f>ROUND(F5*$B$2*B5/365,2)</f>
        <v>127.4</v>
      </c>
      <c r="F5" s="33">
        <f>G4</f>
        <v>10000</v>
      </c>
      <c r="G5" s="47">
        <f t="shared" si="0"/>
        <v>6709.4</v>
      </c>
    </row>
    <row r="6" spans="1:10" x14ac:dyDescent="0.25">
      <c r="A6" s="36">
        <v>41917</v>
      </c>
      <c r="B6" s="46">
        <f t="shared" ref="B6:B7" si="2">A6-A5</f>
        <v>30</v>
      </c>
      <c r="C6" s="33">
        <f t="shared" ref="C6:C7" si="3">$D$1</f>
        <v>3418</v>
      </c>
      <c r="D6" s="48">
        <f t="shared" si="1"/>
        <v>3335.28</v>
      </c>
      <c r="E6" s="49">
        <f t="shared" ref="E6" si="4">ROUND(F6*$B$2*B6/365,2)</f>
        <v>82.72</v>
      </c>
      <c r="F6" s="33">
        <f t="shared" ref="F6:F7" si="5">G5</f>
        <v>6709.4</v>
      </c>
      <c r="G6" s="47">
        <f t="shared" si="0"/>
        <v>3374.1199999999994</v>
      </c>
    </row>
    <row r="7" spans="1:10" x14ac:dyDescent="0.25">
      <c r="A7" s="36">
        <v>41948</v>
      </c>
      <c r="B7" s="46">
        <f t="shared" si="2"/>
        <v>31</v>
      </c>
      <c r="C7" s="33">
        <f t="shared" si="3"/>
        <v>3418</v>
      </c>
      <c r="D7" s="48">
        <f t="shared" si="1"/>
        <v>3374.1199999999994</v>
      </c>
      <c r="E7" s="49">
        <v>43.880000000000784</v>
      </c>
      <c r="F7" s="33">
        <f t="shared" si="5"/>
        <v>3374.1199999999994</v>
      </c>
      <c r="G7" s="47">
        <f t="shared" si="0"/>
        <v>0</v>
      </c>
    </row>
    <row r="8" spans="1:10" x14ac:dyDescent="0.25">
      <c r="A8" s="36">
        <v>41887</v>
      </c>
      <c r="B8" s="46">
        <f>A5-A4</f>
        <v>31</v>
      </c>
      <c r="C8" s="33">
        <f>$D$1</f>
        <v>3418</v>
      </c>
      <c r="D8" s="48">
        <f t="shared" ref="D8" si="6">C8-E8</f>
        <v>3290.6</v>
      </c>
      <c r="E8" s="49">
        <f>ROUND(F5*$B$2*B5/365,2)</f>
        <v>127.4</v>
      </c>
      <c r="F8" s="33">
        <f>G4</f>
        <v>10000</v>
      </c>
      <c r="G8" s="47">
        <f t="shared" ref="G8" si="7">F8-D8</f>
        <v>6709.4</v>
      </c>
    </row>
    <row r="9" spans="1:10" x14ac:dyDescent="0.25">
      <c r="A9" s="36">
        <v>41917</v>
      </c>
      <c r="B9" s="46">
        <f>A6-A5</f>
        <v>30</v>
      </c>
      <c r="C9" s="33">
        <f>$F$1</f>
        <v>6793</v>
      </c>
      <c r="D9" s="48">
        <f t="shared" si="1"/>
        <v>6709.4</v>
      </c>
      <c r="E9" s="49">
        <v>83.6</v>
      </c>
      <c r="F9" s="33">
        <f>G5</f>
        <v>6709.4</v>
      </c>
      <c r="G9" s="47">
        <f>F9-D9</f>
        <v>0</v>
      </c>
    </row>
  </sheetData>
  <pageMargins left="0.7" right="0.7" top="0.75" bottom="0.75" header="0.3" footer="0.3"/>
  <pageSetup orientation="portrait" r:id="rId1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0E874-7F39-4193-AA63-261626A27EB3}">
  <dimension ref="A1:J9"/>
  <sheetViews>
    <sheetView zoomScale="85" zoomScaleNormal="90" workbookViewId="0">
      <pane ySplit="3" topLeftCell="A4" activePane="bottomLeft" state="frozen"/>
      <selection activeCell="R2" sqref="R2:R5"/>
      <selection pane="bottomLeft" activeCell="E10" sqref="E10"/>
    </sheetView>
  </sheetViews>
  <sheetFormatPr defaultRowHeight="15" x14ac:dyDescent="0.25"/>
  <cols>
    <col min="1" max="1" width="15.7109375" customWidth="1"/>
    <col min="2" max="2" width="12.7109375" bestFit="1" customWidth="1"/>
    <col min="3" max="3" width="25" bestFit="1" customWidth="1"/>
    <col min="4" max="4" width="15.5703125" bestFit="1" customWidth="1"/>
    <col min="5" max="5" width="24.85546875" bestFit="1" customWidth="1"/>
    <col min="6" max="6" width="17.5703125" bestFit="1" customWidth="1"/>
    <col min="7" max="7" width="18.7109375" bestFit="1" customWidth="1"/>
    <col min="8" max="8" width="15.7109375" bestFit="1" customWidth="1"/>
    <col min="9" max="9" width="21.7109375" bestFit="1" customWidth="1"/>
    <col min="10" max="10" width="5.7109375" bestFit="1" customWidth="1"/>
  </cols>
  <sheetData>
    <row r="1" spans="1:10" x14ac:dyDescent="0.25">
      <c r="A1" s="17" t="s">
        <v>33</v>
      </c>
      <c r="B1" s="22">
        <v>41853</v>
      </c>
      <c r="C1" s="15" t="s">
        <v>37</v>
      </c>
      <c r="D1" s="37">
        <f>ROUNDUP(3417.704133627,0)</f>
        <v>3418</v>
      </c>
      <c r="E1" s="25" t="s">
        <v>51</v>
      </c>
      <c r="F1" s="32">
        <f>ROUNDUP(6790.11585663351,0)</f>
        <v>6791</v>
      </c>
      <c r="G1" s="28" t="s">
        <v>52</v>
      </c>
      <c r="H1" s="26">
        <v>41887</v>
      </c>
      <c r="I1" s="28" t="s">
        <v>115</v>
      </c>
      <c r="J1" s="27">
        <v>2</v>
      </c>
    </row>
    <row r="2" spans="1:10" x14ac:dyDescent="0.25">
      <c r="A2" s="17" t="s">
        <v>34</v>
      </c>
      <c r="B2" s="18">
        <v>0.15</v>
      </c>
      <c r="C2" s="30" t="s">
        <v>60</v>
      </c>
      <c r="D2" s="32">
        <v>0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36">
        <v>41856</v>
      </c>
      <c r="B4" s="46">
        <f>DAYS360(B1,A4,TRUE)</f>
        <v>3</v>
      </c>
      <c r="C4" s="10" t="s">
        <v>15</v>
      </c>
      <c r="D4" s="48">
        <v>0</v>
      </c>
      <c r="E4" s="49">
        <f>ROUNDUP(F4*B2*B4/360,0)</f>
        <v>13</v>
      </c>
      <c r="F4" s="23">
        <v>10000</v>
      </c>
      <c r="G4" s="47">
        <f t="shared" ref="G4:G8" si="0">F4-D4</f>
        <v>10000</v>
      </c>
    </row>
    <row r="5" spans="1:10" x14ac:dyDescent="0.25">
      <c r="A5" s="36">
        <v>41887</v>
      </c>
      <c r="B5" s="46">
        <f>DAYS360(A4,A5,TRUE)</f>
        <v>30</v>
      </c>
      <c r="C5" s="33">
        <f>$D$1</f>
        <v>3418</v>
      </c>
      <c r="D5" s="48">
        <f t="shared" ref="D5:D9" si="1">C5-E5</f>
        <v>3293</v>
      </c>
      <c r="E5" s="49">
        <f>ROUND(F5*$B$2*B5/360,2)</f>
        <v>125</v>
      </c>
      <c r="F5" s="33">
        <f>G4</f>
        <v>10000</v>
      </c>
      <c r="G5" s="47">
        <f t="shared" si="0"/>
        <v>6707</v>
      </c>
    </row>
    <row r="6" spans="1:10" x14ac:dyDescent="0.25">
      <c r="A6" s="36">
        <v>41917</v>
      </c>
      <c r="B6" s="46">
        <f t="shared" ref="B6:B9" si="2">DAYS360(A5,A6,TRUE)</f>
        <v>30</v>
      </c>
      <c r="C6" s="33">
        <f t="shared" ref="C6:C7" si="3">$D$1</f>
        <v>3418</v>
      </c>
      <c r="D6" s="48">
        <f t="shared" si="1"/>
        <v>3334.16</v>
      </c>
      <c r="E6" s="49">
        <f>ROUND(F6*$B$2*B6/360,2)</f>
        <v>83.84</v>
      </c>
      <c r="F6" s="33">
        <f t="shared" ref="F6:F7" si="4">G5</f>
        <v>6707</v>
      </c>
      <c r="G6" s="47">
        <f t="shared" si="0"/>
        <v>3372.84</v>
      </c>
    </row>
    <row r="7" spans="1:10" x14ac:dyDescent="0.25">
      <c r="A7" s="36">
        <v>41948</v>
      </c>
      <c r="B7" s="46">
        <f t="shared" si="2"/>
        <v>30</v>
      </c>
      <c r="C7" s="33">
        <f t="shared" si="3"/>
        <v>3418</v>
      </c>
      <c r="D7" s="48">
        <f t="shared" si="1"/>
        <v>3372.84</v>
      </c>
      <c r="E7" s="49">
        <v>45.16</v>
      </c>
      <c r="F7" s="33">
        <f t="shared" si="4"/>
        <v>3372.84</v>
      </c>
      <c r="G7" s="47">
        <f t="shared" si="0"/>
        <v>0</v>
      </c>
    </row>
    <row r="8" spans="1:10" x14ac:dyDescent="0.25">
      <c r="A8" s="36">
        <v>41887</v>
      </c>
      <c r="B8" s="46">
        <f>DAYS360(A4,A5,TRUE)</f>
        <v>30</v>
      </c>
      <c r="C8" s="33">
        <f>$D$1</f>
        <v>3418</v>
      </c>
      <c r="D8" s="48">
        <f t="shared" si="1"/>
        <v>3293</v>
      </c>
      <c r="E8" s="49">
        <f>ROUND(F5*$B$2*B5/360,2)</f>
        <v>125</v>
      </c>
      <c r="F8" s="33">
        <f>G4</f>
        <v>10000</v>
      </c>
      <c r="G8" s="47">
        <f t="shared" si="0"/>
        <v>6707</v>
      </c>
    </row>
    <row r="9" spans="1:10" x14ac:dyDescent="0.25">
      <c r="A9" s="36">
        <v>41917</v>
      </c>
      <c r="B9" s="46">
        <f t="shared" si="2"/>
        <v>30</v>
      </c>
      <c r="C9" s="33">
        <f>$F$1</f>
        <v>6791</v>
      </c>
      <c r="D9" s="48">
        <f t="shared" si="1"/>
        <v>6707</v>
      </c>
      <c r="E9" s="49">
        <v>84</v>
      </c>
      <c r="F9" s="33">
        <f>G5</f>
        <v>6707</v>
      </c>
      <c r="G9" s="47">
        <f>F9-D9</f>
        <v>0</v>
      </c>
    </row>
  </sheetData>
  <pageMargins left="0.7" right="0.7" top="0.75" bottom="0.75" header="0.3" footer="0.3"/>
  <pageSetup orientation="portrait" r:id="rId1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A857C6-EE99-4D2D-BB23-BE0E43E9CBB6}">
  <dimension ref="A1:X3"/>
  <sheetViews>
    <sheetView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4" width="116.28515625" bestFit="1" customWidth="1"/>
  </cols>
  <sheetData>
    <row r="1" spans="1:24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32</v>
      </c>
    </row>
    <row r="2" spans="1:24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122</v>
      </c>
      <c r="P2" s="20" t="s">
        <v>104</v>
      </c>
      <c r="Q2" s="20" t="s">
        <v>107</v>
      </c>
      <c r="R2" s="20" t="s">
        <v>138</v>
      </c>
      <c r="S2" s="20" t="s">
        <v>45</v>
      </c>
      <c r="T2" s="20" t="s">
        <v>135</v>
      </c>
      <c r="U2" s="20" t="s">
        <v>139</v>
      </c>
      <c r="V2" s="20" t="s">
        <v>21</v>
      </c>
      <c r="W2" s="20" t="s">
        <v>140</v>
      </c>
      <c r="X2" s="50" t="s">
        <v>151</v>
      </c>
    </row>
    <row r="3" spans="1:24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122</v>
      </c>
      <c r="P3" s="20" t="s">
        <v>104</v>
      </c>
      <c r="Q3" s="20" t="s">
        <v>107</v>
      </c>
      <c r="R3" s="20" t="s">
        <v>138</v>
      </c>
      <c r="S3" s="20" t="s">
        <v>45</v>
      </c>
      <c r="T3" s="20" t="s">
        <v>135</v>
      </c>
      <c r="U3" s="20" t="s">
        <v>139</v>
      </c>
      <c r="V3" s="20" t="s">
        <v>21</v>
      </c>
      <c r="W3" s="20" t="s">
        <v>140</v>
      </c>
      <c r="X3" s="50" t="s">
        <v>152</v>
      </c>
    </row>
  </sheetData>
  <pageMargins left="0.7" right="0.7" top="0.75" bottom="0.75" header="0.3" footer="0.3"/>
  <pageSetup orientation="portrait" r:id="rId1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E11228-7BA5-44A7-B0AA-8D15DF5F0EF2}">
  <dimension ref="A1:N67"/>
  <sheetViews>
    <sheetView zoomScale="94" zoomScaleNormal="80" workbookViewId="0">
      <pane ySplit="3" topLeftCell="A34" activePane="bottomLeft" state="frozen"/>
      <selection activeCell="R2" sqref="R2"/>
      <selection pane="bottomLeft" activeCell="E52" sqref="E5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3.42578125" bestFit="1" customWidth="1"/>
    <col min="11" max="11" width="25.140625" bestFit="1" customWidth="1"/>
    <col min="12" max="12" width="10.85546875" bestFit="1" customWidth="1"/>
    <col min="13" max="13" width="17.42578125" bestFit="1" customWidth="1"/>
    <col min="14" max="14" width="10.5703125" bestFit="1" customWidth="1"/>
  </cols>
  <sheetData>
    <row r="1" spans="1:14" x14ac:dyDescent="0.25">
      <c r="A1" s="17" t="s">
        <v>33</v>
      </c>
      <c r="B1" s="78">
        <v>41856</v>
      </c>
      <c r="C1" s="17" t="s">
        <v>37</v>
      </c>
      <c r="D1" s="79">
        <f>ROUNDUP(34673.5343079289,0)</f>
        <v>34674</v>
      </c>
      <c r="E1" s="73" t="s">
        <v>106</v>
      </c>
      <c r="F1" s="79">
        <f>ROUNDUP(30427.8139146948,0)</f>
        <v>30428</v>
      </c>
      <c r="G1" s="80" t="s">
        <v>52</v>
      </c>
      <c r="H1" s="81">
        <v>42248</v>
      </c>
      <c r="I1" s="73" t="s">
        <v>124</v>
      </c>
      <c r="J1" s="73">
        <v>40</v>
      </c>
      <c r="K1" s="73" t="s">
        <v>125</v>
      </c>
      <c r="L1" s="74">
        <v>42614</v>
      </c>
      <c r="M1" s="73" t="s">
        <v>123</v>
      </c>
      <c r="N1" s="74">
        <v>42979</v>
      </c>
    </row>
    <row r="2" spans="1:14" x14ac:dyDescent="0.25">
      <c r="A2" s="75" t="s">
        <v>34</v>
      </c>
      <c r="B2" s="76">
        <v>0.15</v>
      </c>
      <c r="C2" t="s">
        <v>136</v>
      </c>
      <c r="D2">
        <f>L1-A27</f>
        <v>27</v>
      </c>
      <c r="E2" t="s">
        <v>137</v>
      </c>
      <c r="F2">
        <f>A28-L1</f>
        <v>4</v>
      </c>
      <c r="K2" s="77" t="s">
        <v>126</v>
      </c>
      <c r="L2" s="79">
        <f>ROUNDUP(30084.6835204791,0)</f>
        <v>30085</v>
      </c>
      <c r="M2" s="73" t="s">
        <v>106</v>
      </c>
      <c r="N2" s="79">
        <f>ROUNDUP(30482.5901368555,0)</f>
        <v>30483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K3" s="73" t="s">
        <v>127</v>
      </c>
      <c r="L3" s="73">
        <v>5000</v>
      </c>
      <c r="M3" s="73" t="s">
        <v>128</v>
      </c>
      <c r="N3" s="82">
        <v>0.25</v>
      </c>
    </row>
    <row r="4" spans="1:14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39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4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4" x14ac:dyDescent="0.25">
      <c r="A6" s="36">
        <v>41948</v>
      </c>
      <c r="B6" s="46">
        <f t="shared" ref="B6:B67" si="2">A6-A5</f>
        <v>31</v>
      </c>
      <c r="C6" s="47">
        <f t="shared" ref="C6:C39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67" si="5">G5</f>
        <v>955450.07</v>
      </c>
      <c r="G6" s="47">
        <f t="shared" ref="G6:G67" si="6">F6-D6</f>
        <v>932948.24</v>
      </c>
    </row>
    <row r="7" spans="1:14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4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4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4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4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4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4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4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4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4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70">
        <v>42252</v>
      </c>
      <c r="B40" s="46">
        <f>A40-A15</f>
        <v>31</v>
      </c>
      <c r="C40" s="47">
        <f>$F$1</f>
        <v>30428</v>
      </c>
      <c r="D40" s="48">
        <f>C40-E40</f>
        <v>21320.89</v>
      </c>
      <c r="E40" s="68">
        <f>ROUND(F16*$B$2*B16/365,2)</f>
        <v>9107.11</v>
      </c>
      <c r="F40" s="47">
        <f>G15</f>
        <v>714859.15999999992</v>
      </c>
      <c r="G40" s="47">
        <f t="shared" si="6"/>
        <v>693538.2699999999</v>
      </c>
    </row>
    <row r="41" spans="1:7" x14ac:dyDescent="0.25">
      <c r="A41" s="70">
        <v>42282</v>
      </c>
      <c r="B41" s="46">
        <f t="shared" si="2"/>
        <v>30</v>
      </c>
      <c r="C41" s="47">
        <f>$F$1</f>
        <v>30428</v>
      </c>
      <c r="D41" s="48">
        <f t="shared" ref="D41:D67" si="7">C41-E41</f>
        <v>21877.53</v>
      </c>
      <c r="E41" s="68">
        <f>ROUND(F41*$B$2*B41/365,2)</f>
        <v>8550.4699999999993</v>
      </c>
      <c r="F41" s="47">
        <f t="shared" si="5"/>
        <v>693538.2699999999</v>
      </c>
      <c r="G41" s="47">
        <f t="shared" si="6"/>
        <v>671660.73999999987</v>
      </c>
    </row>
    <row r="42" spans="1:7" x14ac:dyDescent="0.25">
      <c r="A42" s="70">
        <v>42313</v>
      </c>
      <c r="B42" s="46">
        <f t="shared" si="2"/>
        <v>31</v>
      </c>
      <c r="C42" s="47">
        <f t="shared" ref="C42:C51" si="8">$F$1</f>
        <v>30428</v>
      </c>
      <c r="D42" s="48">
        <f t="shared" si="7"/>
        <v>21871.23</v>
      </c>
      <c r="E42" s="68">
        <f t="shared" ref="E42:E63" si="9">ROUND(F42*$B$2*B42/365,2)</f>
        <v>8556.77</v>
      </c>
      <c r="F42" s="47">
        <f t="shared" si="5"/>
        <v>671660.73999999987</v>
      </c>
      <c r="G42" s="47">
        <f t="shared" si="6"/>
        <v>649789.50999999989</v>
      </c>
    </row>
    <row r="43" spans="1:7" x14ac:dyDescent="0.25">
      <c r="A43" s="70">
        <v>42343</v>
      </c>
      <c r="B43" s="46">
        <f t="shared" si="2"/>
        <v>30</v>
      </c>
      <c r="C43" s="47">
        <f t="shared" si="8"/>
        <v>30428</v>
      </c>
      <c r="D43" s="48">
        <f t="shared" si="7"/>
        <v>22416.9</v>
      </c>
      <c r="E43" s="68">
        <f t="shared" si="9"/>
        <v>8011.1</v>
      </c>
      <c r="F43" s="47">
        <f t="shared" si="5"/>
        <v>649789.50999999989</v>
      </c>
      <c r="G43" s="47">
        <f t="shared" si="6"/>
        <v>627372.60999999987</v>
      </c>
    </row>
    <row r="44" spans="1:7" x14ac:dyDescent="0.25">
      <c r="A44" s="70">
        <v>42374</v>
      </c>
      <c r="B44" s="46">
        <f t="shared" si="2"/>
        <v>31</v>
      </c>
      <c r="C44" s="47">
        <f t="shared" si="8"/>
        <v>30428</v>
      </c>
      <c r="D44" s="48">
        <f t="shared" si="7"/>
        <v>22435.439999999999</v>
      </c>
      <c r="E44" s="68">
        <f t="shared" si="9"/>
        <v>7992.56</v>
      </c>
      <c r="F44" s="47">
        <f t="shared" si="5"/>
        <v>627372.60999999987</v>
      </c>
      <c r="G44" s="47">
        <f t="shared" si="6"/>
        <v>604937.16999999993</v>
      </c>
    </row>
    <row r="45" spans="1:7" x14ac:dyDescent="0.25">
      <c r="A45" s="70">
        <v>42405</v>
      </c>
      <c r="B45" s="46">
        <f t="shared" si="2"/>
        <v>31</v>
      </c>
      <c r="C45" s="47">
        <f t="shared" si="8"/>
        <v>30428</v>
      </c>
      <c r="D45" s="48">
        <f t="shared" si="7"/>
        <v>22721.27</v>
      </c>
      <c r="E45" s="68">
        <f t="shared" si="9"/>
        <v>7706.73</v>
      </c>
      <c r="F45" s="47">
        <f t="shared" si="5"/>
        <v>604937.16999999993</v>
      </c>
      <c r="G45" s="47">
        <f t="shared" si="6"/>
        <v>582215.89999999991</v>
      </c>
    </row>
    <row r="46" spans="1:7" x14ac:dyDescent="0.25">
      <c r="A46" s="70">
        <v>42434</v>
      </c>
      <c r="B46" s="46">
        <f t="shared" si="2"/>
        <v>29</v>
      </c>
      <c r="C46" s="47">
        <f t="shared" si="8"/>
        <v>30428</v>
      </c>
      <c r="D46" s="48">
        <f t="shared" si="7"/>
        <v>23489.260000000002</v>
      </c>
      <c r="E46" s="68">
        <f t="shared" si="9"/>
        <v>6938.74</v>
      </c>
      <c r="F46" s="47">
        <f t="shared" si="5"/>
        <v>582215.89999999991</v>
      </c>
      <c r="G46" s="47">
        <f t="shared" si="6"/>
        <v>558726.6399999999</v>
      </c>
    </row>
    <row r="47" spans="1:7" x14ac:dyDescent="0.25">
      <c r="A47" s="70">
        <v>42465</v>
      </c>
      <c r="B47" s="46">
        <f t="shared" si="2"/>
        <v>31</v>
      </c>
      <c r="C47" s="47">
        <f t="shared" si="8"/>
        <v>30428</v>
      </c>
      <c r="D47" s="48">
        <f t="shared" si="7"/>
        <v>23309.98</v>
      </c>
      <c r="E47" s="68">
        <f t="shared" si="9"/>
        <v>7118.02</v>
      </c>
      <c r="F47" s="47">
        <f t="shared" si="5"/>
        <v>558726.6399999999</v>
      </c>
      <c r="G47" s="47">
        <f t="shared" si="6"/>
        <v>535416.65999999992</v>
      </c>
    </row>
    <row r="48" spans="1:7" x14ac:dyDescent="0.25">
      <c r="A48" s="70">
        <v>42495</v>
      </c>
      <c r="B48" s="46">
        <f t="shared" si="2"/>
        <v>30</v>
      </c>
      <c r="C48" s="47">
        <f t="shared" si="8"/>
        <v>30428</v>
      </c>
      <c r="D48" s="48">
        <f t="shared" si="7"/>
        <v>23826.97</v>
      </c>
      <c r="E48" s="68">
        <f t="shared" si="9"/>
        <v>6601.03</v>
      </c>
      <c r="F48" s="47">
        <f t="shared" si="5"/>
        <v>535416.65999999992</v>
      </c>
      <c r="G48" s="47">
        <f t="shared" si="6"/>
        <v>511589.68999999994</v>
      </c>
    </row>
    <row r="49" spans="1:7" x14ac:dyDescent="0.25">
      <c r="A49" s="70">
        <v>42526</v>
      </c>
      <c r="B49" s="46">
        <f t="shared" si="2"/>
        <v>31</v>
      </c>
      <c r="C49" s="47">
        <f t="shared" si="8"/>
        <v>30428</v>
      </c>
      <c r="D49" s="48">
        <f t="shared" si="7"/>
        <v>23910.489999999998</v>
      </c>
      <c r="E49" s="68">
        <f t="shared" si="9"/>
        <v>6517.51</v>
      </c>
      <c r="F49" s="47">
        <f t="shared" si="5"/>
        <v>511589.68999999994</v>
      </c>
      <c r="G49" s="47">
        <f t="shared" si="6"/>
        <v>487679.19999999995</v>
      </c>
    </row>
    <row r="50" spans="1:7" x14ac:dyDescent="0.25">
      <c r="A50" s="70">
        <v>42556</v>
      </c>
      <c r="B50" s="46">
        <f t="shared" si="2"/>
        <v>30</v>
      </c>
      <c r="C50" s="47">
        <f t="shared" si="8"/>
        <v>30428</v>
      </c>
      <c r="D50" s="48">
        <f t="shared" si="7"/>
        <v>24415.52</v>
      </c>
      <c r="E50" s="68">
        <f t="shared" si="9"/>
        <v>6012.48</v>
      </c>
      <c r="F50" s="47">
        <f t="shared" si="5"/>
        <v>487679.19999999995</v>
      </c>
      <c r="G50" s="47">
        <f t="shared" si="6"/>
        <v>463263.67999999993</v>
      </c>
    </row>
    <row r="51" spans="1:7" x14ac:dyDescent="0.25">
      <c r="A51" s="70">
        <v>42587</v>
      </c>
      <c r="B51" s="46">
        <f t="shared" si="2"/>
        <v>31</v>
      </c>
      <c r="C51" s="47">
        <f t="shared" si="8"/>
        <v>30428</v>
      </c>
      <c r="D51" s="48">
        <f t="shared" si="7"/>
        <v>24526.15</v>
      </c>
      <c r="E51" s="68">
        <f>ROUND(F51*$B$2*B51/365,2)</f>
        <v>5901.85</v>
      </c>
      <c r="F51" s="47">
        <f>G50</f>
        <v>463263.67999999993</v>
      </c>
      <c r="G51" s="47">
        <f t="shared" si="6"/>
        <v>438737.52999999991</v>
      </c>
    </row>
    <row r="52" spans="1:7" x14ac:dyDescent="0.25">
      <c r="A52" s="70">
        <v>42618</v>
      </c>
      <c r="B52" s="46">
        <f t="shared" si="2"/>
        <v>31</v>
      </c>
      <c r="C52" s="47">
        <f>$L$2</f>
        <v>30085</v>
      </c>
      <c r="D52" s="48">
        <f t="shared" si="7"/>
        <v>24503.82</v>
      </c>
      <c r="E52" s="68">
        <f>ROUND((G51*$B$2*D2/365)+(F52*$B$2*F2/365),2)</f>
        <v>5581.18</v>
      </c>
      <c r="F52" s="47">
        <f>G51-L3</f>
        <v>433737.52999999991</v>
      </c>
      <c r="G52" s="47">
        <f t="shared" si="6"/>
        <v>409233.7099999999</v>
      </c>
    </row>
    <row r="53" spans="1:7" x14ac:dyDescent="0.25">
      <c r="A53" s="70">
        <v>42648</v>
      </c>
      <c r="B53" s="46">
        <f t="shared" si="2"/>
        <v>30</v>
      </c>
      <c r="C53" s="47">
        <f t="shared" ref="C53:C63" si="10">$L$2</f>
        <v>30085</v>
      </c>
      <c r="D53" s="48">
        <f t="shared" si="7"/>
        <v>25039.65</v>
      </c>
      <c r="E53" s="68">
        <f>ROUND(F53*$B$2*B53/365,2)</f>
        <v>5045.3500000000004</v>
      </c>
      <c r="F53" s="47">
        <f t="shared" si="5"/>
        <v>409233.7099999999</v>
      </c>
      <c r="G53" s="47">
        <f t="shared" si="6"/>
        <v>384194.05999999988</v>
      </c>
    </row>
    <row r="54" spans="1:7" x14ac:dyDescent="0.25">
      <c r="A54" s="70">
        <v>42679</v>
      </c>
      <c r="B54" s="46">
        <f t="shared" si="2"/>
        <v>31</v>
      </c>
      <c r="C54" s="47">
        <f t="shared" si="10"/>
        <v>30085</v>
      </c>
      <c r="D54" s="48">
        <f t="shared" si="7"/>
        <v>25190.47</v>
      </c>
      <c r="E54" s="68">
        <f t="shared" si="9"/>
        <v>4894.53</v>
      </c>
      <c r="F54" s="47">
        <f t="shared" si="5"/>
        <v>384194.05999999988</v>
      </c>
      <c r="G54" s="47">
        <f t="shared" si="6"/>
        <v>359003.58999999985</v>
      </c>
    </row>
    <row r="55" spans="1:7" x14ac:dyDescent="0.25">
      <c r="A55" s="70">
        <v>42709</v>
      </c>
      <c r="B55" s="46">
        <f t="shared" si="2"/>
        <v>30</v>
      </c>
      <c r="C55" s="47">
        <f t="shared" si="10"/>
        <v>30085</v>
      </c>
      <c r="D55" s="48">
        <f t="shared" si="7"/>
        <v>25658.93</v>
      </c>
      <c r="E55" s="68">
        <f t="shared" si="9"/>
        <v>4426.07</v>
      </c>
      <c r="F55" s="47">
        <f t="shared" si="5"/>
        <v>359003.58999999985</v>
      </c>
      <c r="G55" s="47">
        <f t="shared" si="6"/>
        <v>333344.65999999986</v>
      </c>
    </row>
    <row r="56" spans="1:7" x14ac:dyDescent="0.25">
      <c r="A56" s="70">
        <v>42740</v>
      </c>
      <c r="B56" s="46">
        <f t="shared" si="2"/>
        <v>31</v>
      </c>
      <c r="C56" s="47">
        <f t="shared" si="10"/>
        <v>30085</v>
      </c>
      <c r="D56" s="48">
        <f t="shared" si="7"/>
        <v>25838.28</v>
      </c>
      <c r="E56" s="68">
        <f t="shared" si="9"/>
        <v>4246.72</v>
      </c>
      <c r="F56" s="47">
        <f t="shared" si="5"/>
        <v>333344.65999999986</v>
      </c>
      <c r="G56" s="47">
        <f t="shared" si="6"/>
        <v>307506.37999999989</v>
      </c>
    </row>
    <row r="57" spans="1:7" x14ac:dyDescent="0.25">
      <c r="A57" s="70">
        <v>42771</v>
      </c>
      <c r="B57" s="46">
        <f t="shared" si="2"/>
        <v>31</v>
      </c>
      <c r="C57" s="47">
        <f t="shared" si="10"/>
        <v>30085</v>
      </c>
      <c r="D57" s="48">
        <f t="shared" si="7"/>
        <v>26167.45</v>
      </c>
      <c r="E57" s="68">
        <f t="shared" si="9"/>
        <v>3917.55</v>
      </c>
      <c r="F57" s="47">
        <f t="shared" si="5"/>
        <v>307506.37999999989</v>
      </c>
      <c r="G57" s="47">
        <f t="shared" si="6"/>
        <v>281338.92999999988</v>
      </c>
    </row>
    <row r="58" spans="1:7" x14ac:dyDescent="0.25">
      <c r="A58" s="70">
        <v>42799</v>
      </c>
      <c r="B58" s="46">
        <f t="shared" si="2"/>
        <v>28</v>
      </c>
      <c r="C58" s="47">
        <f t="shared" si="10"/>
        <v>30085</v>
      </c>
      <c r="D58" s="48">
        <f t="shared" si="7"/>
        <v>26847.68</v>
      </c>
      <c r="E58" s="68">
        <f t="shared" si="9"/>
        <v>3237.32</v>
      </c>
      <c r="F58" s="47">
        <f t="shared" si="5"/>
        <v>281338.92999999988</v>
      </c>
      <c r="G58" s="47">
        <f t="shared" si="6"/>
        <v>254491.24999999988</v>
      </c>
    </row>
    <row r="59" spans="1:7" x14ac:dyDescent="0.25">
      <c r="A59" s="70">
        <v>42830</v>
      </c>
      <c r="B59" s="46">
        <f t="shared" si="2"/>
        <v>31</v>
      </c>
      <c r="C59" s="47">
        <f t="shared" si="10"/>
        <v>30085</v>
      </c>
      <c r="D59" s="48">
        <f t="shared" si="7"/>
        <v>26842.85</v>
      </c>
      <c r="E59" s="68">
        <f t="shared" si="9"/>
        <v>3242.15</v>
      </c>
      <c r="F59" s="47">
        <f t="shared" si="5"/>
        <v>254491.24999999988</v>
      </c>
      <c r="G59" s="47">
        <f t="shared" si="6"/>
        <v>227648.39999999988</v>
      </c>
    </row>
    <row r="60" spans="1:7" x14ac:dyDescent="0.25">
      <c r="A60" s="70">
        <v>42860</v>
      </c>
      <c r="B60" s="46">
        <f t="shared" si="2"/>
        <v>30</v>
      </c>
      <c r="C60" s="47">
        <f t="shared" si="10"/>
        <v>30085</v>
      </c>
      <c r="D60" s="48">
        <f t="shared" si="7"/>
        <v>27278.38</v>
      </c>
      <c r="E60" s="68">
        <f t="shared" si="9"/>
        <v>2806.62</v>
      </c>
      <c r="F60" s="47">
        <f t="shared" si="5"/>
        <v>227648.39999999988</v>
      </c>
      <c r="G60" s="47">
        <f t="shared" si="6"/>
        <v>200370.01999999987</v>
      </c>
    </row>
    <row r="61" spans="1:7" x14ac:dyDescent="0.25">
      <c r="A61" s="70">
        <v>42891</v>
      </c>
      <c r="B61" s="46">
        <f t="shared" si="2"/>
        <v>31</v>
      </c>
      <c r="C61" s="47">
        <f t="shared" si="10"/>
        <v>30085</v>
      </c>
      <c r="D61" s="48">
        <f t="shared" si="7"/>
        <v>27532.34</v>
      </c>
      <c r="E61" s="68">
        <f t="shared" si="9"/>
        <v>2552.66</v>
      </c>
      <c r="F61" s="47">
        <f t="shared" si="5"/>
        <v>200370.01999999987</v>
      </c>
      <c r="G61" s="47">
        <f t="shared" si="6"/>
        <v>172837.67999999988</v>
      </c>
    </row>
    <row r="62" spans="1:7" x14ac:dyDescent="0.25">
      <c r="A62" s="70">
        <v>42921</v>
      </c>
      <c r="B62" s="46">
        <f t="shared" si="2"/>
        <v>30</v>
      </c>
      <c r="C62" s="47">
        <f t="shared" si="10"/>
        <v>30085</v>
      </c>
      <c r="D62" s="48">
        <f t="shared" si="7"/>
        <v>27954.12</v>
      </c>
      <c r="E62" s="68">
        <f t="shared" si="9"/>
        <v>2130.88</v>
      </c>
      <c r="F62" s="47">
        <f t="shared" si="5"/>
        <v>172837.67999999988</v>
      </c>
      <c r="G62" s="47">
        <f t="shared" si="6"/>
        <v>144883.55999999988</v>
      </c>
    </row>
    <row r="63" spans="1:7" x14ac:dyDescent="0.25">
      <c r="A63" s="70">
        <v>42952</v>
      </c>
      <c r="B63" s="46">
        <f t="shared" si="2"/>
        <v>31</v>
      </c>
      <c r="C63" s="47">
        <f t="shared" si="10"/>
        <v>30085</v>
      </c>
      <c r="D63" s="48">
        <f t="shared" si="7"/>
        <v>28239.22</v>
      </c>
      <c r="E63" s="68">
        <f t="shared" si="9"/>
        <v>1845.78</v>
      </c>
      <c r="F63" s="47">
        <f t="shared" si="5"/>
        <v>144883.55999999988</v>
      </c>
      <c r="G63" s="47">
        <f t="shared" si="6"/>
        <v>116644.33999999988</v>
      </c>
    </row>
    <row r="64" spans="1:7" x14ac:dyDescent="0.25">
      <c r="A64" s="70">
        <v>42983</v>
      </c>
      <c r="B64" s="46">
        <f t="shared" si="2"/>
        <v>31</v>
      </c>
      <c r="C64" s="47">
        <f>$N$2</f>
        <v>30483</v>
      </c>
      <c r="D64" s="48">
        <f t="shared" si="7"/>
        <v>28869.15</v>
      </c>
      <c r="E64" s="68">
        <f>ROUND((F64*$B$2*D2/365)+(F64*N3*F2/365),2)</f>
        <v>1613.85</v>
      </c>
      <c r="F64" s="47">
        <f t="shared" si="5"/>
        <v>116644.33999999988</v>
      </c>
      <c r="G64" s="47">
        <f t="shared" si="6"/>
        <v>87775.189999999886</v>
      </c>
    </row>
    <row r="65" spans="1:7" x14ac:dyDescent="0.25">
      <c r="A65" s="70">
        <v>43013</v>
      </c>
      <c r="B65" s="46">
        <f t="shared" si="2"/>
        <v>30</v>
      </c>
      <c r="C65" s="47">
        <f t="shared" ref="C65:C67" si="11">$N$2</f>
        <v>30483</v>
      </c>
      <c r="D65" s="48">
        <f t="shared" si="7"/>
        <v>28679.4</v>
      </c>
      <c r="E65" s="68">
        <f>ROUND(F65*N3*B65/365,2)</f>
        <v>1803.6</v>
      </c>
      <c r="F65" s="47">
        <f t="shared" si="5"/>
        <v>87775.189999999886</v>
      </c>
      <c r="G65" s="47">
        <f t="shared" si="6"/>
        <v>59095.789999999884</v>
      </c>
    </row>
    <row r="66" spans="1:7" x14ac:dyDescent="0.25">
      <c r="A66" s="70">
        <v>43044</v>
      </c>
      <c r="B66" s="46">
        <f t="shared" si="2"/>
        <v>31</v>
      </c>
      <c r="C66" s="47">
        <f t="shared" si="11"/>
        <v>30483</v>
      </c>
      <c r="D66" s="48">
        <f t="shared" si="7"/>
        <v>29228.23</v>
      </c>
      <c r="E66" s="68">
        <f>ROUND(F66*N3*B66/365,2)</f>
        <v>1254.77</v>
      </c>
      <c r="F66" s="47">
        <f t="shared" si="5"/>
        <v>59095.789999999884</v>
      </c>
      <c r="G66" s="47">
        <f t="shared" si="6"/>
        <v>29867.559999999885</v>
      </c>
    </row>
    <row r="67" spans="1:7" x14ac:dyDescent="0.25">
      <c r="A67" s="70">
        <v>43074</v>
      </c>
      <c r="B67" s="46">
        <f t="shared" si="2"/>
        <v>30</v>
      </c>
      <c r="C67" s="47">
        <f t="shared" si="11"/>
        <v>30483</v>
      </c>
      <c r="D67" s="48">
        <f t="shared" si="7"/>
        <v>29867.559999999885</v>
      </c>
      <c r="E67" s="68">
        <v>615.44000000011397</v>
      </c>
      <c r="F67" s="47">
        <f t="shared" si="5"/>
        <v>29867.559999999885</v>
      </c>
      <c r="G67" s="47">
        <f t="shared" si="6"/>
        <v>0</v>
      </c>
    </row>
  </sheetData>
  <pageMargins left="0.7" right="0.7" top="0.75" bottom="0.75" header="0.3" footer="0.3"/>
  <pageSetup orientation="portrait" r:id="rId1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9F9292-184B-4382-A963-76FA75E157FD}">
  <dimension ref="A1:N67"/>
  <sheetViews>
    <sheetView zoomScale="85" zoomScaleNormal="85" workbookViewId="0">
      <pane ySplit="3" topLeftCell="A49" activePane="bottomLeft" state="frozen"/>
      <selection activeCell="R2" sqref="R2"/>
      <selection pane="bottomLeft" activeCell="F69" sqref="F69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7.1406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3.42578125" bestFit="1" customWidth="1"/>
    <col min="11" max="11" width="25.140625" bestFit="1" customWidth="1"/>
    <col min="12" max="12" width="10.85546875" bestFit="1" customWidth="1"/>
    <col min="13" max="13" width="17.42578125" bestFit="1" customWidth="1"/>
    <col min="14" max="14" width="10.5703125" bestFit="1" customWidth="1"/>
  </cols>
  <sheetData>
    <row r="1" spans="1:14" x14ac:dyDescent="0.25">
      <c r="A1" s="17" t="s">
        <v>33</v>
      </c>
      <c r="B1" s="78">
        <v>41856</v>
      </c>
      <c r="C1" s="17" t="s">
        <v>37</v>
      </c>
      <c r="D1" s="79">
        <f>ROUNDUP(34665.5343079289,0)</f>
        <v>34666</v>
      </c>
      <c r="E1" s="73" t="s">
        <v>106</v>
      </c>
      <c r="F1" s="79">
        <f>ROUNDUP(30419.2725967262,0)</f>
        <v>30420</v>
      </c>
      <c r="G1" s="80" t="s">
        <v>52</v>
      </c>
      <c r="H1" s="81">
        <v>42248</v>
      </c>
      <c r="I1" s="73" t="s">
        <v>124</v>
      </c>
      <c r="J1" s="73">
        <v>40</v>
      </c>
      <c r="K1" s="73" t="s">
        <v>125</v>
      </c>
      <c r="L1" s="74">
        <v>42614</v>
      </c>
      <c r="M1" s="73" t="s">
        <v>123</v>
      </c>
      <c r="N1" s="74">
        <v>42979</v>
      </c>
    </row>
    <row r="2" spans="1:14" x14ac:dyDescent="0.25">
      <c r="A2" s="75" t="s">
        <v>34</v>
      </c>
      <c r="B2" s="76">
        <v>0.15</v>
      </c>
      <c r="C2" t="s">
        <v>136</v>
      </c>
      <c r="D2">
        <f>DAYS360(A27,L1,TRUE)</f>
        <v>26</v>
      </c>
      <c r="E2" t="s">
        <v>137</v>
      </c>
      <c r="F2">
        <f>A28-L1</f>
        <v>4</v>
      </c>
      <c r="K2" s="77" t="s">
        <v>126</v>
      </c>
      <c r="L2" s="79">
        <f>ROUNDUP(30076.6835204791,0)</f>
        <v>30077</v>
      </c>
      <c r="M2" s="73" t="s">
        <v>106</v>
      </c>
      <c r="N2" s="79">
        <f>ROUNDUP(30473.5901368555,0)</f>
        <v>30474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K3" s="73" t="s">
        <v>127</v>
      </c>
      <c r="L3" s="73">
        <v>5000</v>
      </c>
      <c r="M3" s="73" t="s">
        <v>128</v>
      </c>
      <c r="N3" s="82">
        <v>0.25</v>
      </c>
    </row>
    <row r="4" spans="1:14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4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>ROUND(F5*$B$2*B5/360,2)</f>
        <v>12222.93</v>
      </c>
      <c r="F5" s="47">
        <f>G4</f>
        <v>977834</v>
      </c>
      <c r="G5" s="47">
        <f>F5-D5</f>
        <v>955390.93</v>
      </c>
    </row>
    <row r="6" spans="1:14" x14ac:dyDescent="0.25">
      <c r="A6" s="36">
        <v>41948</v>
      </c>
      <c r="B6" s="46">
        <f t="shared" ref="B6:B39" si="2">DAYS360(A5,A6,TRUE)</f>
        <v>30</v>
      </c>
      <c r="C6" s="47">
        <f t="shared" ref="C6:C39" si="3">$D$1</f>
        <v>34666</v>
      </c>
      <c r="D6" s="48">
        <f t="shared" si="0"/>
        <v>22723.61</v>
      </c>
      <c r="E6" s="68">
        <f t="shared" ref="E6:E38" si="4">ROUND(F6*$B$2*B6/360,2)</f>
        <v>11942.39</v>
      </c>
      <c r="F6" s="47">
        <f t="shared" ref="F6:F41" si="5">G5</f>
        <v>955390.93</v>
      </c>
      <c r="G6" s="47">
        <f t="shared" ref="G6:G41" si="6">F6-D6</f>
        <v>932667.32000000007</v>
      </c>
    </row>
    <row r="7" spans="1:14" x14ac:dyDescent="0.25">
      <c r="A7" s="36">
        <v>41978</v>
      </c>
      <c r="B7" s="46">
        <f t="shared" si="2"/>
        <v>30</v>
      </c>
      <c r="C7" s="47">
        <f t="shared" si="3"/>
        <v>34666</v>
      </c>
      <c r="D7" s="48">
        <f t="shared" si="0"/>
        <v>23007.66</v>
      </c>
      <c r="E7" s="68">
        <f t="shared" si="4"/>
        <v>11658.34</v>
      </c>
      <c r="F7" s="47">
        <f t="shared" si="5"/>
        <v>932667.32000000007</v>
      </c>
      <c r="G7" s="47">
        <f t="shared" si="6"/>
        <v>909659.66</v>
      </c>
    </row>
    <row r="8" spans="1:14" x14ac:dyDescent="0.25">
      <c r="A8" s="36">
        <v>42009</v>
      </c>
      <c r="B8" s="46">
        <f t="shared" si="2"/>
        <v>30</v>
      </c>
      <c r="C8" s="47">
        <f t="shared" si="3"/>
        <v>34666</v>
      </c>
      <c r="D8" s="48">
        <f t="shared" si="0"/>
        <v>23295.25</v>
      </c>
      <c r="E8" s="68">
        <f t="shared" si="4"/>
        <v>11370.75</v>
      </c>
      <c r="F8" s="47">
        <f t="shared" si="5"/>
        <v>909659.66</v>
      </c>
      <c r="G8" s="47">
        <f t="shared" si="6"/>
        <v>886364.41</v>
      </c>
    </row>
    <row r="9" spans="1:14" x14ac:dyDescent="0.25">
      <c r="A9" s="36">
        <v>42040</v>
      </c>
      <c r="B9" s="46">
        <f t="shared" si="2"/>
        <v>30</v>
      </c>
      <c r="C9" s="47">
        <f t="shared" si="3"/>
        <v>34666</v>
      </c>
      <c r="D9" s="48">
        <f t="shared" si="0"/>
        <v>23586.440000000002</v>
      </c>
      <c r="E9" s="68">
        <f t="shared" si="4"/>
        <v>11079.56</v>
      </c>
      <c r="F9" s="47">
        <f t="shared" si="5"/>
        <v>886364.41</v>
      </c>
      <c r="G9" s="47">
        <f t="shared" si="6"/>
        <v>862777.97</v>
      </c>
    </row>
    <row r="10" spans="1:14" x14ac:dyDescent="0.25">
      <c r="A10" s="36">
        <v>42068</v>
      </c>
      <c r="B10" s="46">
        <f t="shared" si="2"/>
        <v>30</v>
      </c>
      <c r="C10" s="47">
        <f t="shared" si="3"/>
        <v>34666</v>
      </c>
      <c r="D10" s="48">
        <f t="shared" si="0"/>
        <v>23881.279999999999</v>
      </c>
      <c r="E10" s="68">
        <f t="shared" si="4"/>
        <v>10784.72</v>
      </c>
      <c r="F10" s="47">
        <f t="shared" si="5"/>
        <v>862777.97</v>
      </c>
      <c r="G10" s="47">
        <f t="shared" si="6"/>
        <v>838896.69</v>
      </c>
    </row>
    <row r="11" spans="1:14" x14ac:dyDescent="0.25">
      <c r="A11" s="36">
        <v>42099</v>
      </c>
      <c r="B11" s="46">
        <f t="shared" si="2"/>
        <v>30</v>
      </c>
      <c r="C11" s="47">
        <f t="shared" si="3"/>
        <v>34666</v>
      </c>
      <c r="D11" s="48">
        <f t="shared" si="0"/>
        <v>24179.79</v>
      </c>
      <c r="E11" s="68">
        <f t="shared" si="4"/>
        <v>10486.21</v>
      </c>
      <c r="F11" s="47">
        <f t="shared" si="5"/>
        <v>838896.69</v>
      </c>
      <c r="G11" s="47">
        <f t="shared" si="6"/>
        <v>814716.89999999991</v>
      </c>
    </row>
    <row r="12" spans="1:14" x14ac:dyDescent="0.25">
      <c r="A12" s="36">
        <v>42129</v>
      </c>
      <c r="B12" s="46">
        <f t="shared" si="2"/>
        <v>30</v>
      </c>
      <c r="C12" s="47">
        <f t="shared" si="3"/>
        <v>34666</v>
      </c>
      <c r="D12" s="48">
        <f t="shared" si="0"/>
        <v>24482.04</v>
      </c>
      <c r="E12" s="68">
        <f t="shared" si="4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4" x14ac:dyDescent="0.25">
      <c r="A13" s="36">
        <v>42160</v>
      </c>
      <c r="B13" s="46">
        <f t="shared" si="2"/>
        <v>30</v>
      </c>
      <c r="C13" s="47">
        <f t="shared" si="3"/>
        <v>34666</v>
      </c>
      <c r="D13" s="48">
        <f t="shared" si="0"/>
        <v>24788.059999999998</v>
      </c>
      <c r="E13" s="68">
        <f t="shared" si="4"/>
        <v>9877.94</v>
      </c>
      <c r="F13" s="47">
        <f t="shared" si="5"/>
        <v>790234.85999999987</v>
      </c>
      <c r="G13" s="47">
        <f t="shared" si="6"/>
        <v>765446.79999999981</v>
      </c>
    </row>
    <row r="14" spans="1:14" x14ac:dyDescent="0.25">
      <c r="A14" s="36">
        <v>42190</v>
      </c>
      <c r="B14" s="46">
        <f t="shared" si="2"/>
        <v>30</v>
      </c>
      <c r="C14" s="47">
        <f t="shared" si="3"/>
        <v>34666</v>
      </c>
      <c r="D14" s="48">
        <f t="shared" si="0"/>
        <v>25097.91</v>
      </c>
      <c r="E14" s="68">
        <f t="shared" si="4"/>
        <v>9568.09</v>
      </c>
      <c r="F14" s="47">
        <f t="shared" si="5"/>
        <v>765446.79999999981</v>
      </c>
      <c r="G14" s="47">
        <f t="shared" si="6"/>
        <v>740348.88999999978</v>
      </c>
    </row>
    <row r="15" spans="1:14" x14ac:dyDescent="0.25">
      <c r="A15" s="36">
        <v>42221</v>
      </c>
      <c r="B15" s="46">
        <f t="shared" si="2"/>
        <v>30</v>
      </c>
      <c r="C15" s="47">
        <f t="shared" si="3"/>
        <v>34666</v>
      </c>
      <c r="D15" s="48">
        <f t="shared" si="0"/>
        <v>25411.64</v>
      </c>
      <c r="E15" s="68">
        <f t="shared" si="4"/>
        <v>9254.36</v>
      </c>
      <c r="F15" s="47">
        <f t="shared" si="5"/>
        <v>740348.88999999978</v>
      </c>
      <c r="G15" s="47">
        <f t="shared" si="6"/>
        <v>714937.24999999977</v>
      </c>
    </row>
    <row r="16" spans="1:14" x14ac:dyDescent="0.25">
      <c r="A16" s="36">
        <v>42252</v>
      </c>
      <c r="B16" s="46">
        <f t="shared" si="2"/>
        <v>30</v>
      </c>
      <c r="C16" s="47">
        <f t="shared" si="3"/>
        <v>34666</v>
      </c>
      <c r="D16" s="48">
        <f t="shared" si="0"/>
        <v>25729.279999999999</v>
      </c>
      <c r="E16" s="68">
        <f t="shared" si="4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34666</v>
      </c>
      <c r="D17" s="48">
        <f t="shared" si="0"/>
        <v>26050.9</v>
      </c>
      <c r="E17" s="68">
        <f t="shared" si="4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2"/>
        <v>30</v>
      </c>
      <c r="C18" s="47">
        <f t="shared" si="3"/>
        <v>34666</v>
      </c>
      <c r="D18" s="48">
        <f t="shared" si="0"/>
        <v>26376.54</v>
      </c>
      <c r="E18" s="68">
        <f t="shared" si="4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34666</v>
      </c>
      <c r="D19" s="48">
        <f t="shared" si="0"/>
        <v>26706.239999999998</v>
      </c>
      <c r="E19" s="68">
        <f t="shared" si="4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54">
        <v>42374</v>
      </c>
      <c r="B20" s="46">
        <f t="shared" si="2"/>
        <v>30</v>
      </c>
      <c r="C20" s="47">
        <f t="shared" si="3"/>
        <v>34666</v>
      </c>
      <c r="D20" s="48">
        <f t="shared" si="0"/>
        <v>27040.07</v>
      </c>
      <c r="E20" s="68">
        <f t="shared" si="4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54">
        <v>42405</v>
      </c>
      <c r="B21" s="46">
        <f t="shared" si="2"/>
        <v>30</v>
      </c>
      <c r="C21" s="47">
        <f t="shared" si="3"/>
        <v>34666</v>
      </c>
      <c r="D21" s="48">
        <f t="shared" si="0"/>
        <v>27378.07</v>
      </c>
      <c r="E21" s="68">
        <f t="shared" si="4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54">
        <v>42434</v>
      </c>
      <c r="B22" s="46">
        <f t="shared" si="2"/>
        <v>30</v>
      </c>
      <c r="C22" s="47">
        <f t="shared" si="3"/>
        <v>34666</v>
      </c>
      <c r="D22" s="48">
        <f t="shared" si="0"/>
        <v>27720.3</v>
      </c>
      <c r="E22" s="68">
        <f t="shared" si="4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54">
        <v>42465</v>
      </c>
      <c r="B23" s="46">
        <f t="shared" si="2"/>
        <v>30</v>
      </c>
      <c r="C23" s="47">
        <f t="shared" si="3"/>
        <v>34666</v>
      </c>
      <c r="D23" s="48">
        <f t="shared" si="0"/>
        <v>28066.799999999999</v>
      </c>
      <c r="E23" s="68">
        <f t="shared" si="4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34666</v>
      </c>
      <c r="D24" s="48">
        <f t="shared" si="0"/>
        <v>28417.64</v>
      </c>
      <c r="E24" s="68">
        <f t="shared" si="4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54">
        <v>42526</v>
      </c>
      <c r="B25" s="46">
        <f t="shared" si="2"/>
        <v>30</v>
      </c>
      <c r="C25" s="47">
        <f t="shared" si="3"/>
        <v>34666</v>
      </c>
      <c r="D25" s="48">
        <f t="shared" si="0"/>
        <v>28772.86</v>
      </c>
      <c r="E25" s="68">
        <f t="shared" si="4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34666</v>
      </c>
      <c r="D26" s="48">
        <f t="shared" si="0"/>
        <v>29132.52</v>
      </c>
      <c r="E26" s="68">
        <f t="shared" si="4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54">
        <v>42587</v>
      </c>
      <c r="B27" s="46">
        <f t="shared" si="2"/>
        <v>30</v>
      </c>
      <c r="C27" s="47">
        <f t="shared" si="3"/>
        <v>34666</v>
      </c>
      <c r="D27" s="48">
        <f t="shared" si="0"/>
        <v>29496.67</v>
      </c>
      <c r="E27" s="68">
        <f t="shared" si="4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54">
        <v>42618</v>
      </c>
      <c r="B28" s="46">
        <f t="shared" si="2"/>
        <v>30</v>
      </c>
      <c r="C28" s="47">
        <f t="shared" si="3"/>
        <v>34666</v>
      </c>
      <c r="D28" s="48">
        <f t="shared" si="0"/>
        <v>29865.38</v>
      </c>
      <c r="E28" s="68">
        <f t="shared" si="4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34666</v>
      </c>
      <c r="D29" s="48">
        <f t="shared" si="0"/>
        <v>30238.7</v>
      </c>
      <c r="E29" s="68">
        <f t="shared" si="4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54">
        <v>42679</v>
      </c>
      <c r="B30" s="46">
        <f t="shared" si="2"/>
        <v>30</v>
      </c>
      <c r="C30" s="47">
        <f t="shared" si="3"/>
        <v>34666</v>
      </c>
      <c r="D30" s="48">
        <f t="shared" si="0"/>
        <v>30616.68</v>
      </c>
      <c r="E30" s="68">
        <f t="shared" si="4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34666</v>
      </c>
      <c r="D31" s="48">
        <f t="shared" si="0"/>
        <v>30999.39</v>
      </c>
      <c r="E31" s="68">
        <f t="shared" si="4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54">
        <v>42740</v>
      </c>
      <c r="B32" s="46">
        <f t="shared" si="2"/>
        <v>30</v>
      </c>
      <c r="C32" s="47">
        <f t="shared" si="3"/>
        <v>34666</v>
      </c>
      <c r="D32" s="48">
        <f t="shared" si="0"/>
        <v>31386.880000000001</v>
      </c>
      <c r="E32" s="68">
        <f t="shared" si="4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54">
        <v>42771</v>
      </c>
      <c r="B33" s="46">
        <f t="shared" si="2"/>
        <v>30</v>
      </c>
      <c r="C33" s="47">
        <f t="shared" si="3"/>
        <v>34666</v>
      </c>
      <c r="D33" s="48">
        <f t="shared" si="0"/>
        <v>31779.22</v>
      </c>
      <c r="E33" s="68">
        <f t="shared" si="4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54">
        <v>42799</v>
      </c>
      <c r="B34" s="46">
        <f t="shared" si="2"/>
        <v>30</v>
      </c>
      <c r="C34" s="47">
        <f t="shared" si="3"/>
        <v>34666</v>
      </c>
      <c r="D34" s="48">
        <f t="shared" si="0"/>
        <v>32176.46</v>
      </c>
      <c r="E34" s="68">
        <f t="shared" si="4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54">
        <v>42830</v>
      </c>
      <c r="B35" s="46">
        <f t="shared" si="2"/>
        <v>30</v>
      </c>
      <c r="C35" s="47">
        <f t="shared" si="3"/>
        <v>34666</v>
      </c>
      <c r="D35" s="48">
        <f t="shared" si="0"/>
        <v>32578.67</v>
      </c>
      <c r="E35" s="68">
        <f t="shared" si="4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34666</v>
      </c>
      <c r="D36" s="48">
        <f t="shared" si="0"/>
        <v>32985.9</v>
      </c>
      <c r="E36" s="68">
        <f t="shared" si="4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54">
        <v>42891</v>
      </c>
      <c r="B37" s="46">
        <f t="shared" si="2"/>
        <v>30</v>
      </c>
      <c r="C37" s="47">
        <f t="shared" si="3"/>
        <v>34666</v>
      </c>
      <c r="D37" s="48">
        <f t="shared" si="0"/>
        <v>33398.22</v>
      </c>
      <c r="E37" s="68">
        <f t="shared" si="4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34666</v>
      </c>
      <c r="D38" s="48">
        <f t="shared" si="0"/>
        <v>33815.699999999997</v>
      </c>
      <c r="E38" s="68">
        <f t="shared" si="4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54">
        <v>42952</v>
      </c>
      <c r="B39" s="46">
        <f t="shared" si="2"/>
        <v>30</v>
      </c>
      <c r="C39" s="47">
        <f t="shared" si="3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70">
        <v>42252</v>
      </c>
      <c r="B40" s="46">
        <f>DAYS360(A15,A40,TRUE)</f>
        <v>30</v>
      </c>
      <c r="C40" s="47">
        <f>$F$1</f>
        <v>30420</v>
      </c>
      <c r="D40" s="48">
        <f>C40-E40</f>
        <v>21483.279999999999</v>
      </c>
      <c r="E40" s="68">
        <f>ROUND(F16*$B$2*B16/360,2)</f>
        <v>8936.7199999999993</v>
      </c>
      <c r="F40" s="47">
        <f>G15</f>
        <v>714937.24999999977</v>
      </c>
      <c r="G40" s="47">
        <f t="shared" si="6"/>
        <v>693453.96999999974</v>
      </c>
    </row>
    <row r="41" spans="1:7" x14ac:dyDescent="0.25">
      <c r="A41" s="70">
        <v>42282</v>
      </c>
      <c r="B41" s="46">
        <f>DAYS360(A40,A41,TRUE)</f>
        <v>30</v>
      </c>
      <c r="C41" s="47">
        <f>$F$1</f>
        <v>30420</v>
      </c>
      <c r="D41" s="48">
        <f t="shared" ref="D41:D67" si="7">C41-E41</f>
        <v>21751.83</v>
      </c>
      <c r="E41" s="68">
        <f>ROUND(F41*$B$2*B41/360,2)</f>
        <v>8668.17</v>
      </c>
      <c r="F41" s="47">
        <f t="shared" si="5"/>
        <v>693453.96999999974</v>
      </c>
      <c r="G41" s="47">
        <f t="shared" si="6"/>
        <v>671702.13999999978</v>
      </c>
    </row>
    <row r="42" spans="1:7" x14ac:dyDescent="0.25">
      <c r="A42" s="70">
        <v>42313</v>
      </c>
      <c r="B42" s="46">
        <f t="shared" ref="B42:B67" si="8">DAYS360(A41,A42,TRUE)</f>
        <v>30</v>
      </c>
      <c r="C42" s="47">
        <f t="shared" ref="C42:C51" si="9">$F$1</f>
        <v>30420</v>
      </c>
      <c r="D42" s="48">
        <f t="shared" si="7"/>
        <v>22023.72</v>
      </c>
      <c r="E42" s="68">
        <f t="shared" ref="E42:E51" si="10">ROUND(F42*$B$2*B42/360,2)</f>
        <v>8396.2800000000007</v>
      </c>
      <c r="F42" s="47">
        <f t="shared" ref="F42:F67" si="11">G41</f>
        <v>671702.13999999978</v>
      </c>
      <c r="G42" s="47">
        <f t="shared" ref="G42:G67" si="12">F42-D42</f>
        <v>649678.41999999981</v>
      </c>
    </row>
    <row r="43" spans="1:7" x14ac:dyDescent="0.25">
      <c r="A43" s="70">
        <v>42343</v>
      </c>
      <c r="B43" s="46">
        <f t="shared" si="8"/>
        <v>30</v>
      </c>
      <c r="C43" s="47">
        <f t="shared" si="9"/>
        <v>30420</v>
      </c>
      <c r="D43" s="48">
        <f t="shared" si="7"/>
        <v>22299.02</v>
      </c>
      <c r="E43" s="68">
        <f t="shared" si="10"/>
        <v>8120.98</v>
      </c>
      <c r="F43" s="47">
        <f t="shared" si="11"/>
        <v>649678.41999999981</v>
      </c>
      <c r="G43" s="47">
        <f t="shared" si="12"/>
        <v>627379.39999999979</v>
      </c>
    </row>
    <row r="44" spans="1:7" x14ac:dyDescent="0.25">
      <c r="A44" s="70">
        <v>42374</v>
      </c>
      <c r="B44" s="46">
        <f t="shared" si="8"/>
        <v>30</v>
      </c>
      <c r="C44" s="47">
        <f t="shared" si="9"/>
        <v>30420</v>
      </c>
      <c r="D44" s="48">
        <f t="shared" si="7"/>
        <v>22577.760000000002</v>
      </c>
      <c r="E44" s="68">
        <f t="shared" si="10"/>
        <v>7842.24</v>
      </c>
      <c r="F44" s="47">
        <f t="shared" si="11"/>
        <v>627379.39999999979</v>
      </c>
      <c r="G44" s="47">
        <f t="shared" si="12"/>
        <v>604801.63999999978</v>
      </c>
    </row>
    <row r="45" spans="1:7" x14ac:dyDescent="0.25">
      <c r="A45" s="70">
        <v>42405</v>
      </c>
      <c r="B45" s="46">
        <f t="shared" si="8"/>
        <v>30</v>
      </c>
      <c r="C45" s="47">
        <f t="shared" si="9"/>
        <v>30420</v>
      </c>
      <c r="D45" s="48">
        <f t="shared" si="7"/>
        <v>22859.98</v>
      </c>
      <c r="E45" s="68">
        <f t="shared" si="10"/>
        <v>7560.02</v>
      </c>
      <c r="F45" s="47">
        <f t="shared" si="11"/>
        <v>604801.63999999978</v>
      </c>
      <c r="G45" s="47">
        <f t="shared" si="12"/>
        <v>581941.6599999998</v>
      </c>
    </row>
    <row r="46" spans="1:7" x14ac:dyDescent="0.25">
      <c r="A46" s="70">
        <v>42434</v>
      </c>
      <c r="B46" s="46">
        <f t="shared" si="8"/>
        <v>30</v>
      </c>
      <c r="C46" s="47">
        <f t="shared" si="9"/>
        <v>30420</v>
      </c>
      <c r="D46" s="48">
        <f t="shared" si="7"/>
        <v>23145.73</v>
      </c>
      <c r="E46" s="68">
        <f t="shared" si="10"/>
        <v>7274.27</v>
      </c>
      <c r="F46" s="47">
        <f t="shared" si="11"/>
        <v>581941.6599999998</v>
      </c>
      <c r="G46" s="47">
        <f t="shared" si="12"/>
        <v>558795.92999999982</v>
      </c>
    </row>
    <row r="47" spans="1:7" x14ac:dyDescent="0.25">
      <c r="A47" s="70">
        <v>42465</v>
      </c>
      <c r="B47" s="46">
        <f t="shared" si="8"/>
        <v>30</v>
      </c>
      <c r="C47" s="47">
        <f t="shared" si="9"/>
        <v>30420</v>
      </c>
      <c r="D47" s="48">
        <f t="shared" si="7"/>
        <v>23435.05</v>
      </c>
      <c r="E47" s="68">
        <f t="shared" si="10"/>
        <v>6984.95</v>
      </c>
      <c r="F47" s="47">
        <f t="shared" si="11"/>
        <v>558795.92999999982</v>
      </c>
      <c r="G47" s="47">
        <f t="shared" si="12"/>
        <v>535360.87999999977</v>
      </c>
    </row>
    <row r="48" spans="1:7" x14ac:dyDescent="0.25">
      <c r="A48" s="70">
        <v>42495</v>
      </c>
      <c r="B48" s="46">
        <f t="shared" si="8"/>
        <v>30</v>
      </c>
      <c r="C48" s="47">
        <f t="shared" si="9"/>
        <v>30420</v>
      </c>
      <c r="D48" s="48">
        <f t="shared" si="7"/>
        <v>23727.989999999998</v>
      </c>
      <c r="E48" s="68">
        <f t="shared" si="10"/>
        <v>6692.01</v>
      </c>
      <c r="F48" s="47">
        <f t="shared" si="11"/>
        <v>535360.87999999977</v>
      </c>
      <c r="G48" s="47">
        <f t="shared" si="12"/>
        <v>511632.88999999978</v>
      </c>
    </row>
    <row r="49" spans="1:7" x14ac:dyDescent="0.25">
      <c r="A49" s="70">
        <v>42526</v>
      </c>
      <c r="B49" s="46">
        <f t="shared" si="8"/>
        <v>30</v>
      </c>
      <c r="C49" s="47">
        <f t="shared" si="9"/>
        <v>30420</v>
      </c>
      <c r="D49" s="48">
        <f t="shared" si="7"/>
        <v>24024.59</v>
      </c>
      <c r="E49" s="68">
        <f t="shared" si="10"/>
        <v>6395.41</v>
      </c>
      <c r="F49" s="47">
        <f t="shared" si="11"/>
        <v>511632.88999999978</v>
      </c>
      <c r="G49" s="47">
        <f t="shared" si="12"/>
        <v>487608.29999999976</v>
      </c>
    </row>
    <row r="50" spans="1:7" x14ac:dyDescent="0.25">
      <c r="A50" s="70">
        <v>42556</v>
      </c>
      <c r="B50" s="46">
        <f t="shared" si="8"/>
        <v>30</v>
      </c>
      <c r="C50" s="47">
        <f t="shared" si="9"/>
        <v>30420</v>
      </c>
      <c r="D50" s="48">
        <f t="shared" si="7"/>
        <v>24324.9</v>
      </c>
      <c r="E50" s="68">
        <f t="shared" si="10"/>
        <v>6095.1</v>
      </c>
      <c r="F50" s="47">
        <f t="shared" si="11"/>
        <v>487608.29999999976</v>
      </c>
      <c r="G50" s="47">
        <f t="shared" si="12"/>
        <v>463283.39999999973</v>
      </c>
    </row>
    <row r="51" spans="1:7" x14ac:dyDescent="0.25">
      <c r="A51" s="70">
        <v>42587</v>
      </c>
      <c r="B51" s="46">
        <f t="shared" si="8"/>
        <v>30</v>
      </c>
      <c r="C51" s="47">
        <f t="shared" si="9"/>
        <v>30420</v>
      </c>
      <c r="D51" s="48">
        <f t="shared" si="7"/>
        <v>24628.959999999999</v>
      </c>
      <c r="E51" s="68">
        <f t="shared" si="10"/>
        <v>5791.04</v>
      </c>
      <c r="F51" s="47">
        <f t="shared" si="11"/>
        <v>463283.39999999973</v>
      </c>
      <c r="G51" s="47">
        <f t="shared" si="12"/>
        <v>438654.43999999971</v>
      </c>
    </row>
    <row r="52" spans="1:7" x14ac:dyDescent="0.25">
      <c r="A52" s="70">
        <v>42618</v>
      </c>
      <c r="B52" s="46">
        <f t="shared" si="8"/>
        <v>30</v>
      </c>
      <c r="C52" s="47">
        <f>$L$2</f>
        <v>30077</v>
      </c>
      <c r="D52" s="48">
        <f t="shared" si="7"/>
        <v>24602.15</v>
      </c>
      <c r="E52" s="68">
        <f>ROUND((G51*$B$2*D2/360)+(F52*$B$2*F2/360),2)</f>
        <v>5474.85</v>
      </c>
      <c r="F52" s="47">
        <f>G51-L3</f>
        <v>433654.43999999971</v>
      </c>
      <c r="G52" s="47">
        <f t="shared" si="12"/>
        <v>409052.28999999969</v>
      </c>
    </row>
    <row r="53" spans="1:7" x14ac:dyDescent="0.25">
      <c r="A53" s="70">
        <v>42648</v>
      </c>
      <c r="B53" s="46">
        <f t="shared" si="8"/>
        <v>30</v>
      </c>
      <c r="C53" s="47">
        <f t="shared" ref="C53:C63" si="13">$L$2</f>
        <v>30077</v>
      </c>
      <c r="D53" s="48">
        <f t="shared" si="7"/>
        <v>24963.85</v>
      </c>
      <c r="E53" s="68">
        <f>ROUND(F53*$B$2*B53/360,2)</f>
        <v>5113.1499999999996</v>
      </c>
      <c r="F53" s="47">
        <f t="shared" si="11"/>
        <v>409052.28999999969</v>
      </c>
      <c r="G53" s="47">
        <f t="shared" si="12"/>
        <v>384088.43999999971</v>
      </c>
    </row>
    <row r="54" spans="1:7" x14ac:dyDescent="0.25">
      <c r="A54" s="70">
        <v>42679</v>
      </c>
      <c r="B54" s="46">
        <f t="shared" si="8"/>
        <v>30</v>
      </c>
      <c r="C54" s="47">
        <f t="shared" si="13"/>
        <v>30077</v>
      </c>
      <c r="D54" s="48">
        <f t="shared" si="7"/>
        <v>25275.89</v>
      </c>
      <c r="E54" s="68">
        <f t="shared" ref="E54:E63" si="14">ROUND(F54*$B$2*B54/360,2)</f>
        <v>4801.1099999999997</v>
      </c>
      <c r="F54" s="47">
        <f t="shared" si="11"/>
        <v>384088.43999999971</v>
      </c>
      <c r="G54" s="47">
        <f t="shared" si="12"/>
        <v>358812.5499999997</v>
      </c>
    </row>
    <row r="55" spans="1:7" x14ac:dyDescent="0.25">
      <c r="A55" s="70">
        <v>42709</v>
      </c>
      <c r="B55" s="46">
        <f t="shared" si="8"/>
        <v>30</v>
      </c>
      <c r="C55" s="47">
        <f t="shared" si="13"/>
        <v>30077</v>
      </c>
      <c r="D55" s="48">
        <f t="shared" si="7"/>
        <v>25591.84</v>
      </c>
      <c r="E55" s="68">
        <f t="shared" si="14"/>
        <v>4485.16</v>
      </c>
      <c r="F55" s="47">
        <f t="shared" si="11"/>
        <v>358812.5499999997</v>
      </c>
      <c r="G55" s="47">
        <f t="shared" si="12"/>
        <v>333220.70999999967</v>
      </c>
    </row>
    <row r="56" spans="1:7" x14ac:dyDescent="0.25">
      <c r="A56" s="70">
        <v>42740</v>
      </c>
      <c r="B56" s="46">
        <f t="shared" si="8"/>
        <v>30</v>
      </c>
      <c r="C56" s="47">
        <f t="shared" si="13"/>
        <v>30077</v>
      </c>
      <c r="D56" s="48">
        <f t="shared" si="7"/>
        <v>25911.739999999998</v>
      </c>
      <c r="E56" s="68">
        <f t="shared" si="14"/>
        <v>4165.26</v>
      </c>
      <c r="F56" s="47">
        <f t="shared" si="11"/>
        <v>333220.70999999967</v>
      </c>
      <c r="G56" s="47">
        <f t="shared" si="12"/>
        <v>307308.96999999968</v>
      </c>
    </row>
    <row r="57" spans="1:7" x14ac:dyDescent="0.25">
      <c r="A57" s="70">
        <v>42771</v>
      </c>
      <c r="B57" s="46">
        <f t="shared" si="8"/>
        <v>30</v>
      </c>
      <c r="C57" s="47">
        <f t="shared" si="13"/>
        <v>30077</v>
      </c>
      <c r="D57" s="48">
        <f t="shared" si="7"/>
        <v>26235.64</v>
      </c>
      <c r="E57" s="68">
        <f t="shared" si="14"/>
        <v>3841.36</v>
      </c>
      <c r="F57" s="47">
        <f t="shared" si="11"/>
        <v>307308.96999999968</v>
      </c>
      <c r="G57" s="47">
        <f t="shared" si="12"/>
        <v>281073.32999999967</v>
      </c>
    </row>
    <row r="58" spans="1:7" x14ac:dyDescent="0.25">
      <c r="A58" s="70">
        <v>42799</v>
      </c>
      <c r="B58" s="46">
        <f t="shared" si="8"/>
        <v>30</v>
      </c>
      <c r="C58" s="47">
        <f t="shared" si="13"/>
        <v>30077</v>
      </c>
      <c r="D58" s="48">
        <f t="shared" si="7"/>
        <v>26563.58</v>
      </c>
      <c r="E58" s="68">
        <f t="shared" si="14"/>
        <v>3513.42</v>
      </c>
      <c r="F58" s="47">
        <f t="shared" si="11"/>
        <v>281073.32999999967</v>
      </c>
      <c r="G58" s="47">
        <f t="shared" si="12"/>
        <v>254509.74999999965</v>
      </c>
    </row>
    <row r="59" spans="1:7" x14ac:dyDescent="0.25">
      <c r="A59" s="70">
        <v>42830</v>
      </c>
      <c r="B59" s="46">
        <f t="shared" si="8"/>
        <v>30</v>
      </c>
      <c r="C59" s="47">
        <f t="shared" si="13"/>
        <v>30077</v>
      </c>
      <c r="D59" s="48">
        <f t="shared" si="7"/>
        <v>26895.63</v>
      </c>
      <c r="E59" s="68">
        <f t="shared" si="14"/>
        <v>3181.37</v>
      </c>
      <c r="F59" s="47">
        <f t="shared" si="11"/>
        <v>254509.74999999965</v>
      </c>
      <c r="G59" s="47">
        <f t="shared" si="12"/>
        <v>227614.11999999965</v>
      </c>
    </row>
    <row r="60" spans="1:7" x14ac:dyDescent="0.25">
      <c r="A60" s="70">
        <v>42860</v>
      </c>
      <c r="B60" s="46">
        <f t="shared" si="8"/>
        <v>30</v>
      </c>
      <c r="C60" s="47">
        <f t="shared" si="13"/>
        <v>30077</v>
      </c>
      <c r="D60" s="48">
        <f t="shared" si="7"/>
        <v>27231.82</v>
      </c>
      <c r="E60" s="68">
        <f t="shared" si="14"/>
        <v>2845.18</v>
      </c>
      <c r="F60" s="47">
        <f t="shared" si="11"/>
        <v>227614.11999999965</v>
      </c>
      <c r="G60" s="47">
        <f t="shared" si="12"/>
        <v>200382.29999999964</v>
      </c>
    </row>
    <row r="61" spans="1:7" x14ac:dyDescent="0.25">
      <c r="A61" s="70">
        <v>42891</v>
      </c>
      <c r="B61" s="46">
        <f t="shared" si="8"/>
        <v>30</v>
      </c>
      <c r="C61" s="47">
        <f t="shared" si="13"/>
        <v>30077</v>
      </c>
      <c r="D61" s="48">
        <f t="shared" si="7"/>
        <v>27572.22</v>
      </c>
      <c r="E61" s="68">
        <f t="shared" si="14"/>
        <v>2504.7800000000002</v>
      </c>
      <c r="F61" s="47">
        <f t="shared" si="11"/>
        <v>200382.29999999964</v>
      </c>
      <c r="G61" s="47">
        <f t="shared" si="12"/>
        <v>172810.07999999964</v>
      </c>
    </row>
    <row r="62" spans="1:7" x14ac:dyDescent="0.25">
      <c r="A62" s="70">
        <v>42921</v>
      </c>
      <c r="B62" s="46">
        <f t="shared" si="8"/>
        <v>30</v>
      </c>
      <c r="C62" s="47">
        <f t="shared" si="13"/>
        <v>30077</v>
      </c>
      <c r="D62" s="48">
        <f t="shared" si="7"/>
        <v>27916.87</v>
      </c>
      <c r="E62" s="68">
        <f t="shared" si="14"/>
        <v>2160.13</v>
      </c>
      <c r="F62" s="47">
        <f t="shared" si="11"/>
        <v>172810.07999999964</v>
      </c>
      <c r="G62" s="47">
        <f t="shared" si="12"/>
        <v>144893.20999999964</v>
      </c>
    </row>
    <row r="63" spans="1:7" x14ac:dyDescent="0.25">
      <c r="A63" s="70">
        <v>42952</v>
      </c>
      <c r="B63" s="46">
        <f t="shared" si="8"/>
        <v>30</v>
      </c>
      <c r="C63" s="47">
        <f t="shared" si="13"/>
        <v>30077</v>
      </c>
      <c r="D63" s="48">
        <f t="shared" si="7"/>
        <v>28265.83</v>
      </c>
      <c r="E63" s="68">
        <f t="shared" si="14"/>
        <v>1811.17</v>
      </c>
      <c r="F63" s="47">
        <f t="shared" si="11"/>
        <v>144893.20999999964</v>
      </c>
      <c r="G63" s="47">
        <f t="shared" si="12"/>
        <v>116627.37999999964</v>
      </c>
    </row>
    <row r="64" spans="1:7" x14ac:dyDescent="0.25">
      <c r="A64" s="70">
        <v>42983</v>
      </c>
      <c r="B64" s="46">
        <f t="shared" si="8"/>
        <v>30</v>
      </c>
      <c r="C64" s="47">
        <f>$N$2</f>
        <v>30474</v>
      </c>
      <c r="D64" s="48">
        <f t="shared" si="7"/>
        <v>28886.57</v>
      </c>
      <c r="E64" s="68">
        <f>ROUND((G63*$B$2*D2/360)+(F64*$N$3*F2/360),2)</f>
        <v>1587.43</v>
      </c>
      <c r="F64" s="47">
        <f t="shared" si="11"/>
        <v>116627.37999999964</v>
      </c>
      <c r="G64" s="47">
        <f t="shared" si="12"/>
        <v>87740.809999999648</v>
      </c>
    </row>
    <row r="65" spans="1:7" x14ac:dyDescent="0.25">
      <c r="A65" s="70">
        <v>43013</v>
      </c>
      <c r="B65" s="46">
        <f t="shared" si="8"/>
        <v>30</v>
      </c>
      <c r="C65" s="47">
        <f t="shared" ref="C65:C67" si="15">$N$2</f>
        <v>30474</v>
      </c>
      <c r="D65" s="48">
        <f t="shared" si="7"/>
        <v>28646.07</v>
      </c>
      <c r="E65" s="68">
        <f t="shared" ref="E65:E66" si="16">ROUND(F65*$N$3*B65/360,2)</f>
        <v>1827.93</v>
      </c>
      <c r="F65" s="47">
        <f t="shared" si="11"/>
        <v>87740.809999999648</v>
      </c>
      <c r="G65" s="47">
        <f t="shared" si="12"/>
        <v>59094.739999999649</v>
      </c>
    </row>
    <row r="66" spans="1:7" x14ac:dyDescent="0.25">
      <c r="A66" s="70">
        <v>43044</v>
      </c>
      <c r="B66" s="46">
        <f t="shared" si="8"/>
        <v>30</v>
      </c>
      <c r="C66" s="47">
        <f t="shared" si="15"/>
        <v>30474</v>
      </c>
      <c r="D66" s="48">
        <f t="shared" si="7"/>
        <v>29242.86</v>
      </c>
      <c r="E66" s="68">
        <f t="shared" si="16"/>
        <v>1231.1400000000001</v>
      </c>
      <c r="F66" s="47">
        <f t="shared" si="11"/>
        <v>59094.739999999649</v>
      </c>
      <c r="G66" s="47">
        <f t="shared" si="12"/>
        <v>29851.879999999648</v>
      </c>
    </row>
    <row r="67" spans="1:7" x14ac:dyDescent="0.25">
      <c r="A67" s="70">
        <v>43074</v>
      </c>
      <c r="B67" s="46">
        <f t="shared" si="8"/>
        <v>30</v>
      </c>
      <c r="C67" s="47">
        <f t="shared" si="15"/>
        <v>30474</v>
      </c>
      <c r="D67" s="48">
        <f t="shared" si="7"/>
        <v>29851.88</v>
      </c>
      <c r="E67" s="68">
        <v>622.12</v>
      </c>
      <c r="F67" s="47">
        <f t="shared" si="11"/>
        <v>29851.879999999648</v>
      </c>
      <c r="G67" s="47">
        <f t="shared" si="12"/>
        <v>-3.5288394428789616E-10</v>
      </c>
    </row>
  </sheetData>
  <pageMargins left="0.7" right="0.7" top="0.75" bottom="0.75" header="0.3" footer="0.3"/>
  <pageSetup orientation="portrait" r:id="rId1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814BC34-D115-4F48-997C-3742395E6353}">
  <dimension ref="A1:X3"/>
  <sheetViews>
    <sheetView workbookViewId="0">
      <selection activeCell="X10" sqref="X10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4" width="121" bestFit="1" customWidth="1"/>
  </cols>
  <sheetData>
    <row r="1" spans="1:24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32</v>
      </c>
    </row>
    <row r="2" spans="1:24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122</v>
      </c>
      <c r="P2" s="20" t="s">
        <v>104</v>
      </c>
      <c r="Q2" s="20" t="s">
        <v>105</v>
      </c>
      <c r="R2" s="20" t="s">
        <v>122</v>
      </c>
      <c r="S2" s="20" t="s">
        <v>45</v>
      </c>
      <c r="T2" s="20" t="s">
        <v>135</v>
      </c>
      <c r="U2" s="20" t="s">
        <v>122</v>
      </c>
      <c r="V2" s="20" t="s">
        <v>21</v>
      </c>
      <c r="W2" s="20" t="s">
        <v>84</v>
      </c>
      <c r="X2" s="50" t="s">
        <v>153</v>
      </c>
    </row>
    <row r="3" spans="1:24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122</v>
      </c>
      <c r="P3" s="20" t="s">
        <v>104</v>
      </c>
      <c r="Q3" s="20" t="s">
        <v>105</v>
      </c>
      <c r="R3" s="20" t="s">
        <v>122</v>
      </c>
      <c r="S3" s="20" t="s">
        <v>45</v>
      </c>
      <c r="T3" s="20" t="s">
        <v>135</v>
      </c>
      <c r="U3" s="20" t="s">
        <v>122</v>
      </c>
      <c r="V3" s="20" t="s">
        <v>21</v>
      </c>
      <c r="W3" s="20" t="s">
        <v>84</v>
      </c>
      <c r="X3" s="50" t="s">
        <v>154</v>
      </c>
    </row>
  </sheetData>
  <pageMargins left="0.7" right="0.7" top="0.75" bottom="0.75" header="0.3" footer="0.3"/>
  <pageSetup orientation="portrait" r:id="rId1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60AE66-07EA-4262-AF5D-66EE52FD96A0}">
  <dimension ref="A1:N51"/>
  <sheetViews>
    <sheetView zoomScale="79" zoomScaleNormal="80" workbookViewId="0">
      <pane ySplit="3" topLeftCell="A31" activePane="bottomLeft" state="frozen"/>
      <selection activeCell="X2" sqref="X2"/>
      <selection pane="bottomLeft" activeCell="X2" sqref="X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3.285156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3.42578125" bestFit="1" customWidth="1"/>
    <col min="11" max="11" width="25.140625" bestFit="1" customWidth="1"/>
    <col min="12" max="12" width="10.85546875" bestFit="1" customWidth="1"/>
    <col min="13" max="13" width="17.42578125" bestFit="1" customWidth="1"/>
    <col min="14" max="14" width="10.5703125" bestFit="1" customWidth="1"/>
  </cols>
  <sheetData>
    <row r="1" spans="1:14" x14ac:dyDescent="0.25">
      <c r="A1" s="17" t="s">
        <v>33</v>
      </c>
      <c r="B1" s="78">
        <v>41856</v>
      </c>
      <c r="C1" s="17" t="s">
        <v>37</v>
      </c>
      <c r="D1" s="79">
        <f>ROUNDUP(34673.5343079289,0)</f>
        <v>34674</v>
      </c>
      <c r="E1" s="73" t="s">
        <v>106</v>
      </c>
      <c r="F1" s="79">
        <f>ROUNDUP(62652.2192103243,0)</f>
        <v>62653</v>
      </c>
      <c r="G1" s="80" t="s">
        <v>52</v>
      </c>
      <c r="H1" s="81">
        <v>42248</v>
      </c>
      <c r="I1" s="73" t="s">
        <v>124</v>
      </c>
      <c r="J1" s="73">
        <v>24</v>
      </c>
      <c r="K1" s="73" t="s">
        <v>125</v>
      </c>
      <c r="L1" s="74">
        <v>42248</v>
      </c>
      <c r="M1" s="73" t="s">
        <v>123</v>
      </c>
      <c r="N1" s="74">
        <v>42248</v>
      </c>
    </row>
    <row r="2" spans="1:14" x14ac:dyDescent="0.25">
      <c r="A2" s="75" t="s">
        <v>34</v>
      </c>
      <c r="B2" s="76">
        <v>0.15</v>
      </c>
      <c r="C2" t="s">
        <v>136</v>
      </c>
      <c r="D2">
        <f>L1-A15</f>
        <v>27</v>
      </c>
      <c r="E2" t="s">
        <v>137</v>
      </c>
      <c r="F2">
        <f>A40-L1</f>
        <v>4</v>
      </c>
      <c r="K2" s="77" t="s">
        <v>126</v>
      </c>
      <c r="L2" s="79">
        <f>ROUNDUP(30084.6835204791,0)</f>
        <v>30085</v>
      </c>
      <c r="M2" s="73" t="s">
        <v>106</v>
      </c>
      <c r="N2" s="79">
        <f>ROUNDUP(30482.5901368555,0)</f>
        <v>30483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K3" s="73" t="s">
        <v>127</v>
      </c>
      <c r="L3" s="73">
        <v>5000</v>
      </c>
      <c r="M3" s="73" t="s">
        <v>128</v>
      </c>
      <c r="N3" s="82">
        <v>0.1</v>
      </c>
    </row>
    <row r="4" spans="1:14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39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4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4" x14ac:dyDescent="0.25">
      <c r="A6" s="36">
        <v>41948</v>
      </c>
      <c r="B6" s="46">
        <f t="shared" ref="B6:B51" si="2">A6-A5</f>
        <v>31</v>
      </c>
      <c r="C6" s="47">
        <f t="shared" ref="C6:C39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50" si="5">G5</f>
        <v>955450.07</v>
      </c>
      <c r="G6" s="47">
        <f t="shared" ref="G6:G51" si="6">F6-D6</f>
        <v>932948.24</v>
      </c>
    </row>
    <row r="7" spans="1:14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4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4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4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4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4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4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4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4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4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70">
        <v>42252</v>
      </c>
      <c r="B40" s="46">
        <f>A40-A15</f>
        <v>31</v>
      </c>
      <c r="C40" s="47">
        <f>$F$1</f>
        <v>62653</v>
      </c>
      <c r="D40" s="48">
        <f>C40-E40</f>
        <v>53943.07</v>
      </c>
      <c r="E40" s="68">
        <f>ROUND((G15*$B$2*D2/365)+(F40*$N$3*F2/365),2)</f>
        <v>8709.93</v>
      </c>
      <c r="F40" s="47">
        <f>G15-L3</f>
        <v>709859.15999999992</v>
      </c>
      <c r="G40" s="47">
        <f t="shared" si="6"/>
        <v>655916.09</v>
      </c>
    </row>
    <row r="41" spans="1:7" x14ac:dyDescent="0.25">
      <c r="A41" s="70">
        <v>42282</v>
      </c>
      <c r="B41" s="46">
        <f t="shared" si="2"/>
        <v>30</v>
      </c>
      <c r="C41" s="47">
        <f>$F$1</f>
        <v>62653</v>
      </c>
      <c r="D41" s="48">
        <f t="shared" ref="D41:D51" si="7">C41-E41</f>
        <v>57261.91</v>
      </c>
      <c r="E41" s="68">
        <f t="shared" ref="E41:E50" si="8">ROUND(F41*$N$3*B41/365,2)</f>
        <v>5391.09</v>
      </c>
      <c r="F41" s="47">
        <f t="shared" si="5"/>
        <v>655916.09</v>
      </c>
      <c r="G41" s="47">
        <f t="shared" si="6"/>
        <v>598654.17999999993</v>
      </c>
    </row>
    <row r="42" spans="1:7" x14ac:dyDescent="0.25">
      <c r="A42" s="70">
        <v>42313</v>
      </c>
      <c r="B42" s="46">
        <f t="shared" si="2"/>
        <v>31</v>
      </c>
      <c r="C42" s="47">
        <f t="shared" ref="C42:C51" si="9">$F$1</f>
        <v>62653</v>
      </c>
      <c r="D42" s="48">
        <f t="shared" si="7"/>
        <v>57568.54</v>
      </c>
      <c r="E42" s="68">
        <f t="shared" si="8"/>
        <v>5084.46</v>
      </c>
      <c r="F42" s="47">
        <f t="shared" si="5"/>
        <v>598654.17999999993</v>
      </c>
      <c r="G42" s="47">
        <f t="shared" si="6"/>
        <v>541085.6399999999</v>
      </c>
    </row>
    <row r="43" spans="1:7" x14ac:dyDescent="0.25">
      <c r="A43" s="70">
        <v>42343</v>
      </c>
      <c r="B43" s="46">
        <f t="shared" si="2"/>
        <v>30</v>
      </c>
      <c r="C43" s="47">
        <f t="shared" si="9"/>
        <v>62653</v>
      </c>
      <c r="D43" s="48">
        <f t="shared" si="7"/>
        <v>58205.72</v>
      </c>
      <c r="E43" s="68">
        <f t="shared" si="8"/>
        <v>4447.28</v>
      </c>
      <c r="F43" s="47">
        <f t="shared" si="5"/>
        <v>541085.6399999999</v>
      </c>
      <c r="G43" s="47">
        <f t="shared" si="6"/>
        <v>482879.91999999993</v>
      </c>
    </row>
    <row r="44" spans="1:7" x14ac:dyDescent="0.25">
      <c r="A44" s="70">
        <v>42374</v>
      </c>
      <c r="B44" s="46">
        <f t="shared" si="2"/>
        <v>31</v>
      </c>
      <c r="C44" s="47">
        <f t="shared" si="9"/>
        <v>62653</v>
      </c>
      <c r="D44" s="48">
        <f t="shared" si="7"/>
        <v>58551.83</v>
      </c>
      <c r="E44" s="68">
        <f t="shared" si="8"/>
        <v>4101.17</v>
      </c>
      <c r="F44" s="47">
        <f t="shared" si="5"/>
        <v>482879.91999999993</v>
      </c>
      <c r="G44" s="47">
        <f t="shared" si="6"/>
        <v>424328.08999999991</v>
      </c>
    </row>
    <row r="45" spans="1:7" x14ac:dyDescent="0.25">
      <c r="A45" s="70">
        <v>42405</v>
      </c>
      <c r="B45" s="46">
        <f t="shared" si="2"/>
        <v>31</v>
      </c>
      <c r="C45" s="47">
        <f t="shared" si="9"/>
        <v>62653</v>
      </c>
      <c r="D45" s="48">
        <f t="shared" si="7"/>
        <v>59049.120000000003</v>
      </c>
      <c r="E45" s="68">
        <f t="shared" si="8"/>
        <v>3603.88</v>
      </c>
      <c r="F45" s="47">
        <f t="shared" si="5"/>
        <v>424328.08999999991</v>
      </c>
      <c r="G45" s="47">
        <f t="shared" si="6"/>
        <v>365278.96999999991</v>
      </c>
    </row>
    <row r="46" spans="1:7" x14ac:dyDescent="0.25">
      <c r="A46" s="70">
        <v>42434</v>
      </c>
      <c r="B46" s="46">
        <f t="shared" si="2"/>
        <v>29</v>
      </c>
      <c r="C46" s="47">
        <f t="shared" si="9"/>
        <v>62653</v>
      </c>
      <c r="D46" s="48">
        <f t="shared" si="7"/>
        <v>59750.78</v>
      </c>
      <c r="E46" s="68">
        <f t="shared" si="8"/>
        <v>2902.22</v>
      </c>
      <c r="F46" s="47">
        <f t="shared" si="5"/>
        <v>365278.96999999991</v>
      </c>
      <c r="G46" s="47">
        <f t="shared" si="6"/>
        <v>305528.18999999994</v>
      </c>
    </row>
    <row r="47" spans="1:7" x14ac:dyDescent="0.25">
      <c r="A47" s="70">
        <v>42465</v>
      </c>
      <c r="B47" s="46">
        <f t="shared" si="2"/>
        <v>31</v>
      </c>
      <c r="C47" s="47">
        <f t="shared" si="9"/>
        <v>62653</v>
      </c>
      <c r="D47" s="48">
        <f t="shared" si="7"/>
        <v>60058.1</v>
      </c>
      <c r="E47" s="68">
        <f t="shared" si="8"/>
        <v>2594.9</v>
      </c>
      <c r="F47" s="47">
        <f t="shared" si="5"/>
        <v>305528.18999999994</v>
      </c>
      <c r="G47" s="47">
        <f t="shared" si="6"/>
        <v>245470.08999999994</v>
      </c>
    </row>
    <row r="48" spans="1:7" x14ac:dyDescent="0.25">
      <c r="A48" s="70">
        <v>42495</v>
      </c>
      <c r="B48" s="46">
        <f t="shared" si="2"/>
        <v>30</v>
      </c>
      <c r="C48" s="47">
        <f t="shared" si="9"/>
        <v>62653</v>
      </c>
      <c r="D48" s="48">
        <f t="shared" si="7"/>
        <v>60635.44</v>
      </c>
      <c r="E48" s="68">
        <f t="shared" si="8"/>
        <v>2017.56</v>
      </c>
      <c r="F48" s="47">
        <f t="shared" si="5"/>
        <v>245470.08999999994</v>
      </c>
      <c r="G48" s="47">
        <f t="shared" si="6"/>
        <v>184834.64999999994</v>
      </c>
    </row>
    <row r="49" spans="1:7" x14ac:dyDescent="0.25">
      <c r="A49" s="70">
        <v>42526</v>
      </c>
      <c r="B49" s="46">
        <f t="shared" si="2"/>
        <v>31</v>
      </c>
      <c r="C49" s="47">
        <f t="shared" si="9"/>
        <v>62653</v>
      </c>
      <c r="D49" s="48">
        <f t="shared" si="7"/>
        <v>61083.17</v>
      </c>
      <c r="E49" s="68">
        <f t="shared" si="8"/>
        <v>1569.83</v>
      </c>
      <c r="F49" s="47">
        <f t="shared" si="5"/>
        <v>184834.64999999994</v>
      </c>
      <c r="G49" s="47">
        <f t="shared" si="6"/>
        <v>123751.47999999994</v>
      </c>
    </row>
    <row r="50" spans="1:7" x14ac:dyDescent="0.25">
      <c r="A50" s="70">
        <v>42556</v>
      </c>
      <c r="B50" s="46">
        <f t="shared" si="2"/>
        <v>30</v>
      </c>
      <c r="C50" s="47">
        <f t="shared" si="9"/>
        <v>62653</v>
      </c>
      <c r="D50" s="48">
        <f t="shared" si="7"/>
        <v>61635.86</v>
      </c>
      <c r="E50" s="68">
        <f t="shared" si="8"/>
        <v>1017.14</v>
      </c>
      <c r="F50" s="47">
        <f t="shared" si="5"/>
        <v>123751.47999999994</v>
      </c>
      <c r="G50" s="47">
        <f t="shared" si="6"/>
        <v>62115.619999999937</v>
      </c>
    </row>
    <row r="51" spans="1:7" x14ac:dyDescent="0.25">
      <c r="A51" s="70">
        <v>42587</v>
      </c>
      <c r="B51" s="46">
        <f t="shared" si="2"/>
        <v>31</v>
      </c>
      <c r="C51" s="47">
        <f t="shared" si="9"/>
        <v>62653</v>
      </c>
      <c r="D51" s="48">
        <f t="shared" si="7"/>
        <v>62115.619999999937</v>
      </c>
      <c r="E51" s="68">
        <v>537.38000000006514</v>
      </c>
      <c r="F51" s="47">
        <f>G50</f>
        <v>62115.619999999937</v>
      </c>
      <c r="G51" s="47">
        <f t="shared" si="6"/>
        <v>0</v>
      </c>
    </row>
  </sheetData>
  <pageMargins left="0.7" right="0.7" top="0.75" bottom="0.75" header="0.3" footer="0.3"/>
  <pageSetup orientation="portrait" r:id="rId1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A8F121-D3B7-4D17-9F21-8696C85A5322}">
  <dimension ref="A1:N51"/>
  <sheetViews>
    <sheetView zoomScale="85" zoomScaleNormal="85" workbookViewId="0">
      <selection activeCell="D1" sqref="D1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" bestFit="1" customWidth="1"/>
    <col min="4" max="4" width="10.28515625" bestFit="1" customWidth="1"/>
    <col min="5" max="5" width="14.7109375" bestFit="1" customWidth="1"/>
    <col min="6" max="6" width="15.28515625" bestFit="1" customWidth="1"/>
    <col min="7" max="7" width="18.7109375" bestFit="1" customWidth="1"/>
    <col min="8" max="8" width="15.140625" bestFit="1" customWidth="1"/>
    <col min="9" max="9" width="21.42578125" bestFit="1" customWidth="1"/>
    <col min="10" max="10" width="3" bestFit="1" customWidth="1"/>
    <col min="11" max="11" width="23.140625" bestFit="1" customWidth="1"/>
    <col min="12" max="12" width="10.28515625" bestFit="1" customWidth="1"/>
    <col min="13" max="13" width="15.5703125" bestFit="1" customWidth="1"/>
    <col min="14" max="14" width="10.28515625" bestFit="1" customWidth="1"/>
  </cols>
  <sheetData>
    <row r="1" spans="1:14" x14ac:dyDescent="0.25">
      <c r="A1" s="17" t="s">
        <v>33</v>
      </c>
      <c r="B1" s="78">
        <v>41856</v>
      </c>
      <c r="C1" s="17" t="s">
        <v>37</v>
      </c>
      <c r="D1" s="79">
        <f>ROUNDUP(34665.5343079289,0)</f>
        <v>34666</v>
      </c>
      <c r="E1" s="73" t="s">
        <v>106</v>
      </c>
      <c r="F1" s="79">
        <f>ROUNDUP(62643.2725967262,0)</f>
        <v>62644</v>
      </c>
      <c r="G1" s="83" t="s">
        <v>52</v>
      </c>
      <c r="H1" s="81">
        <v>42248</v>
      </c>
      <c r="I1" s="73" t="s">
        <v>124</v>
      </c>
      <c r="J1" s="73">
        <v>40</v>
      </c>
      <c r="K1" s="73" t="s">
        <v>125</v>
      </c>
      <c r="L1" s="74">
        <v>42248</v>
      </c>
      <c r="M1" s="73" t="s">
        <v>123</v>
      </c>
      <c r="N1" s="74">
        <v>42248</v>
      </c>
    </row>
    <row r="2" spans="1:14" x14ac:dyDescent="0.25">
      <c r="A2" s="75" t="s">
        <v>34</v>
      </c>
      <c r="B2" s="76">
        <v>0.15</v>
      </c>
      <c r="C2" t="s">
        <v>136</v>
      </c>
      <c r="D2">
        <f>DAYS360(A15,L1,TRUE)</f>
        <v>26</v>
      </c>
      <c r="E2" t="s">
        <v>137</v>
      </c>
      <c r="F2">
        <f>A16-L1</f>
        <v>4</v>
      </c>
      <c r="K2" s="77" t="s">
        <v>126</v>
      </c>
      <c r="L2" s="79">
        <f>ROUNDUP(30209.6835204791,0)</f>
        <v>30210</v>
      </c>
      <c r="M2" s="73" t="s">
        <v>106</v>
      </c>
      <c r="N2" s="79">
        <f>ROUNDUP(30482.5901368555,0)</f>
        <v>30483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K3" s="73" t="s">
        <v>127</v>
      </c>
      <c r="L3" s="73">
        <v>5000</v>
      </c>
      <c r="M3" s="73" t="s">
        <v>128</v>
      </c>
      <c r="N3" s="82">
        <v>0.1</v>
      </c>
    </row>
    <row r="4" spans="1:14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4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>ROUND(F5*$B$2*B5/360,2)</f>
        <v>12222.93</v>
      </c>
      <c r="F5" s="47">
        <f>G4</f>
        <v>977834</v>
      </c>
      <c r="G5" s="47">
        <f>F5-D5</f>
        <v>955390.93</v>
      </c>
    </row>
    <row r="6" spans="1:14" x14ac:dyDescent="0.25">
      <c r="A6" s="36">
        <v>41948</v>
      </c>
      <c r="B6" s="46">
        <f t="shared" ref="B6:B39" si="2">DAYS360(A5,A6,TRUE)</f>
        <v>30</v>
      </c>
      <c r="C6" s="47">
        <f t="shared" ref="C6:C39" si="3">$D$1</f>
        <v>34666</v>
      </c>
      <c r="D6" s="48">
        <f t="shared" si="0"/>
        <v>22723.61</v>
      </c>
      <c r="E6" s="68">
        <f t="shared" ref="E6:E38" si="4">ROUND(F6*$B$2*B6/360,2)</f>
        <v>11942.39</v>
      </c>
      <c r="F6" s="47">
        <f t="shared" ref="F6:F51" si="5">G5</f>
        <v>955390.93</v>
      </c>
      <c r="G6" s="47">
        <f t="shared" ref="G6:G51" si="6">F6-D6</f>
        <v>932667.32000000007</v>
      </c>
    </row>
    <row r="7" spans="1:14" x14ac:dyDescent="0.25">
      <c r="A7" s="36">
        <v>41978</v>
      </c>
      <c r="B7" s="46">
        <f t="shared" si="2"/>
        <v>30</v>
      </c>
      <c r="C7" s="47">
        <f t="shared" si="3"/>
        <v>34666</v>
      </c>
      <c r="D7" s="48">
        <f t="shared" si="0"/>
        <v>23007.66</v>
      </c>
      <c r="E7" s="68">
        <f t="shared" si="4"/>
        <v>11658.34</v>
      </c>
      <c r="F7" s="47">
        <f t="shared" si="5"/>
        <v>932667.32000000007</v>
      </c>
      <c r="G7" s="47">
        <f t="shared" si="6"/>
        <v>909659.66</v>
      </c>
    </row>
    <row r="8" spans="1:14" x14ac:dyDescent="0.25">
      <c r="A8" s="36">
        <v>42009</v>
      </c>
      <c r="B8" s="46">
        <f t="shared" si="2"/>
        <v>30</v>
      </c>
      <c r="C8" s="47">
        <f t="shared" si="3"/>
        <v>34666</v>
      </c>
      <c r="D8" s="48">
        <f t="shared" si="0"/>
        <v>23295.25</v>
      </c>
      <c r="E8" s="68">
        <f t="shared" si="4"/>
        <v>11370.75</v>
      </c>
      <c r="F8" s="47">
        <f t="shared" si="5"/>
        <v>909659.66</v>
      </c>
      <c r="G8" s="47">
        <f t="shared" si="6"/>
        <v>886364.41</v>
      </c>
    </row>
    <row r="9" spans="1:14" x14ac:dyDescent="0.25">
      <c r="A9" s="36">
        <v>42040</v>
      </c>
      <c r="B9" s="46">
        <f t="shared" si="2"/>
        <v>30</v>
      </c>
      <c r="C9" s="47">
        <f t="shared" si="3"/>
        <v>34666</v>
      </c>
      <c r="D9" s="48">
        <f t="shared" si="0"/>
        <v>23586.440000000002</v>
      </c>
      <c r="E9" s="68">
        <f t="shared" si="4"/>
        <v>11079.56</v>
      </c>
      <c r="F9" s="47">
        <f t="shared" si="5"/>
        <v>886364.41</v>
      </c>
      <c r="G9" s="47">
        <f t="shared" si="6"/>
        <v>862777.97</v>
      </c>
    </row>
    <row r="10" spans="1:14" x14ac:dyDescent="0.25">
      <c r="A10" s="36">
        <v>42068</v>
      </c>
      <c r="B10" s="46">
        <f t="shared" si="2"/>
        <v>30</v>
      </c>
      <c r="C10" s="47">
        <f t="shared" si="3"/>
        <v>34666</v>
      </c>
      <c r="D10" s="48">
        <f t="shared" si="0"/>
        <v>23881.279999999999</v>
      </c>
      <c r="E10" s="68">
        <f t="shared" si="4"/>
        <v>10784.72</v>
      </c>
      <c r="F10" s="47">
        <f t="shared" si="5"/>
        <v>862777.97</v>
      </c>
      <c r="G10" s="47">
        <f t="shared" si="6"/>
        <v>838896.69</v>
      </c>
    </row>
    <row r="11" spans="1:14" x14ac:dyDescent="0.25">
      <c r="A11" s="36">
        <v>42099</v>
      </c>
      <c r="B11" s="46">
        <f t="shared" si="2"/>
        <v>30</v>
      </c>
      <c r="C11" s="47">
        <f t="shared" si="3"/>
        <v>34666</v>
      </c>
      <c r="D11" s="48">
        <f t="shared" si="0"/>
        <v>24179.79</v>
      </c>
      <c r="E11" s="68">
        <f t="shared" si="4"/>
        <v>10486.21</v>
      </c>
      <c r="F11" s="47">
        <f t="shared" si="5"/>
        <v>838896.69</v>
      </c>
      <c r="G11" s="47">
        <f t="shared" si="6"/>
        <v>814716.89999999991</v>
      </c>
    </row>
    <row r="12" spans="1:14" x14ac:dyDescent="0.25">
      <c r="A12" s="36">
        <v>42129</v>
      </c>
      <c r="B12" s="46">
        <f t="shared" si="2"/>
        <v>30</v>
      </c>
      <c r="C12" s="47">
        <f t="shared" si="3"/>
        <v>34666</v>
      </c>
      <c r="D12" s="48">
        <f t="shared" si="0"/>
        <v>24482.04</v>
      </c>
      <c r="E12" s="68">
        <f t="shared" si="4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4" x14ac:dyDescent="0.25">
      <c r="A13" s="36">
        <v>42160</v>
      </c>
      <c r="B13" s="46">
        <f t="shared" si="2"/>
        <v>30</v>
      </c>
      <c r="C13" s="47">
        <f t="shared" si="3"/>
        <v>34666</v>
      </c>
      <c r="D13" s="48">
        <f t="shared" si="0"/>
        <v>24788.059999999998</v>
      </c>
      <c r="E13" s="68">
        <f t="shared" si="4"/>
        <v>9877.94</v>
      </c>
      <c r="F13" s="47">
        <f t="shared" si="5"/>
        <v>790234.85999999987</v>
      </c>
      <c r="G13" s="47">
        <f t="shared" si="6"/>
        <v>765446.79999999981</v>
      </c>
    </row>
    <row r="14" spans="1:14" x14ac:dyDescent="0.25">
      <c r="A14" s="36">
        <v>42190</v>
      </c>
      <c r="B14" s="46">
        <f t="shared" si="2"/>
        <v>30</v>
      </c>
      <c r="C14" s="47">
        <f t="shared" si="3"/>
        <v>34666</v>
      </c>
      <c r="D14" s="48">
        <f t="shared" si="0"/>
        <v>25097.91</v>
      </c>
      <c r="E14" s="68">
        <f t="shared" si="4"/>
        <v>9568.09</v>
      </c>
      <c r="F14" s="47">
        <f t="shared" si="5"/>
        <v>765446.79999999981</v>
      </c>
      <c r="G14" s="47">
        <f t="shared" si="6"/>
        <v>740348.88999999978</v>
      </c>
    </row>
    <row r="15" spans="1:14" x14ac:dyDescent="0.25">
      <c r="A15" s="36">
        <v>42221</v>
      </c>
      <c r="B15" s="46">
        <f t="shared" si="2"/>
        <v>30</v>
      </c>
      <c r="C15" s="47">
        <f t="shared" si="3"/>
        <v>34666</v>
      </c>
      <c r="D15" s="48">
        <f t="shared" si="0"/>
        <v>25411.64</v>
      </c>
      <c r="E15" s="68">
        <f t="shared" si="4"/>
        <v>9254.36</v>
      </c>
      <c r="F15" s="47">
        <f t="shared" si="5"/>
        <v>740348.88999999978</v>
      </c>
      <c r="G15" s="47">
        <f t="shared" si="6"/>
        <v>714937.24999999977</v>
      </c>
    </row>
    <row r="16" spans="1:14" x14ac:dyDescent="0.25">
      <c r="A16" s="36">
        <v>42252</v>
      </c>
      <c r="B16" s="46">
        <f t="shared" si="2"/>
        <v>30</v>
      </c>
      <c r="C16" s="47">
        <f t="shared" si="3"/>
        <v>34666</v>
      </c>
      <c r="D16" s="48">
        <f t="shared" si="0"/>
        <v>25729.279999999999</v>
      </c>
      <c r="E16" s="68">
        <f t="shared" si="4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34666</v>
      </c>
      <c r="D17" s="48">
        <f t="shared" si="0"/>
        <v>26050.9</v>
      </c>
      <c r="E17" s="68">
        <f t="shared" si="4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2"/>
        <v>30</v>
      </c>
      <c r="C18" s="47">
        <f t="shared" si="3"/>
        <v>34666</v>
      </c>
      <c r="D18" s="48">
        <f t="shared" si="0"/>
        <v>26376.54</v>
      </c>
      <c r="E18" s="68">
        <f t="shared" si="4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34666</v>
      </c>
      <c r="D19" s="48">
        <f t="shared" si="0"/>
        <v>26706.239999999998</v>
      </c>
      <c r="E19" s="68">
        <f t="shared" si="4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36">
        <v>42374</v>
      </c>
      <c r="B20" s="46">
        <f t="shared" si="2"/>
        <v>30</v>
      </c>
      <c r="C20" s="47">
        <f t="shared" si="3"/>
        <v>34666</v>
      </c>
      <c r="D20" s="48">
        <f t="shared" si="0"/>
        <v>27040.07</v>
      </c>
      <c r="E20" s="68">
        <f t="shared" si="4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36">
        <v>42405</v>
      </c>
      <c r="B21" s="46">
        <f t="shared" si="2"/>
        <v>30</v>
      </c>
      <c r="C21" s="47">
        <f t="shared" si="3"/>
        <v>34666</v>
      </c>
      <c r="D21" s="48">
        <f t="shared" si="0"/>
        <v>27378.07</v>
      </c>
      <c r="E21" s="68">
        <f t="shared" si="4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36">
        <v>42434</v>
      </c>
      <c r="B22" s="46">
        <f t="shared" si="2"/>
        <v>30</v>
      </c>
      <c r="C22" s="47">
        <f t="shared" si="3"/>
        <v>34666</v>
      </c>
      <c r="D22" s="48">
        <f t="shared" si="0"/>
        <v>27720.3</v>
      </c>
      <c r="E22" s="68">
        <f t="shared" si="4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36">
        <v>42465</v>
      </c>
      <c r="B23" s="46">
        <f t="shared" si="2"/>
        <v>30</v>
      </c>
      <c r="C23" s="47">
        <f t="shared" si="3"/>
        <v>34666</v>
      </c>
      <c r="D23" s="48">
        <f t="shared" si="0"/>
        <v>28066.799999999999</v>
      </c>
      <c r="E23" s="68">
        <f t="shared" si="4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34666</v>
      </c>
      <c r="D24" s="48">
        <f t="shared" si="0"/>
        <v>28417.64</v>
      </c>
      <c r="E24" s="68">
        <f t="shared" si="4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36">
        <v>42526</v>
      </c>
      <c r="B25" s="46">
        <f t="shared" si="2"/>
        <v>30</v>
      </c>
      <c r="C25" s="47">
        <f t="shared" si="3"/>
        <v>34666</v>
      </c>
      <c r="D25" s="48">
        <f t="shared" si="0"/>
        <v>28772.86</v>
      </c>
      <c r="E25" s="68">
        <f t="shared" si="4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34666</v>
      </c>
      <c r="D26" s="48">
        <f t="shared" si="0"/>
        <v>29132.52</v>
      </c>
      <c r="E26" s="68">
        <f t="shared" si="4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36">
        <v>42587</v>
      </c>
      <c r="B27" s="46">
        <f t="shared" si="2"/>
        <v>30</v>
      </c>
      <c r="C27" s="47">
        <f t="shared" si="3"/>
        <v>34666</v>
      </c>
      <c r="D27" s="48">
        <f t="shared" si="0"/>
        <v>29496.67</v>
      </c>
      <c r="E27" s="68">
        <f t="shared" si="4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36">
        <v>42618</v>
      </c>
      <c r="B28" s="46">
        <f t="shared" si="2"/>
        <v>30</v>
      </c>
      <c r="C28" s="47">
        <f t="shared" si="3"/>
        <v>34666</v>
      </c>
      <c r="D28" s="48">
        <f t="shared" si="0"/>
        <v>29865.38</v>
      </c>
      <c r="E28" s="68">
        <f t="shared" si="4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34666</v>
      </c>
      <c r="D29" s="48">
        <f t="shared" si="0"/>
        <v>30238.7</v>
      </c>
      <c r="E29" s="68">
        <f t="shared" si="4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36">
        <v>42679</v>
      </c>
      <c r="B30" s="46">
        <f t="shared" si="2"/>
        <v>30</v>
      </c>
      <c r="C30" s="47">
        <f t="shared" si="3"/>
        <v>34666</v>
      </c>
      <c r="D30" s="48">
        <f t="shared" si="0"/>
        <v>30616.68</v>
      </c>
      <c r="E30" s="68">
        <f t="shared" si="4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34666</v>
      </c>
      <c r="D31" s="48">
        <f t="shared" si="0"/>
        <v>30999.39</v>
      </c>
      <c r="E31" s="68">
        <f t="shared" si="4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36">
        <v>42740</v>
      </c>
      <c r="B32" s="46">
        <f t="shared" si="2"/>
        <v>30</v>
      </c>
      <c r="C32" s="47">
        <f t="shared" si="3"/>
        <v>34666</v>
      </c>
      <c r="D32" s="48">
        <f t="shared" si="0"/>
        <v>31386.880000000001</v>
      </c>
      <c r="E32" s="68">
        <f t="shared" si="4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36">
        <v>42771</v>
      </c>
      <c r="B33" s="46">
        <f t="shared" si="2"/>
        <v>30</v>
      </c>
      <c r="C33" s="47">
        <f t="shared" si="3"/>
        <v>34666</v>
      </c>
      <c r="D33" s="48">
        <f t="shared" si="0"/>
        <v>31779.22</v>
      </c>
      <c r="E33" s="68">
        <f t="shared" si="4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36">
        <v>42799</v>
      </c>
      <c r="B34" s="46">
        <f t="shared" si="2"/>
        <v>30</v>
      </c>
      <c r="C34" s="47">
        <f t="shared" si="3"/>
        <v>34666</v>
      </c>
      <c r="D34" s="48">
        <f t="shared" si="0"/>
        <v>32176.46</v>
      </c>
      <c r="E34" s="68">
        <f t="shared" si="4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36">
        <v>42830</v>
      </c>
      <c r="B35" s="46">
        <f t="shared" si="2"/>
        <v>30</v>
      </c>
      <c r="C35" s="47">
        <f t="shared" si="3"/>
        <v>34666</v>
      </c>
      <c r="D35" s="48">
        <f t="shared" si="0"/>
        <v>32578.67</v>
      </c>
      <c r="E35" s="68">
        <f t="shared" si="4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34666</v>
      </c>
      <c r="D36" s="48">
        <f t="shared" si="0"/>
        <v>32985.9</v>
      </c>
      <c r="E36" s="68">
        <f t="shared" si="4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36">
        <v>42891</v>
      </c>
      <c r="B37" s="46">
        <f t="shared" si="2"/>
        <v>30</v>
      </c>
      <c r="C37" s="47">
        <f t="shared" si="3"/>
        <v>34666</v>
      </c>
      <c r="D37" s="48">
        <f t="shared" si="0"/>
        <v>33398.22</v>
      </c>
      <c r="E37" s="68">
        <f t="shared" si="4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34666</v>
      </c>
      <c r="D38" s="48">
        <f t="shared" si="0"/>
        <v>33815.699999999997</v>
      </c>
      <c r="E38" s="68">
        <f t="shared" si="4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36">
        <v>42952</v>
      </c>
      <c r="B39" s="46">
        <f t="shared" si="2"/>
        <v>30</v>
      </c>
      <c r="C39" s="47">
        <f t="shared" si="3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70">
        <v>42252</v>
      </c>
      <c r="B40" s="46">
        <f>DAYS360(A15,A40,TRUE)</f>
        <v>30</v>
      </c>
      <c r="C40" s="47">
        <f>$F$1</f>
        <v>62644</v>
      </c>
      <c r="D40" s="48">
        <f>C40-E40</f>
        <v>54110.03</v>
      </c>
      <c r="E40" s="68">
        <f>ROUND((G15*$B$2*D2/360)+(F40*$N$3*F2/360),2)</f>
        <v>8533.9699999999993</v>
      </c>
      <c r="F40" s="47">
        <f>G15-L3</f>
        <v>709937.24999999977</v>
      </c>
      <c r="G40" s="47">
        <f t="shared" si="6"/>
        <v>655827.21999999974</v>
      </c>
    </row>
    <row r="41" spans="1:7" x14ac:dyDescent="0.25">
      <c r="A41" s="70">
        <v>42282</v>
      </c>
      <c r="B41" s="46">
        <f>DAYS360(A40,A41,TRUE)</f>
        <v>30</v>
      </c>
      <c r="C41" s="47">
        <f>$F$1</f>
        <v>62644</v>
      </c>
      <c r="D41" s="48">
        <f t="shared" ref="D41:D51" si="7">C41-E41</f>
        <v>57178.770000000004</v>
      </c>
      <c r="E41" s="68">
        <f>ROUND(F41*$N$3*B41/360,2)</f>
        <v>5465.23</v>
      </c>
      <c r="F41" s="47">
        <f t="shared" si="5"/>
        <v>655827.21999999974</v>
      </c>
      <c r="G41" s="47">
        <f t="shared" si="6"/>
        <v>598648.44999999972</v>
      </c>
    </row>
    <row r="42" spans="1:7" x14ac:dyDescent="0.25">
      <c r="A42" s="70">
        <v>42313</v>
      </c>
      <c r="B42" s="46">
        <f t="shared" ref="B42:B51" si="8">DAYS360(A41,A42,TRUE)</f>
        <v>30</v>
      </c>
      <c r="C42" s="47">
        <f t="shared" ref="C42:C51" si="9">$F$1</f>
        <v>62644</v>
      </c>
      <c r="D42" s="48">
        <f t="shared" si="7"/>
        <v>57655.26</v>
      </c>
      <c r="E42" s="68">
        <f t="shared" ref="E42:E50" si="10">ROUND(F42*$N$3*B42/360,2)</f>
        <v>4988.74</v>
      </c>
      <c r="F42" s="47">
        <f t="shared" si="5"/>
        <v>598648.44999999972</v>
      </c>
      <c r="G42" s="47">
        <f t="shared" si="6"/>
        <v>540993.18999999971</v>
      </c>
    </row>
    <row r="43" spans="1:7" x14ac:dyDescent="0.25">
      <c r="A43" s="70">
        <v>42343</v>
      </c>
      <c r="B43" s="46">
        <f t="shared" si="8"/>
        <v>30</v>
      </c>
      <c r="C43" s="47">
        <f t="shared" si="9"/>
        <v>62644</v>
      </c>
      <c r="D43" s="48">
        <f t="shared" si="7"/>
        <v>58135.72</v>
      </c>
      <c r="E43" s="68">
        <f t="shared" si="10"/>
        <v>4508.28</v>
      </c>
      <c r="F43" s="47">
        <f t="shared" si="5"/>
        <v>540993.18999999971</v>
      </c>
      <c r="G43" s="47">
        <f t="shared" si="6"/>
        <v>482857.46999999974</v>
      </c>
    </row>
    <row r="44" spans="1:7" x14ac:dyDescent="0.25">
      <c r="A44" s="70">
        <v>42374</v>
      </c>
      <c r="B44" s="46">
        <f t="shared" si="8"/>
        <v>30</v>
      </c>
      <c r="C44" s="47">
        <f t="shared" si="9"/>
        <v>62644</v>
      </c>
      <c r="D44" s="48">
        <f t="shared" si="7"/>
        <v>58620.19</v>
      </c>
      <c r="E44" s="68">
        <f t="shared" si="10"/>
        <v>4023.81</v>
      </c>
      <c r="F44" s="47">
        <f t="shared" si="5"/>
        <v>482857.46999999974</v>
      </c>
      <c r="G44" s="47">
        <f t="shared" si="6"/>
        <v>424237.27999999974</v>
      </c>
    </row>
    <row r="45" spans="1:7" x14ac:dyDescent="0.25">
      <c r="A45" s="70">
        <v>42405</v>
      </c>
      <c r="B45" s="46">
        <f t="shared" si="8"/>
        <v>30</v>
      </c>
      <c r="C45" s="47">
        <f t="shared" si="9"/>
        <v>62644</v>
      </c>
      <c r="D45" s="48">
        <f t="shared" si="7"/>
        <v>59108.69</v>
      </c>
      <c r="E45" s="68">
        <f t="shared" si="10"/>
        <v>3535.31</v>
      </c>
      <c r="F45" s="47">
        <f t="shared" si="5"/>
        <v>424237.27999999974</v>
      </c>
      <c r="G45" s="47">
        <f t="shared" si="6"/>
        <v>365128.58999999973</v>
      </c>
    </row>
    <row r="46" spans="1:7" x14ac:dyDescent="0.25">
      <c r="A46" s="70">
        <v>42434</v>
      </c>
      <c r="B46" s="46">
        <f t="shared" si="8"/>
        <v>30</v>
      </c>
      <c r="C46" s="47">
        <f t="shared" si="9"/>
        <v>62644</v>
      </c>
      <c r="D46" s="48">
        <f t="shared" si="7"/>
        <v>59601.26</v>
      </c>
      <c r="E46" s="68">
        <f t="shared" si="10"/>
        <v>3042.74</v>
      </c>
      <c r="F46" s="47">
        <f t="shared" si="5"/>
        <v>365128.58999999973</v>
      </c>
      <c r="G46" s="47">
        <f t="shared" si="6"/>
        <v>305527.32999999973</v>
      </c>
    </row>
    <row r="47" spans="1:7" x14ac:dyDescent="0.25">
      <c r="A47" s="70">
        <v>42465</v>
      </c>
      <c r="B47" s="46">
        <f t="shared" si="8"/>
        <v>30</v>
      </c>
      <c r="C47" s="47">
        <f t="shared" si="9"/>
        <v>62644</v>
      </c>
      <c r="D47" s="48">
        <f t="shared" si="7"/>
        <v>60097.94</v>
      </c>
      <c r="E47" s="68">
        <f t="shared" si="10"/>
        <v>2546.06</v>
      </c>
      <c r="F47" s="47">
        <f t="shared" si="5"/>
        <v>305527.32999999973</v>
      </c>
      <c r="G47" s="47">
        <f t="shared" si="6"/>
        <v>245429.38999999972</v>
      </c>
    </row>
    <row r="48" spans="1:7" x14ac:dyDescent="0.25">
      <c r="A48" s="70">
        <v>42495</v>
      </c>
      <c r="B48" s="46">
        <f t="shared" si="8"/>
        <v>30</v>
      </c>
      <c r="C48" s="47">
        <f t="shared" si="9"/>
        <v>62644</v>
      </c>
      <c r="D48" s="48">
        <f t="shared" si="7"/>
        <v>60598.76</v>
      </c>
      <c r="E48" s="68">
        <f t="shared" si="10"/>
        <v>2045.24</v>
      </c>
      <c r="F48" s="47">
        <f t="shared" si="5"/>
        <v>245429.38999999972</v>
      </c>
      <c r="G48" s="47">
        <f t="shared" si="6"/>
        <v>184830.62999999971</v>
      </c>
    </row>
    <row r="49" spans="1:7" x14ac:dyDescent="0.25">
      <c r="A49" s="70">
        <v>42526</v>
      </c>
      <c r="B49" s="46">
        <f t="shared" si="8"/>
        <v>30</v>
      </c>
      <c r="C49" s="47">
        <f t="shared" si="9"/>
        <v>62644</v>
      </c>
      <c r="D49" s="48">
        <f t="shared" si="7"/>
        <v>61103.74</v>
      </c>
      <c r="E49" s="68">
        <f t="shared" si="10"/>
        <v>1540.26</v>
      </c>
      <c r="F49" s="47">
        <f t="shared" si="5"/>
        <v>184830.62999999971</v>
      </c>
      <c r="G49" s="47">
        <f t="shared" si="6"/>
        <v>123726.88999999972</v>
      </c>
    </row>
    <row r="50" spans="1:7" x14ac:dyDescent="0.25">
      <c r="A50" s="70">
        <v>42556</v>
      </c>
      <c r="B50" s="46">
        <f t="shared" si="8"/>
        <v>30</v>
      </c>
      <c r="C50" s="47">
        <f t="shared" si="9"/>
        <v>62644</v>
      </c>
      <c r="D50" s="48">
        <f t="shared" si="7"/>
        <v>61612.94</v>
      </c>
      <c r="E50" s="68">
        <f t="shared" si="10"/>
        <v>1031.06</v>
      </c>
      <c r="F50" s="47">
        <f t="shared" si="5"/>
        <v>123726.88999999972</v>
      </c>
      <c r="G50" s="47">
        <f t="shared" si="6"/>
        <v>62113.949999999721</v>
      </c>
    </row>
    <row r="51" spans="1:7" x14ac:dyDescent="0.25">
      <c r="A51" s="70">
        <v>42587</v>
      </c>
      <c r="B51" s="46">
        <f t="shared" si="8"/>
        <v>30</v>
      </c>
      <c r="C51" s="47">
        <f t="shared" si="9"/>
        <v>62644</v>
      </c>
      <c r="D51" s="48">
        <f t="shared" si="7"/>
        <v>62113.949999999721</v>
      </c>
      <c r="E51" s="68">
        <v>530.05000000027678</v>
      </c>
      <c r="F51" s="47">
        <f t="shared" si="5"/>
        <v>62113.949999999721</v>
      </c>
      <c r="G51" s="47">
        <f t="shared" si="6"/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13361-9721-4DEB-9059-2D03C347B0BB}">
  <dimension ref="A1:R3"/>
  <sheetViews>
    <sheetView workbookViewId="0">
      <selection activeCell="A3" sqref="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97.1406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138</v>
      </c>
      <c r="P2" s="20" t="s">
        <v>141</v>
      </c>
      <c r="Q2" s="20" t="s">
        <v>142</v>
      </c>
      <c r="R2" s="50" t="s">
        <v>155</v>
      </c>
    </row>
    <row r="3" spans="1:18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138</v>
      </c>
      <c r="P3" s="20" t="s">
        <v>141</v>
      </c>
      <c r="Q3" s="20" t="s">
        <v>142</v>
      </c>
      <c r="R3" s="50" t="s">
        <v>156</v>
      </c>
    </row>
  </sheetData>
  <pageMargins left="0.7" right="0.7" top="0.75" bottom="0.75" header="0.3" footer="0.3"/>
  <pageSetup orientation="portrait" r:id="rId1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C901E-1015-4C89-993B-0B5A65DA8998}">
  <dimension ref="A1:N48"/>
  <sheetViews>
    <sheetView zoomScale="94" zoomScaleNormal="80" workbookViewId="0">
      <pane ySplit="3" topLeftCell="A34" activePane="bottomLeft" state="frozen"/>
      <selection activeCell="B41" sqref="B41"/>
      <selection pane="bottomLeft" activeCell="C48" sqref="C48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3.42578125" bestFit="1" customWidth="1"/>
    <col min="11" max="11" width="25.140625" bestFit="1" customWidth="1"/>
    <col min="12" max="12" width="10.85546875" bestFit="1" customWidth="1"/>
    <col min="13" max="13" width="17.42578125" bestFit="1" customWidth="1"/>
    <col min="14" max="14" width="10.5703125" bestFit="1" customWidth="1"/>
  </cols>
  <sheetData>
    <row r="1" spans="1:14" x14ac:dyDescent="0.25">
      <c r="A1" s="17" t="s">
        <v>33</v>
      </c>
      <c r="B1" s="78">
        <v>41856</v>
      </c>
      <c r="C1" s="17" t="s">
        <v>37</v>
      </c>
      <c r="D1" s="79">
        <f>ROUNDUP(34673.5343079289,0)</f>
        <v>34674</v>
      </c>
      <c r="E1" s="73" t="s">
        <v>106</v>
      </c>
      <c r="F1" s="79">
        <f>ROUNDUP(50000,2)</f>
        <v>50000</v>
      </c>
      <c r="G1" s="80" t="s">
        <v>52</v>
      </c>
      <c r="H1" s="81">
        <v>42614</v>
      </c>
      <c r="I1" s="73" t="s">
        <v>124</v>
      </c>
      <c r="J1" s="73">
        <v>40</v>
      </c>
      <c r="K1" s="73" t="s">
        <v>125</v>
      </c>
      <c r="L1" s="74">
        <v>42614</v>
      </c>
      <c r="M1" s="73" t="s">
        <v>123</v>
      </c>
      <c r="N1" s="74">
        <v>42979</v>
      </c>
    </row>
    <row r="2" spans="1:14" x14ac:dyDescent="0.25">
      <c r="A2" s="75" t="s">
        <v>34</v>
      </c>
      <c r="B2" s="76">
        <v>0.15</v>
      </c>
      <c r="C2" t="s">
        <v>136</v>
      </c>
      <c r="D2">
        <f>L1-A27</f>
        <v>27</v>
      </c>
      <c r="E2" t="s">
        <v>137</v>
      </c>
      <c r="F2">
        <f>A28-L1</f>
        <v>4</v>
      </c>
      <c r="K2" s="77" t="s">
        <v>126</v>
      </c>
      <c r="L2" s="79">
        <f>ROUNDUP(30084.6835204791,0)</f>
        <v>30085</v>
      </c>
      <c r="M2" s="73" t="s">
        <v>106</v>
      </c>
      <c r="N2" s="79">
        <f>ROUNDUP(30482.5901368555,0)</f>
        <v>30483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K3" s="73" t="s">
        <v>127</v>
      </c>
      <c r="L3" s="73">
        <v>5000</v>
      </c>
      <c r="M3" s="73" t="s">
        <v>128</v>
      </c>
      <c r="N3" s="82">
        <v>0.25</v>
      </c>
    </row>
    <row r="4" spans="1:14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39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4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4" x14ac:dyDescent="0.25">
      <c r="A6" s="36">
        <v>41948</v>
      </c>
      <c r="B6" s="46">
        <f t="shared" ref="B6:B48" si="2">A6-A5</f>
        <v>31</v>
      </c>
      <c r="C6" s="47">
        <f t="shared" ref="C6:C39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48" si="5">G5</f>
        <v>955450.07</v>
      </c>
      <c r="G6" s="47">
        <f t="shared" ref="G6:G48" si="6">F6-D6</f>
        <v>932948.24</v>
      </c>
    </row>
    <row r="7" spans="1:14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4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4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4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4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4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4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4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4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4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70">
        <v>42618</v>
      </c>
      <c r="B40" s="46">
        <f>A40-A27</f>
        <v>31</v>
      </c>
      <c r="C40" s="47">
        <f t="shared" ref="C40:C47" si="7">$F$1</f>
        <v>50000</v>
      </c>
      <c r="D40" s="48">
        <f t="shared" ref="D40:D48" si="8">C40-E40</f>
        <v>45106.36</v>
      </c>
      <c r="E40" s="68">
        <f>ROUND(F28*$B$2*B28/365,2)</f>
        <v>4893.6400000000003</v>
      </c>
      <c r="F40" s="47">
        <f>G27</f>
        <v>384124.0799999999</v>
      </c>
      <c r="G40" s="47">
        <f>F40-D40</f>
        <v>339017.71999999991</v>
      </c>
    </row>
    <row r="41" spans="1:7" x14ac:dyDescent="0.25">
      <c r="A41" s="70">
        <v>42648</v>
      </c>
      <c r="B41" s="46">
        <f t="shared" si="2"/>
        <v>30</v>
      </c>
      <c r="C41" s="47">
        <f t="shared" si="7"/>
        <v>50000</v>
      </c>
      <c r="D41" s="48">
        <f t="shared" si="8"/>
        <v>45820.33</v>
      </c>
      <c r="E41" s="68">
        <f>ROUND(F41*$B$2*B41/365,2)</f>
        <v>4179.67</v>
      </c>
      <c r="F41" s="47">
        <f t="shared" si="5"/>
        <v>339017.71999999991</v>
      </c>
      <c r="G41" s="47">
        <f t="shared" si="6"/>
        <v>293197.3899999999</v>
      </c>
    </row>
    <row r="42" spans="1:7" x14ac:dyDescent="0.25">
      <c r="A42" s="70">
        <v>42679</v>
      </c>
      <c r="B42" s="46">
        <f t="shared" si="2"/>
        <v>31</v>
      </c>
      <c r="C42" s="47">
        <f t="shared" si="7"/>
        <v>50000</v>
      </c>
      <c r="D42" s="48">
        <f t="shared" si="8"/>
        <v>46264.75</v>
      </c>
      <c r="E42" s="68">
        <f t="shared" ref="E42:E48" si="9">ROUND(F42*$B$2*B42/365,2)</f>
        <v>3735.25</v>
      </c>
      <c r="F42" s="47">
        <f t="shared" si="5"/>
        <v>293197.3899999999</v>
      </c>
      <c r="G42" s="47">
        <f t="shared" si="6"/>
        <v>246932.6399999999</v>
      </c>
    </row>
    <row r="43" spans="1:7" x14ac:dyDescent="0.25">
      <c r="A43" s="70">
        <v>42709</v>
      </c>
      <c r="B43" s="46">
        <f t="shared" si="2"/>
        <v>30</v>
      </c>
      <c r="C43" s="47">
        <f t="shared" si="7"/>
        <v>50000</v>
      </c>
      <c r="D43" s="48">
        <f t="shared" si="8"/>
        <v>46955.62</v>
      </c>
      <c r="E43" s="68">
        <f t="shared" si="9"/>
        <v>3044.38</v>
      </c>
      <c r="F43" s="47">
        <f t="shared" si="5"/>
        <v>246932.6399999999</v>
      </c>
      <c r="G43" s="47">
        <f t="shared" si="6"/>
        <v>199977.0199999999</v>
      </c>
    </row>
    <row r="44" spans="1:7" x14ac:dyDescent="0.25">
      <c r="A44" s="70">
        <v>42740</v>
      </c>
      <c r="B44" s="46">
        <f t="shared" si="2"/>
        <v>31</v>
      </c>
      <c r="C44" s="47">
        <f t="shared" si="7"/>
        <v>50000</v>
      </c>
      <c r="D44" s="48">
        <f t="shared" si="8"/>
        <v>47452.35</v>
      </c>
      <c r="E44" s="68">
        <f t="shared" si="9"/>
        <v>2547.65</v>
      </c>
      <c r="F44" s="47">
        <f t="shared" si="5"/>
        <v>199977.0199999999</v>
      </c>
      <c r="G44" s="47">
        <f t="shared" si="6"/>
        <v>152524.6699999999</v>
      </c>
    </row>
    <row r="45" spans="1:7" x14ac:dyDescent="0.25">
      <c r="A45" s="70">
        <v>42771</v>
      </c>
      <c r="B45" s="46">
        <f t="shared" si="2"/>
        <v>31</v>
      </c>
      <c r="C45" s="47">
        <f t="shared" si="7"/>
        <v>50000</v>
      </c>
      <c r="D45" s="48">
        <f t="shared" si="8"/>
        <v>48056.88</v>
      </c>
      <c r="E45" s="68">
        <f t="shared" si="9"/>
        <v>1943.12</v>
      </c>
      <c r="F45" s="47">
        <f t="shared" si="5"/>
        <v>152524.6699999999</v>
      </c>
      <c r="G45" s="47">
        <f t="shared" si="6"/>
        <v>104467.78999999989</v>
      </c>
    </row>
    <row r="46" spans="1:7" x14ac:dyDescent="0.25">
      <c r="A46" s="70">
        <v>42799</v>
      </c>
      <c r="B46" s="46">
        <f t="shared" si="2"/>
        <v>28</v>
      </c>
      <c r="C46" s="47">
        <f t="shared" si="7"/>
        <v>50000</v>
      </c>
      <c r="D46" s="48">
        <f t="shared" si="8"/>
        <v>48797.9</v>
      </c>
      <c r="E46" s="68">
        <f t="shared" si="9"/>
        <v>1202.0999999999999</v>
      </c>
      <c r="F46" s="47">
        <f t="shared" si="5"/>
        <v>104467.78999999989</v>
      </c>
      <c r="G46" s="47">
        <f t="shared" si="6"/>
        <v>55669.88999999989</v>
      </c>
    </row>
    <row r="47" spans="1:7" x14ac:dyDescent="0.25">
      <c r="A47" s="70">
        <v>42830</v>
      </c>
      <c r="B47" s="46">
        <f t="shared" si="2"/>
        <v>31</v>
      </c>
      <c r="C47" s="47">
        <f t="shared" si="7"/>
        <v>50000</v>
      </c>
      <c r="D47" s="48">
        <f t="shared" si="8"/>
        <v>49290.78</v>
      </c>
      <c r="E47" s="68">
        <f t="shared" si="9"/>
        <v>709.22</v>
      </c>
      <c r="F47" s="47">
        <f t="shared" si="5"/>
        <v>55669.88999999989</v>
      </c>
      <c r="G47" s="47">
        <f t="shared" si="6"/>
        <v>6379.1099999998914</v>
      </c>
    </row>
    <row r="48" spans="1:7" x14ac:dyDescent="0.25">
      <c r="A48" s="70">
        <v>42860</v>
      </c>
      <c r="B48" s="46">
        <f t="shared" si="2"/>
        <v>30</v>
      </c>
      <c r="C48" s="47">
        <f>ROUND(G47+E48,2)</f>
        <v>6457.76</v>
      </c>
      <c r="D48" s="48">
        <f t="shared" si="8"/>
        <v>6379.1100000000006</v>
      </c>
      <c r="E48" s="68">
        <f t="shared" si="9"/>
        <v>78.650000000000006</v>
      </c>
      <c r="F48" s="47">
        <f t="shared" si="5"/>
        <v>6379.1099999998914</v>
      </c>
      <c r="G48" s="47">
        <f t="shared" si="6"/>
        <v>-1.0913936421275139E-10</v>
      </c>
    </row>
  </sheetData>
  <pageMargins left="0.7" right="0.7" top="0.75" bottom="0.75" header="0.3" footer="0.3"/>
  <pageSetup orientation="portrait" r:id="rId1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F62E40-E5ED-4437-A434-2656920861A1}">
  <dimension ref="A1:N48"/>
  <sheetViews>
    <sheetView zoomScale="94" zoomScaleNormal="80" workbookViewId="0">
      <pane ySplit="3" topLeftCell="A31" activePane="bottomLeft" state="frozen"/>
      <selection activeCell="B41" sqref="B41"/>
      <selection pane="bottomLeft" activeCell="B41" sqref="B4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3.42578125" bestFit="1" customWidth="1"/>
    <col min="11" max="11" width="25.140625" bestFit="1" customWidth="1"/>
    <col min="12" max="12" width="10.85546875" bestFit="1" customWidth="1"/>
    <col min="13" max="13" width="17.42578125" bestFit="1" customWidth="1"/>
    <col min="14" max="14" width="10.5703125" bestFit="1" customWidth="1"/>
  </cols>
  <sheetData>
    <row r="1" spans="1:14" x14ac:dyDescent="0.25">
      <c r="A1" s="17" t="s">
        <v>33</v>
      </c>
      <c r="B1" s="78">
        <v>41856</v>
      </c>
      <c r="C1" s="17" t="s">
        <v>37</v>
      </c>
      <c r="D1" s="79">
        <f>ROUNDUP(34665.5343079289,0)</f>
        <v>34666</v>
      </c>
      <c r="E1" s="73" t="s">
        <v>106</v>
      </c>
      <c r="F1" s="79">
        <f>ROUNDUP(50000,2)</f>
        <v>50000</v>
      </c>
      <c r="G1" s="80" t="s">
        <v>52</v>
      </c>
      <c r="H1" s="81">
        <v>42614</v>
      </c>
      <c r="I1" s="73" t="s">
        <v>124</v>
      </c>
      <c r="J1" s="73">
        <v>40</v>
      </c>
      <c r="K1" s="73" t="s">
        <v>125</v>
      </c>
      <c r="L1" s="74">
        <v>42614</v>
      </c>
      <c r="M1" s="73" t="s">
        <v>123</v>
      </c>
      <c r="N1" s="74">
        <v>42979</v>
      </c>
    </row>
    <row r="2" spans="1:14" x14ac:dyDescent="0.25">
      <c r="A2" s="75" t="s">
        <v>34</v>
      </c>
      <c r="B2" s="76">
        <v>0.15</v>
      </c>
      <c r="C2" t="s">
        <v>136</v>
      </c>
      <c r="D2">
        <f>L1-A27</f>
        <v>27</v>
      </c>
      <c r="E2" t="s">
        <v>137</v>
      </c>
      <c r="F2">
        <f>A28-L1</f>
        <v>4</v>
      </c>
      <c r="K2" s="77" t="s">
        <v>126</v>
      </c>
      <c r="L2" s="79">
        <f>ROUNDUP(30084.6835204791,0)</f>
        <v>30085</v>
      </c>
      <c r="M2" s="73" t="s">
        <v>106</v>
      </c>
      <c r="N2" s="79">
        <f>ROUNDUP(30482.5901368555,0)</f>
        <v>30483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K3" s="73" t="s">
        <v>127</v>
      </c>
      <c r="L3" s="73">
        <v>5000</v>
      </c>
      <c r="M3" s="73" t="s">
        <v>128</v>
      </c>
      <c r="N3" s="82">
        <v>0.25</v>
      </c>
    </row>
    <row r="4" spans="1:14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4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>ROUND(F5*$B$2*B5/360,2)</f>
        <v>12222.93</v>
      </c>
      <c r="F5" s="47">
        <f>G4</f>
        <v>977834</v>
      </c>
      <c r="G5" s="47">
        <f>F5-D5</f>
        <v>955390.93</v>
      </c>
    </row>
    <row r="6" spans="1:14" x14ac:dyDescent="0.25">
      <c r="A6" s="36">
        <v>41948</v>
      </c>
      <c r="B6" s="46">
        <f t="shared" ref="B6:B39" si="2">DAYS360(A5,A6,TRUE)</f>
        <v>30</v>
      </c>
      <c r="C6" s="47">
        <f t="shared" ref="C6:C39" si="3">$D$1</f>
        <v>34666</v>
      </c>
      <c r="D6" s="48">
        <f t="shared" si="0"/>
        <v>22723.61</v>
      </c>
      <c r="E6" s="68">
        <f t="shared" ref="E6:E38" si="4">ROUND(F6*$B$2*B6/360,2)</f>
        <v>11942.39</v>
      </c>
      <c r="F6" s="47">
        <f t="shared" ref="F6:F39" si="5">G5</f>
        <v>955390.93</v>
      </c>
      <c r="G6" s="47">
        <f t="shared" ref="G6:G39" si="6">F6-D6</f>
        <v>932667.32000000007</v>
      </c>
    </row>
    <row r="7" spans="1:14" x14ac:dyDescent="0.25">
      <c r="A7" s="36">
        <v>41978</v>
      </c>
      <c r="B7" s="46">
        <f t="shared" si="2"/>
        <v>30</v>
      </c>
      <c r="C7" s="47">
        <f t="shared" si="3"/>
        <v>34666</v>
      </c>
      <c r="D7" s="48">
        <f t="shared" si="0"/>
        <v>23007.66</v>
      </c>
      <c r="E7" s="68">
        <f t="shared" si="4"/>
        <v>11658.34</v>
      </c>
      <c r="F7" s="47">
        <f t="shared" si="5"/>
        <v>932667.32000000007</v>
      </c>
      <c r="G7" s="47">
        <f t="shared" si="6"/>
        <v>909659.66</v>
      </c>
    </row>
    <row r="8" spans="1:14" x14ac:dyDescent="0.25">
      <c r="A8" s="36">
        <v>42009</v>
      </c>
      <c r="B8" s="46">
        <f t="shared" si="2"/>
        <v>30</v>
      </c>
      <c r="C8" s="47">
        <f t="shared" si="3"/>
        <v>34666</v>
      </c>
      <c r="D8" s="48">
        <f t="shared" si="0"/>
        <v>23295.25</v>
      </c>
      <c r="E8" s="68">
        <f t="shared" si="4"/>
        <v>11370.75</v>
      </c>
      <c r="F8" s="47">
        <f t="shared" si="5"/>
        <v>909659.66</v>
      </c>
      <c r="G8" s="47">
        <f t="shared" si="6"/>
        <v>886364.41</v>
      </c>
    </row>
    <row r="9" spans="1:14" x14ac:dyDescent="0.25">
      <c r="A9" s="36">
        <v>42040</v>
      </c>
      <c r="B9" s="46">
        <f t="shared" si="2"/>
        <v>30</v>
      </c>
      <c r="C9" s="47">
        <f t="shared" si="3"/>
        <v>34666</v>
      </c>
      <c r="D9" s="48">
        <f t="shared" si="0"/>
        <v>23586.440000000002</v>
      </c>
      <c r="E9" s="68">
        <f t="shared" si="4"/>
        <v>11079.56</v>
      </c>
      <c r="F9" s="47">
        <f t="shared" si="5"/>
        <v>886364.41</v>
      </c>
      <c r="G9" s="47">
        <f t="shared" si="6"/>
        <v>862777.97</v>
      </c>
    </row>
    <row r="10" spans="1:14" x14ac:dyDescent="0.25">
      <c r="A10" s="36">
        <v>42068</v>
      </c>
      <c r="B10" s="46">
        <f t="shared" si="2"/>
        <v>30</v>
      </c>
      <c r="C10" s="47">
        <f t="shared" si="3"/>
        <v>34666</v>
      </c>
      <c r="D10" s="48">
        <f t="shared" si="0"/>
        <v>23881.279999999999</v>
      </c>
      <c r="E10" s="68">
        <f t="shared" si="4"/>
        <v>10784.72</v>
      </c>
      <c r="F10" s="47">
        <f t="shared" si="5"/>
        <v>862777.97</v>
      </c>
      <c r="G10" s="47">
        <f t="shared" si="6"/>
        <v>838896.69</v>
      </c>
    </row>
    <row r="11" spans="1:14" x14ac:dyDescent="0.25">
      <c r="A11" s="36">
        <v>42099</v>
      </c>
      <c r="B11" s="46">
        <f t="shared" si="2"/>
        <v>30</v>
      </c>
      <c r="C11" s="47">
        <f t="shared" si="3"/>
        <v>34666</v>
      </c>
      <c r="D11" s="48">
        <f t="shared" si="0"/>
        <v>24179.79</v>
      </c>
      <c r="E11" s="68">
        <f t="shared" si="4"/>
        <v>10486.21</v>
      </c>
      <c r="F11" s="47">
        <f t="shared" si="5"/>
        <v>838896.69</v>
      </c>
      <c r="G11" s="47">
        <f t="shared" si="6"/>
        <v>814716.89999999991</v>
      </c>
    </row>
    <row r="12" spans="1:14" x14ac:dyDescent="0.25">
      <c r="A12" s="36">
        <v>42129</v>
      </c>
      <c r="B12" s="46">
        <f t="shared" si="2"/>
        <v>30</v>
      </c>
      <c r="C12" s="47">
        <f t="shared" si="3"/>
        <v>34666</v>
      </c>
      <c r="D12" s="48">
        <f t="shared" si="0"/>
        <v>24482.04</v>
      </c>
      <c r="E12" s="68">
        <f t="shared" si="4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4" x14ac:dyDescent="0.25">
      <c r="A13" s="36">
        <v>42160</v>
      </c>
      <c r="B13" s="46">
        <f t="shared" si="2"/>
        <v>30</v>
      </c>
      <c r="C13" s="47">
        <f t="shared" si="3"/>
        <v>34666</v>
      </c>
      <c r="D13" s="48">
        <f t="shared" si="0"/>
        <v>24788.059999999998</v>
      </c>
      <c r="E13" s="68">
        <f t="shared" si="4"/>
        <v>9877.94</v>
      </c>
      <c r="F13" s="47">
        <f t="shared" si="5"/>
        <v>790234.85999999987</v>
      </c>
      <c r="G13" s="47">
        <f t="shared" si="6"/>
        <v>765446.79999999981</v>
      </c>
    </row>
    <row r="14" spans="1:14" x14ac:dyDescent="0.25">
      <c r="A14" s="36">
        <v>42190</v>
      </c>
      <c r="B14" s="46">
        <f t="shared" si="2"/>
        <v>30</v>
      </c>
      <c r="C14" s="47">
        <f t="shared" si="3"/>
        <v>34666</v>
      </c>
      <c r="D14" s="48">
        <f t="shared" si="0"/>
        <v>25097.91</v>
      </c>
      <c r="E14" s="68">
        <f t="shared" si="4"/>
        <v>9568.09</v>
      </c>
      <c r="F14" s="47">
        <f t="shared" si="5"/>
        <v>765446.79999999981</v>
      </c>
      <c r="G14" s="47">
        <f t="shared" si="6"/>
        <v>740348.88999999978</v>
      </c>
    </row>
    <row r="15" spans="1:14" x14ac:dyDescent="0.25">
      <c r="A15" s="36">
        <v>42221</v>
      </c>
      <c r="B15" s="46">
        <f t="shared" si="2"/>
        <v>30</v>
      </c>
      <c r="C15" s="47">
        <f t="shared" si="3"/>
        <v>34666</v>
      </c>
      <c r="D15" s="48">
        <f t="shared" si="0"/>
        <v>25411.64</v>
      </c>
      <c r="E15" s="68">
        <f t="shared" si="4"/>
        <v>9254.36</v>
      </c>
      <c r="F15" s="47">
        <f t="shared" si="5"/>
        <v>740348.88999999978</v>
      </c>
      <c r="G15" s="47">
        <f t="shared" si="6"/>
        <v>714937.24999999977</v>
      </c>
    </row>
    <row r="16" spans="1:14" x14ac:dyDescent="0.25">
      <c r="A16" s="36">
        <v>42252</v>
      </c>
      <c r="B16" s="46">
        <f t="shared" si="2"/>
        <v>30</v>
      </c>
      <c r="C16" s="47">
        <f t="shared" si="3"/>
        <v>34666</v>
      </c>
      <c r="D16" s="48">
        <f t="shared" si="0"/>
        <v>25729.279999999999</v>
      </c>
      <c r="E16" s="68">
        <f t="shared" si="4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34666</v>
      </c>
      <c r="D17" s="48">
        <f t="shared" si="0"/>
        <v>26050.9</v>
      </c>
      <c r="E17" s="68">
        <f t="shared" si="4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2"/>
        <v>30</v>
      </c>
      <c r="C18" s="47">
        <f t="shared" si="3"/>
        <v>34666</v>
      </c>
      <c r="D18" s="48">
        <f t="shared" si="0"/>
        <v>26376.54</v>
      </c>
      <c r="E18" s="68">
        <f t="shared" si="4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34666</v>
      </c>
      <c r="D19" s="48">
        <f t="shared" si="0"/>
        <v>26706.239999999998</v>
      </c>
      <c r="E19" s="68">
        <f t="shared" si="4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36">
        <v>42374</v>
      </c>
      <c r="B20" s="46">
        <f t="shared" si="2"/>
        <v>30</v>
      </c>
      <c r="C20" s="47">
        <f t="shared" si="3"/>
        <v>34666</v>
      </c>
      <c r="D20" s="48">
        <f t="shared" si="0"/>
        <v>27040.07</v>
      </c>
      <c r="E20" s="68">
        <f t="shared" si="4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36">
        <v>42405</v>
      </c>
      <c r="B21" s="46">
        <f t="shared" si="2"/>
        <v>30</v>
      </c>
      <c r="C21" s="47">
        <f t="shared" si="3"/>
        <v>34666</v>
      </c>
      <c r="D21" s="48">
        <f t="shared" si="0"/>
        <v>27378.07</v>
      </c>
      <c r="E21" s="68">
        <f t="shared" si="4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36">
        <v>42434</v>
      </c>
      <c r="B22" s="46">
        <f t="shared" si="2"/>
        <v>30</v>
      </c>
      <c r="C22" s="47">
        <f t="shared" si="3"/>
        <v>34666</v>
      </c>
      <c r="D22" s="48">
        <f t="shared" si="0"/>
        <v>27720.3</v>
      </c>
      <c r="E22" s="68">
        <f t="shared" si="4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36">
        <v>42465</v>
      </c>
      <c r="B23" s="46">
        <f t="shared" si="2"/>
        <v>30</v>
      </c>
      <c r="C23" s="47">
        <f t="shared" si="3"/>
        <v>34666</v>
      </c>
      <c r="D23" s="48">
        <f t="shared" si="0"/>
        <v>28066.799999999999</v>
      </c>
      <c r="E23" s="68">
        <f t="shared" si="4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34666</v>
      </c>
      <c r="D24" s="48">
        <f t="shared" si="0"/>
        <v>28417.64</v>
      </c>
      <c r="E24" s="68">
        <f t="shared" si="4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36">
        <v>42526</v>
      </c>
      <c r="B25" s="46">
        <f t="shared" si="2"/>
        <v>30</v>
      </c>
      <c r="C25" s="47">
        <f t="shared" si="3"/>
        <v>34666</v>
      </c>
      <c r="D25" s="48">
        <f t="shared" si="0"/>
        <v>28772.86</v>
      </c>
      <c r="E25" s="68">
        <f t="shared" si="4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34666</v>
      </c>
      <c r="D26" s="48">
        <f t="shared" si="0"/>
        <v>29132.52</v>
      </c>
      <c r="E26" s="68">
        <f t="shared" si="4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36">
        <v>42587</v>
      </c>
      <c r="B27" s="46">
        <f t="shared" si="2"/>
        <v>30</v>
      </c>
      <c r="C27" s="47">
        <f t="shared" si="3"/>
        <v>34666</v>
      </c>
      <c r="D27" s="48">
        <f t="shared" si="0"/>
        <v>29496.67</v>
      </c>
      <c r="E27" s="68">
        <f t="shared" si="4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36">
        <v>42618</v>
      </c>
      <c r="B28" s="46">
        <f t="shared" si="2"/>
        <v>30</v>
      </c>
      <c r="C28" s="47">
        <f t="shared" si="3"/>
        <v>34666</v>
      </c>
      <c r="D28" s="48">
        <f t="shared" si="0"/>
        <v>29865.38</v>
      </c>
      <c r="E28" s="68">
        <f t="shared" si="4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34666</v>
      </c>
      <c r="D29" s="48">
        <f t="shared" si="0"/>
        <v>30238.7</v>
      </c>
      <c r="E29" s="68">
        <f t="shared" si="4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36">
        <v>42679</v>
      </c>
      <c r="B30" s="46">
        <f t="shared" si="2"/>
        <v>30</v>
      </c>
      <c r="C30" s="47">
        <f t="shared" si="3"/>
        <v>34666</v>
      </c>
      <c r="D30" s="48">
        <f t="shared" si="0"/>
        <v>30616.68</v>
      </c>
      <c r="E30" s="68">
        <f t="shared" si="4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34666</v>
      </c>
      <c r="D31" s="48">
        <f t="shared" si="0"/>
        <v>30999.39</v>
      </c>
      <c r="E31" s="68">
        <f t="shared" si="4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36">
        <v>42740</v>
      </c>
      <c r="B32" s="46">
        <f t="shared" si="2"/>
        <v>30</v>
      </c>
      <c r="C32" s="47">
        <f t="shared" si="3"/>
        <v>34666</v>
      </c>
      <c r="D32" s="48">
        <f t="shared" si="0"/>
        <v>31386.880000000001</v>
      </c>
      <c r="E32" s="68">
        <f t="shared" si="4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36">
        <v>42771</v>
      </c>
      <c r="B33" s="46">
        <f t="shared" si="2"/>
        <v>30</v>
      </c>
      <c r="C33" s="47">
        <f t="shared" si="3"/>
        <v>34666</v>
      </c>
      <c r="D33" s="48">
        <f t="shared" si="0"/>
        <v>31779.22</v>
      </c>
      <c r="E33" s="68">
        <f t="shared" si="4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36">
        <v>42799</v>
      </c>
      <c r="B34" s="46">
        <f t="shared" si="2"/>
        <v>30</v>
      </c>
      <c r="C34" s="47">
        <f t="shared" si="3"/>
        <v>34666</v>
      </c>
      <c r="D34" s="48">
        <f t="shared" si="0"/>
        <v>32176.46</v>
      </c>
      <c r="E34" s="68">
        <f t="shared" si="4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36">
        <v>42830</v>
      </c>
      <c r="B35" s="46">
        <f t="shared" si="2"/>
        <v>30</v>
      </c>
      <c r="C35" s="47">
        <f t="shared" si="3"/>
        <v>34666</v>
      </c>
      <c r="D35" s="48">
        <f t="shared" si="0"/>
        <v>32578.67</v>
      </c>
      <c r="E35" s="68">
        <f t="shared" si="4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34666</v>
      </c>
      <c r="D36" s="48">
        <f t="shared" si="0"/>
        <v>32985.9</v>
      </c>
      <c r="E36" s="68">
        <f t="shared" si="4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36">
        <v>42891</v>
      </c>
      <c r="B37" s="46">
        <f t="shared" si="2"/>
        <v>30</v>
      </c>
      <c r="C37" s="47">
        <f t="shared" si="3"/>
        <v>34666</v>
      </c>
      <c r="D37" s="48">
        <f t="shared" si="0"/>
        <v>33398.22</v>
      </c>
      <c r="E37" s="68">
        <f t="shared" si="4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34666</v>
      </c>
      <c r="D38" s="48">
        <f t="shared" si="0"/>
        <v>33815.699999999997</v>
      </c>
      <c r="E38" s="68">
        <f t="shared" si="4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36">
        <v>42952</v>
      </c>
      <c r="B39" s="46">
        <f t="shared" si="2"/>
        <v>30</v>
      </c>
      <c r="C39" s="47">
        <f t="shared" si="3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70">
        <v>42618</v>
      </c>
      <c r="B40" s="46">
        <f>DAYS360(A27,A40,TRUE)</f>
        <v>30</v>
      </c>
      <c r="C40" s="47">
        <f t="shared" ref="C40:C47" si="7">$F$1</f>
        <v>50000</v>
      </c>
      <c r="D40" s="48">
        <f t="shared" ref="D40:D48" si="8">C40-E40</f>
        <v>45199.38</v>
      </c>
      <c r="E40" s="68">
        <f>ROUND(F28*$B$2*B28/360,2)</f>
        <v>4800.62</v>
      </c>
      <c r="F40" s="47">
        <f>G27</f>
        <v>384049.35999999975</v>
      </c>
      <c r="G40" s="47">
        <f>F40-D40</f>
        <v>338849.97999999975</v>
      </c>
    </row>
    <row r="41" spans="1:7" x14ac:dyDescent="0.25">
      <c r="A41" s="70">
        <v>42648</v>
      </c>
      <c r="B41" s="46">
        <f>DAYS360(A40,A41,TRUE)</f>
        <v>30</v>
      </c>
      <c r="C41" s="47">
        <f t="shared" si="7"/>
        <v>50000</v>
      </c>
      <c r="D41" s="48">
        <f t="shared" si="8"/>
        <v>45764.38</v>
      </c>
      <c r="E41" s="68">
        <f>ROUND(F41*$B$2*B41/360,2)</f>
        <v>4235.62</v>
      </c>
      <c r="F41" s="47">
        <f t="shared" ref="F41:F48" si="9">G40</f>
        <v>338849.97999999975</v>
      </c>
      <c r="G41" s="47">
        <f t="shared" ref="G41:G48" si="10">F41-D41</f>
        <v>293085.59999999974</v>
      </c>
    </row>
    <row r="42" spans="1:7" x14ac:dyDescent="0.25">
      <c r="A42" s="70">
        <v>42679</v>
      </c>
      <c r="B42" s="46">
        <f t="shared" ref="B42:B48" si="11">DAYS360(A41,A42,TRUE)</f>
        <v>30</v>
      </c>
      <c r="C42" s="47">
        <f t="shared" si="7"/>
        <v>50000</v>
      </c>
      <c r="D42" s="48">
        <f t="shared" si="8"/>
        <v>46336.43</v>
      </c>
      <c r="E42" s="68">
        <f t="shared" ref="E42:E48" si="12">ROUND(F42*$B$2*B42/360,2)</f>
        <v>3663.57</v>
      </c>
      <c r="F42" s="47">
        <f t="shared" si="9"/>
        <v>293085.59999999974</v>
      </c>
      <c r="G42" s="47">
        <f t="shared" si="10"/>
        <v>246749.16999999975</v>
      </c>
    </row>
    <row r="43" spans="1:7" x14ac:dyDescent="0.25">
      <c r="A43" s="70">
        <v>42709</v>
      </c>
      <c r="B43" s="46">
        <f t="shared" si="11"/>
        <v>30</v>
      </c>
      <c r="C43" s="47">
        <f t="shared" si="7"/>
        <v>50000</v>
      </c>
      <c r="D43" s="48">
        <f t="shared" si="8"/>
        <v>46915.64</v>
      </c>
      <c r="E43" s="68">
        <f t="shared" si="12"/>
        <v>3084.36</v>
      </c>
      <c r="F43" s="47">
        <f t="shared" si="9"/>
        <v>246749.16999999975</v>
      </c>
      <c r="G43" s="47">
        <f t="shared" si="10"/>
        <v>199833.52999999974</v>
      </c>
    </row>
    <row r="44" spans="1:7" x14ac:dyDescent="0.25">
      <c r="A44" s="70">
        <v>42740</v>
      </c>
      <c r="B44" s="46">
        <f t="shared" si="11"/>
        <v>30</v>
      </c>
      <c r="C44" s="47">
        <f t="shared" si="7"/>
        <v>50000</v>
      </c>
      <c r="D44" s="48">
        <f t="shared" si="8"/>
        <v>47502.080000000002</v>
      </c>
      <c r="E44" s="68">
        <f t="shared" si="12"/>
        <v>2497.92</v>
      </c>
      <c r="F44" s="47">
        <f t="shared" si="9"/>
        <v>199833.52999999974</v>
      </c>
      <c r="G44" s="47">
        <f t="shared" si="10"/>
        <v>152331.44999999972</v>
      </c>
    </row>
    <row r="45" spans="1:7" x14ac:dyDescent="0.25">
      <c r="A45" s="70">
        <v>42771</v>
      </c>
      <c r="B45" s="46">
        <f t="shared" si="11"/>
        <v>30</v>
      </c>
      <c r="C45" s="47">
        <f t="shared" si="7"/>
        <v>50000</v>
      </c>
      <c r="D45" s="48">
        <f t="shared" si="8"/>
        <v>48095.86</v>
      </c>
      <c r="E45" s="68">
        <f t="shared" si="12"/>
        <v>1904.14</v>
      </c>
      <c r="F45" s="47">
        <f t="shared" si="9"/>
        <v>152331.44999999972</v>
      </c>
      <c r="G45" s="47">
        <f t="shared" si="10"/>
        <v>104235.58999999972</v>
      </c>
    </row>
    <row r="46" spans="1:7" x14ac:dyDescent="0.25">
      <c r="A46" s="70">
        <v>42799</v>
      </c>
      <c r="B46" s="46">
        <f t="shared" si="11"/>
        <v>30</v>
      </c>
      <c r="C46" s="47">
        <f t="shared" si="7"/>
        <v>50000</v>
      </c>
      <c r="D46" s="48">
        <f t="shared" si="8"/>
        <v>48697.06</v>
      </c>
      <c r="E46" s="68">
        <f t="shared" si="12"/>
        <v>1302.94</v>
      </c>
      <c r="F46" s="47">
        <f t="shared" si="9"/>
        <v>104235.58999999972</v>
      </c>
      <c r="G46" s="47">
        <f t="shared" si="10"/>
        <v>55538.529999999722</v>
      </c>
    </row>
    <row r="47" spans="1:7" x14ac:dyDescent="0.25">
      <c r="A47" s="70">
        <v>42830</v>
      </c>
      <c r="B47" s="46">
        <f t="shared" si="11"/>
        <v>30</v>
      </c>
      <c r="C47" s="47">
        <f t="shared" si="7"/>
        <v>50000</v>
      </c>
      <c r="D47" s="48">
        <f t="shared" si="8"/>
        <v>49305.77</v>
      </c>
      <c r="E47" s="68">
        <f t="shared" si="12"/>
        <v>694.23</v>
      </c>
      <c r="F47" s="47">
        <f t="shared" si="9"/>
        <v>55538.529999999722</v>
      </c>
      <c r="G47" s="47">
        <f t="shared" si="10"/>
        <v>6232.7599999997256</v>
      </c>
    </row>
    <row r="48" spans="1:7" x14ac:dyDescent="0.25">
      <c r="A48" s="70">
        <v>42860</v>
      </c>
      <c r="B48" s="46">
        <f t="shared" si="11"/>
        <v>30</v>
      </c>
      <c r="C48" s="47">
        <f>ROUND(G47+E48,2)</f>
        <v>6310.67</v>
      </c>
      <c r="D48" s="48">
        <f t="shared" si="8"/>
        <v>6232.76</v>
      </c>
      <c r="E48" s="68">
        <f t="shared" si="12"/>
        <v>77.91</v>
      </c>
      <c r="F48" s="47">
        <f t="shared" si="9"/>
        <v>6232.7599999997256</v>
      </c>
      <c r="G48" s="47">
        <f t="shared" si="10"/>
        <v>-2.7466739993542433E-10</v>
      </c>
    </row>
  </sheetData>
  <pageMargins left="0.7" right="0.7" top="0.75" bottom="0.75" header="0.3" footer="0.3"/>
  <pageSetup orientation="portrait" r:id="rId1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DC63C3-F341-4F6E-BFCA-4ED756A4ADB2}">
  <dimension ref="A1:R3"/>
  <sheetViews>
    <sheetView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97.1406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138</v>
      </c>
      <c r="P2" s="20" t="s">
        <v>141</v>
      </c>
      <c r="Q2" s="20" t="s">
        <v>143</v>
      </c>
      <c r="R2" s="50" t="s">
        <v>157</v>
      </c>
    </row>
    <row r="3" spans="1:18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138</v>
      </c>
      <c r="P3" s="20" t="s">
        <v>141</v>
      </c>
      <c r="Q3" s="20" t="s">
        <v>143</v>
      </c>
      <c r="R3" s="50" t="s">
        <v>158</v>
      </c>
    </row>
  </sheetData>
  <pageMargins left="0.7" right="0.7" top="0.75" bottom="0.75" header="0.3" footer="0.3"/>
  <pageSetup orientation="portrait" r:id="rId1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9EAAC-A72A-4EB4-80F8-89D2BACC60F6}">
  <dimension ref="A1:J62"/>
  <sheetViews>
    <sheetView zoomScale="94" zoomScaleNormal="80" workbookViewId="0">
      <pane ySplit="3" topLeftCell="A4" activePane="bottomLeft" state="frozen"/>
      <selection activeCell="B41" sqref="B41"/>
      <selection pane="bottomLeft" activeCell="F1" sqref="F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3.42578125" bestFit="1" customWidth="1"/>
  </cols>
  <sheetData>
    <row r="1" spans="1:10" x14ac:dyDescent="0.25">
      <c r="A1" s="17" t="s">
        <v>33</v>
      </c>
      <c r="B1" s="78">
        <v>41856</v>
      </c>
      <c r="C1" s="17" t="s">
        <v>37</v>
      </c>
      <c r="D1" s="79">
        <f>ROUNDUP(34673.5343079289,0)</f>
        <v>34674</v>
      </c>
      <c r="E1" s="73" t="s">
        <v>106</v>
      </c>
      <c r="F1" s="79">
        <f>ROUNDUP(20000,2)</f>
        <v>20000</v>
      </c>
      <c r="G1" s="80" t="s">
        <v>52</v>
      </c>
      <c r="H1" s="81">
        <v>42614</v>
      </c>
      <c r="I1" s="73" t="s">
        <v>124</v>
      </c>
      <c r="J1" s="73">
        <v>40</v>
      </c>
    </row>
    <row r="2" spans="1:10" x14ac:dyDescent="0.25">
      <c r="A2" s="75" t="s">
        <v>34</v>
      </c>
      <c r="B2" s="76">
        <v>0.15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48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62" si="2">A6-A5</f>
        <v>31</v>
      </c>
      <c r="C6" s="47">
        <f t="shared" ref="C6:C39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48" si="5">G5</f>
        <v>955450.07</v>
      </c>
      <c r="G6" s="47">
        <f t="shared" ref="G6:G48" si="6">F6-D6</f>
        <v>932948.24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0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0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0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0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0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0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0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70">
        <v>42618</v>
      </c>
      <c r="B40" s="46">
        <f>A40-A27</f>
        <v>31</v>
      </c>
      <c r="C40" s="47">
        <f t="shared" ref="C40:C61" si="7">$F$1</f>
        <v>20000</v>
      </c>
      <c r="D40" s="48">
        <f t="shared" si="0"/>
        <v>15106.36</v>
      </c>
      <c r="E40" s="68">
        <f>ROUND(F28*$B$2*B28/365,2)</f>
        <v>4893.6400000000003</v>
      </c>
      <c r="F40" s="47">
        <f>G27</f>
        <v>384124.0799999999</v>
      </c>
      <c r="G40" s="47">
        <f>F40-D40</f>
        <v>369017.71999999991</v>
      </c>
    </row>
    <row r="41" spans="1:7" x14ac:dyDescent="0.25">
      <c r="A41" s="70">
        <v>42648</v>
      </c>
      <c r="B41" s="46">
        <f t="shared" si="2"/>
        <v>30</v>
      </c>
      <c r="C41" s="47">
        <f t="shared" si="7"/>
        <v>20000</v>
      </c>
      <c r="D41" s="48">
        <f t="shared" si="0"/>
        <v>15450.470000000001</v>
      </c>
      <c r="E41" s="68">
        <f>ROUND(F41*$B$2*B41/365,2)</f>
        <v>4549.53</v>
      </c>
      <c r="F41" s="47">
        <f t="shared" si="5"/>
        <v>369017.71999999991</v>
      </c>
      <c r="G41" s="47">
        <f t="shared" si="6"/>
        <v>353567.24999999988</v>
      </c>
    </row>
    <row r="42" spans="1:7" x14ac:dyDescent="0.25">
      <c r="A42" s="70">
        <v>42679</v>
      </c>
      <c r="B42" s="46">
        <f t="shared" si="2"/>
        <v>31</v>
      </c>
      <c r="C42" s="47">
        <f t="shared" si="7"/>
        <v>20000</v>
      </c>
      <c r="D42" s="48">
        <f t="shared" si="0"/>
        <v>15495.65</v>
      </c>
      <c r="E42" s="68">
        <f t="shared" ref="E42:E48" si="8">ROUND(F42*$B$2*B42/365,2)</f>
        <v>4504.3500000000004</v>
      </c>
      <c r="F42" s="47">
        <f t="shared" si="5"/>
        <v>353567.24999999988</v>
      </c>
      <c r="G42" s="47">
        <f t="shared" si="6"/>
        <v>338071.59999999986</v>
      </c>
    </row>
    <row r="43" spans="1:7" x14ac:dyDescent="0.25">
      <c r="A43" s="70">
        <v>42709</v>
      </c>
      <c r="B43" s="46">
        <f t="shared" si="2"/>
        <v>30</v>
      </c>
      <c r="C43" s="47">
        <f t="shared" si="7"/>
        <v>20000</v>
      </c>
      <c r="D43" s="48">
        <f t="shared" si="0"/>
        <v>15831.99</v>
      </c>
      <c r="E43" s="68">
        <f t="shared" si="8"/>
        <v>4168.01</v>
      </c>
      <c r="F43" s="47">
        <f t="shared" si="5"/>
        <v>338071.59999999986</v>
      </c>
      <c r="G43" s="47">
        <f t="shared" si="6"/>
        <v>322239.60999999987</v>
      </c>
    </row>
    <row r="44" spans="1:7" x14ac:dyDescent="0.25">
      <c r="A44" s="70">
        <v>42740</v>
      </c>
      <c r="B44" s="46">
        <f t="shared" si="2"/>
        <v>31</v>
      </c>
      <c r="C44" s="47">
        <f t="shared" si="7"/>
        <v>20000</v>
      </c>
      <c r="D44" s="48">
        <f t="shared" si="0"/>
        <v>15894.76</v>
      </c>
      <c r="E44" s="68">
        <f t="shared" si="8"/>
        <v>4105.24</v>
      </c>
      <c r="F44" s="47">
        <f t="shared" si="5"/>
        <v>322239.60999999987</v>
      </c>
      <c r="G44" s="47">
        <f t="shared" si="6"/>
        <v>306344.84999999986</v>
      </c>
    </row>
    <row r="45" spans="1:7" x14ac:dyDescent="0.25">
      <c r="A45" s="70">
        <v>42771</v>
      </c>
      <c r="B45" s="46">
        <f t="shared" si="2"/>
        <v>31</v>
      </c>
      <c r="C45" s="47">
        <f t="shared" si="7"/>
        <v>20000</v>
      </c>
      <c r="D45" s="48">
        <f t="shared" si="0"/>
        <v>16097.25</v>
      </c>
      <c r="E45" s="68">
        <f t="shared" si="8"/>
        <v>3902.75</v>
      </c>
      <c r="F45" s="47">
        <f t="shared" si="5"/>
        <v>306344.84999999986</v>
      </c>
      <c r="G45" s="47">
        <f t="shared" si="6"/>
        <v>290247.59999999986</v>
      </c>
    </row>
    <row r="46" spans="1:7" x14ac:dyDescent="0.25">
      <c r="A46" s="70">
        <v>42799</v>
      </c>
      <c r="B46" s="46">
        <f t="shared" si="2"/>
        <v>28</v>
      </c>
      <c r="C46" s="47">
        <f t="shared" si="7"/>
        <v>20000</v>
      </c>
      <c r="D46" s="48">
        <f t="shared" si="0"/>
        <v>16660.16</v>
      </c>
      <c r="E46" s="68">
        <f t="shared" si="8"/>
        <v>3339.84</v>
      </c>
      <c r="F46" s="47">
        <f t="shared" si="5"/>
        <v>290247.59999999986</v>
      </c>
      <c r="G46" s="47">
        <f t="shared" si="6"/>
        <v>273587.43999999989</v>
      </c>
    </row>
    <row r="47" spans="1:7" x14ac:dyDescent="0.25">
      <c r="A47" s="70">
        <v>42830</v>
      </c>
      <c r="B47" s="46">
        <f t="shared" si="2"/>
        <v>31</v>
      </c>
      <c r="C47" s="47">
        <f t="shared" si="7"/>
        <v>20000</v>
      </c>
      <c r="D47" s="48">
        <f t="shared" si="0"/>
        <v>16514.57</v>
      </c>
      <c r="E47" s="68">
        <f t="shared" si="8"/>
        <v>3485.43</v>
      </c>
      <c r="F47" s="47">
        <f t="shared" si="5"/>
        <v>273587.43999999989</v>
      </c>
      <c r="G47" s="47">
        <f t="shared" si="6"/>
        <v>257072.86999999988</v>
      </c>
    </row>
    <row r="48" spans="1:7" x14ac:dyDescent="0.25">
      <c r="A48" s="70">
        <v>42860</v>
      </c>
      <c r="B48" s="46">
        <f t="shared" si="2"/>
        <v>30</v>
      </c>
      <c r="C48" s="47">
        <f t="shared" si="7"/>
        <v>20000</v>
      </c>
      <c r="D48" s="48">
        <f t="shared" si="0"/>
        <v>16830.61</v>
      </c>
      <c r="E48" s="68">
        <f t="shared" si="8"/>
        <v>3169.39</v>
      </c>
      <c r="F48" s="47">
        <f t="shared" si="5"/>
        <v>257072.86999999988</v>
      </c>
      <c r="G48" s="47">
        <f t="shared" si="6"/>
        <v>240242.25999999989</v>
      </c>
    </row>
    <row r="49" spans="1:7" x14ac:dyDescent="0.25">
      <c r="A49" s="70">
        <v>42891</v>
      </c>
      <c r="B49" s="85">
        <f t="shared" si="2"/>
        <v>31</v>
      </c>
      <c r="C49" s="47">
        <f t="shared" si="7"/>
        <v>20000</v>
      </c>
      <c r="D49" s="48">
        <f t="shared" ref="D49:D62" si="9">C49-E49</f>
        <v>16939.38</v>
      </c>
      <c r="E49" s="68">
        <f t="shared" ref="E49:E62" si="10">ROUND(F49*$B$2*B49/365,2)</f>
        <v>3060.62</v>
      </c>
      <c r="F49" s="47">
        <f t="shared" ref="F49:F62" si="11">G48</f>
        <v>240242.25999999989</v>
      </c>
      <c r="G49" s="47">
        <f t="shared" ref="G49:G62" si="12">F49-D49</f>
        <v>223302.87999999989</v>
      </c>
    </row>
    <row r="50" spans="1:7" x14ac:dyDescent="0.25">
      <c r="A50" s="70">
        <v>42921</v>
      </c>
      <c r="B50" s="85">
        <f t="shared" si="2"/>
        <v>30</v>
      </c>
      <c r="C50" s="47">
        <f t="shared" si="7"/>
        <v>20000</v>
      </c>
      <c r="D50" s="48">
        <f t="shared" si="9"/>
        <v>17246.95</v>
      </c>
      <c r="E50" s="68">
        <f t="shared" si="10"/>
        <v>2753.05</v>
      </c>
      <c r="F50" s="47">
        <f t="shared" si="11"/>
        <v>223302.87999999989</v>
      </c>
      <c r="G50" s="47">
        <f t="shared" si="12"/>
        <v>206055.92999999988</v>
      </c>
    </row>
    <row r="51" spans="1:7" x14ac:dyDescent="0.25">
      <c r="A51" s="70">
        <v>42952</v>
      </c>
      <c r="B51" s="85">
        <f t="shared" si="2"/>
        <v>31</v>
      </c>
      <c r="C51" s="47">
        <f t="shared" si="7"/>
        <v>20000</v>
      </c>
      <c r="D51" s="48">
        <f t="shared" si="9"/>
        <v>17374.900000000001</v>
      </c>
      <c r="E51" s="68">
        <f t="shared" si="10"/>
        <v>2625.1</v>
      </c>
      <c r="F51" s="47">
        <f t="shared" si="11"/>
        <v>206055.92999999988</v>
      </c>
      <c r="G51" s="47">
        <f t="shared" si="12"/>
        <v>188681.02999999988</v>
      </c>
    </row>
    <row r="52" spans="1:7" x14ac:dyDescent="0.25">
      <c r="A52" s="70">
        <v>42983</v>
      </c>
      <c r="B52" s="85">
        <f t="shared" si="2"/>
        <v>31</v>
      </c>
      <c r="C52" s="47">
        <f t="shared" si="7"/>
        <v>20000</v>
      </c>
      <c r="D52" s="48">
        <f t="shared" si="9"/>
        <v>17596.260000000002</v>
      </c>
      <c r="E52" s="68">
        <f t="shared" si="10"/>
        <v>2403.7399999999998</v>
      </c>
      <c r="F52" s="47">
        <f t="shared" si="11"/>
        <v>188681.02999999988</v>
      </c>
      <c r="G52" s="47">
        <f t="shared" si="12"/>
        <v>171084.76999999987</v>
      </c>
    </row>
    <row r="53" spans="1:7" x14ac:dyDescent="0.25">
      <c r="A53" s="70">
        <v>43013</v>
      </c>
      <c r="B53" s="85">
        <f t="shared" si="2"/>
        <v>30</v>
      </c>
      <c r="C53" s="47">
        <f t="shared" si="7"/>
        <v>20000</v>
      </c>
      <c r="D53" s="48">
        <f t="shared" si="9"/>
        <v>17890.739999999998</v>
      </c>
      <c r="E53" s="68">
        <f t="shared" si="10"/>
        <v>2109.2600000000002</v>
      </c>
      <c r="F53" s="47">
        <f t="shared" si="11"/>
        <v>171084.76999999987</v>
      </c>
      <c r="G53" s="47">
        <f t="shared" si="12"/>
        <v>153194.02999999988</v>
      </c>
    </row>
    <row r="54" spans="1:7" x14ac:dyDescent="0.25">
      <c r="A54" s="70">
        <v>43044</v>
      </c>
      <c r="B54" s="85">
        <f t="shared" si="2"/>
        <v>31</v>
      </c>
      <c r="C54" s="47">
        <f t="shared" si="7"/>
        <v>20000</v>
      </c>
      <c r="D54" s="48">
        <f t="shared" si="9"/>
        <v>18048.349999999999</v>
      </c>
      <c r="E54" s="68">
        <f t="shared" si="10"/>
        <v>1951.65</v>
      </c>
      <c r="F54" s="47">
        <f t="shared" si="11"/>
        <v>153194.02999999988</v>
      </c>
      <c r="G54" s="47">
        <f t="shared" si="12"/>
        <v>135145.67999999988</v>
      </c>
    </row>
    <row r="55" spans="1:7" x14ac:dyDescent="0.25">
      <c r="A55" s="70">
        <v>43074</v>
      </c>
      <c r="B55" s="85">
        <f t="shared" si="2"/>
        <v>30</v>
      </c>
      <c r="C55" s="47">
        <f t="shared" si="7"/>
        <v>20000</v>
      </c>
      <c r="D55" s="48">
        <f t="shared" si="9"/>
        <v>18333.82</v>
      </c>
      <c r="E55" s="68">
        <f t="shared" si="10"/>
        <v>1666.18</v>
      </c>
      <c r="F55" s="47">
        <f t="shared" si="11"/>
        <v>135145.67999999988</v>
      </c>
      <c r="G55" s="47">
        <f t="shared" si="12"/>
        <v>116811.85999999987</v>
      </c>
    </row>
    <row r="56" spans="1:7" x14ac:dyDescent="0.25">
      <c r="A56" s="70">
        <v>43105</v>
      </c>
      <c r="B56" s="85">
        <f t="shared" si="2"/>
        <v>31</v>
      </c>
      <c r="C56" s="47">
        <f t="shared" si="7"/>
        <v>20000</v>
      </c>
      <c r="D56" s="48">
        <f t="shared" si="9"/>
        <v>18511.849999999999</v>
      </c>
      <c r="E56" s="68">
        <f t="shared" si="10"/>
        <v>1488.15</v>
      </c>
      <c r="F56" s="47">
        <f t="shared" si="11"/>
        <v>116811.85999999987</v>
      </c>
      <c r="G56" s="47">
        <f t="shared" si="12"/>
        <v>98300.009999999864</v>
      </c>
    </row>
    <row r="57" spans="1:7" x14ac:dyDescent="0.25">
      <c r="A57" s="70">
        <v>43136</v>
      </c>
      <c r="B57" s="85">
        <f t="shared" si="2"/>
        <v>31</v>
      </c>
      <c r="C57" s="47">
        <f t="shared" si="7"/>
        <v>20000</v>
      </c>
      <c r="D57" s="48">
        <f t="shared" si="9"/>
        <v>18747.68</v>
      </c>
      <c r="E57" s="68">
        <f t="shared" si="10"/>
        <v>1252.32</v>
      </c>
      <c r="F57" s="47">
        <f t="shared" si="11"/>
        <v>98300.009999999864</v>
      </c>
      <c r="G57" s="47">
        <f t="shared" si="12"/>
        <v>79552.329999999871</v>
      </c>
    </row>
    <row r="58" spans="1:7" x14ac:dyDescent="0.25">
      <c r="A58" s="70">
        <v>43164</v>
      </c>
      <c r="B58" s="85">
        <f t="shared" si="2"/>
        <v>28</v>
      </c>
      <c r="C58" s="47">
        <f t="shared" si="7"/>
        <v>20000</v>
      </c>
      <c r="D58" s="48">
        <f t="shared" si="9"/>
        <v>19084.599999999999</v>
      </c>
      <c r="E58" s="68">
        <f t="shared" si="10"/>
        <v>915.4</v>
      </c>
      <c r="F58" s="47">
        <f t="shared" si="11"/>
        <v>79552.329999999871</v>
      </c>
      <c r="G58" s="47">
        <f t="shared" si="12"/>
        <v>60467.729999999872</v>
      </c>
    </row>
    <row r="59" spans="1:7" x14ac:dyDescent="0.25">
      <c r="A59" s="70">
        <v>43195</v>
      </c>
      <c r="B59" s="85">
        <f t="shared" si="2"/>
        <v>31</v>
      </c>
      <c r="C59" s="47">
        <f t="shared" si="7"/>
        <v>20000</v>
      </c>
      <c r="D59" s="48">
        <f t="shared" si="9"/>
        <v>19229.66</v>
      </c>
      <c r="E59" s="68">
        <f t="shared" si="10"/>
        <v>770.34</v>
      </c>
      <c r="F59" s="47">
        <f t="shared" si="11"/>
        <v>60467.729999999872</v>
      </c>
      <c r="G59" s="47">
        <f t="shared" si="12"/>
        <v>41238.069999999876</v>
      </c>
    </row>
    <row r="60" spans="1:7" x14ac:dyDescent="0.25">
      <c r="A60" s="70">
        <v>43225</v>
      </c>
      <c r="B60" s="85">
        <f t="shared" si="2"/>
        <v>30</v>
      </c>
      <c r="C60" s="47">
        <f t="shared" si="7"/>
        <v>20000</v>
      </c>
      <c r="D60" s="48">
        <f t="shared" si="9"/>
        <v>19491.59</v>
      </c>
      <c r="E60" s="68">
        <f t="shared" si="10"/>
        <v>508.41</v>
      </c>
      <c r="F60" s="47">
        <f t="shared" si="11"/>
        <v>41238.069999999876</v>
      </c>
      <c r="G60" s="47">
        <f t="shared" si="12"/>
        <v>21746.479999999876</v>
      </c>
    </row>
    <row r="61" spans="1:7" x14ac:dyDescent="0.25">
      <c r="A61" s="70">
        <v>43256</v>
      </c>
      <c r="B61" s="85">
        <f t="shared" si="2"/>
        <v>31</v>
      </c>
      <c r="C61" s="47">
        <f t="shared" si="7"/>
        <v>20000</v>
      </c>
      <c r="D61" s="48">
        <f t="shared" si="9"/>
        <v>19722.96</v>
      </c>
      <c r="E61" s="68">
        <f t="shared" si="10"/>
        <v>277.04000000000002</v>
      </c>
      <c r="F61" s="47">
        <f t="shared" si="11"/>
        <v>21746.479999999876</v>
      </c>
      <c r="G61" s="47">
        <f t="shared" si="12"/>
        <v>2023.5199999998767</v>
      </c>
    </row>
    <row r="62" spans="1:7" x14ac:dyDescent="0.25">
      <c r="A62" s="70">
        <v>43286</v>
      </c>
      <c r="B62" s="85">
        <f t="shared" si="2"/>
        <v>30</v>
      </c>
      <c r="C62" s="68">
        <f>ROUND(E62+F62,2)</f>
        <v>2048.4699999999998</v>
      </c>
      <c r="D62" s="48">
        <f t="shared" si="9"/>
        <v>2023.5199999999998</v>
      </c>
      <c r="E62" s="68">
        <f t="shared" si="10"/>
        <v>24.95</v>
      </c>
      <c r="F62" s="47">
        <f t="shared" si="11"/>
        <v>2023.5199999998767</v>
      </c>
      <c r="G62" s="47">
        <f t="shared" si="12"/>
        <v>-1.2300915841478854E-10</v>
      </c>
    </row>
  </sheetData>
  <pageMargins left="0.7" right="0.7" top="0.75" bottom="0.75" header="0.3" footer="0.3"/>
  <pageSetup orientation="portrait" r:id="rId1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937419-288A-4585-91F4-23163120481D}">
  <dimension ref="A1:J62"/>
  <sheetViews>
    <sheetView zoomScale="94" zoomScaleNormal="80" workbookViewId="0">
      <pane ySplit="3" topLeftCell="A46" activePane="bottomLeft" state="frozen"/>
      <selection activeCell="B41" sqref="B41"/>
      <selection pane="bottomLeft" activeCell="C62" sqref="C6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3.42578125" bestFit="1" customWidth="1"/>
  </cols>
  <sheetData>
    <row r="1" spans="1:10" x14ac:dyDescent="0.25">
      <c r="A1" s="17" t="s">
        <v>33</v>
      </c>
      <c r="B1" s="78">
        <v>41856</v>
      </c>
      <c r="C1" s="17" t="s">
        <v>37</v>
      </c>
      <c r="D1" s="79">
        <f>ROUNDUP(34665.5343079289,0)</f>
        <v>34666</v>
      </c>
      <c r="E1" s="73" t="s">
        <v>106</v>
      </c>
      <c r="F1" s="79">
        <f>ROUNDUP(20000,2)</f>
        <v>20000</v>
      </c>
      <c r="G1" s="80" t="s">
        <v>52</v>
      </c>
      <c r="H1" s="81">
        <v>42614</v>
      </c>
      <c r="I1" s="73" t="s">
        <v>124</v>
      </c>
      <c r="J1" s="73">
        <v>40</v>
      </c>
    </row>
    <row r="2" spans="1:10" x14ac:dyDescent="0.25">
      <c r="A2" s="75" t="s">
        <v>34</v>
      </c>
      <c r="B2" s="76">
        <v>0.15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62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39" si="2">DAYS360(A5,A6,TRUE)</f>
        <v>30</v>
      </c>
      <c r="C6" s="47">
        <f t="shared" ref="C6:C39" si="3">$D$1</f>
        <v>34666</v>
      </c>
      <c r="D6" s="48">
        <f t="shared" si="0"/>
        <v>22723.61</v>
      </c>
      <c r="E6" s="68">
        <f t="shared" ref="E6:E38" si="4">ROUND(F6*$B$2*B6/360,2)</f>
        <v>11942.39</v>
      </c>
      <c r="F6" s="47">
        <f t="shared" ref="F6:F39" si="5">G5</f>
        <v>955390.93</v>
      </c>
      <c r="G6" s="47">
        <f t="shared" ref="G6:G39" si="6">F6-D6</f>
        <v>932667.32000000007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34666</v>
      </c>
      <c r="D7" s="48">
        <f t="shared" si="0"/>
        <v>23007.66</v>
      </c>
      <c r="E7" s="68">
        <f t="shared" si="4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2"/>
        <v>30</v>
      </c>
      <c r="C8" s="47">
        <f t="shared" si="3"/>
        <v>34666</v>
      </c>
      <c r="D8" s="48">
        <f t="shared" si="0"/>
        <v>23295.25</v>
      </c>
      <c r="E8" s="68">
        <f t="shared" si="4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2"/>
        <v>30</v>
      </c>
      <c r="C9" s="47">
        <f t="shared" si="3"/>
        <v>34666</v>
      </c>
      <c r="D9" s="48">
        <f t="shared" si="0"/>
        <v>23586.440000000002</v>
      </c>
      <c r="E9" s="68">
        <f t="shared" si="4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2"/>
        <v>30</v>
      </c>
      <c r="C10" s="47">
        <f t="shared" si="3"/>
        <v>34666</v>
      </c>
      <c r="D10" s="48">
        <f t="shared" si="0"/>
        <v>23881.279999999999</v>
      </c>
      <c r="E10" s="68">
        <f t="shared" si="4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2"/>
        <v>30</v>
      </c>
      <c r="C11" s="47">
        <f t="shared" si="3"/>
        <v>34666</v>
      </c>
      <c r="D11" s="48">
        <f t="shared" si="0"/>
        <v>24179.79</v>
      </c>
      <c r="E11" s="68">
        <f t="shared" si="4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34666</v>
      </c>
      <c r="D12" s="48">
        <f t="shared" si="0"/>
        <v>24482.04</v>
      </c>
      <c r="E12" s="68">
        <f t="shared" si="4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2"/>
        <v>30</v>
      </c>
      <c r="C13" s="47">
        <f t="shared" si="3"/>
        <v>34666</v>
      </c>
      <c r="D13" s="48">
        <f t="shared" si="0"/>
        <v>24788.059999999998</v>
      </c>
      <c r="E13" s="68">
        <f t="shared" si="4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34666</v>
      </c>
      <c r="D14" s="48">
        <f t="shared" si="0"/>
        <v>25097.91</v>
      </c>
      <c r="E14" s="68">
        <f t="shared" si="4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2"/>
        <v>30</v>
      </c>
      <c r="C15" s="47">
        <f t="shared" si="3"/>
        <v>34666</v>
      </c>
      <c r="D15" s="48">
        <f t="shared" si="0"/>
        <v>25411.64</v>
      </c>
      <c r="E15" s="68">
        <f t="shared" si="4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2"/>
        <v>30</v>
      </c>
      <c r="C16" s="47">
        <f t="shared" si="3"/>
        <v>34666</v>
      </c>
      <c r="D16" s="48">
        <f t="shared" si="0"/>
        <v>25729.279999999999</v>
      </c>
      <c r="E16" s="68">
        <f t="shared" si="4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34666</v>
      </c>
      <c r="D17" s="48">
        <f t="shared" si="0"/>
        <v>26050.9</v>
      </c>
      <c r="E17" s="68">
        <f t="shared" si="4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2"/>
        <v>30</v>
      </c>
      <c r="C18" s="47">
        <f t="shared" si="3"/>
        <v>34666</v>
      </c>
      <c r="D18" s="48">
        <f t="shared" si="0"/>
        <v>26376.54</v>
      </c>
      <c r="E18" s="68">
        <f t="shared" si="4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34666</v>
      </c>
      <c r="D19" s="48">
        <f t="shared" si="0"/>
        <v>26706.239999999998</v>
      </c>
      <c r="E19" s="68">
        <f t="shared" si="4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36">
        <v>42374</v>
      </c>
      <c r="B20" s="46">
        <f t="shared" si="2"/>
        <v>30</v>
      </c>
      <c r="C20" s="47">
        <f t="shared" si="3"/>
        <v>34666</v>
      </c>
      <c r="D20" s="48">
        <f t="shared" si="0"/>
        <v>27040.07</v>
      </c>
      <c r="E20" s="68">
        <f t="shared" si="4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36">
        <v>42405</v>
      </c>
      <c r="B21" s="46">
        <f t="shared" si="2"/>
        <v>30</v>
      </c>
      <c r="C21" s="47">
        <f t="shared" si="3"/>
        <v>34666</v>
      </c>
      <c r="D21" s="48">
        <f t="shared" si="0"/>
        <v>27378.07</v>
      </c>
      <c r="E21" s="68">
        <f t="shared" si="4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36">
        <v>42434</v>
      </c>
      <c r="B22" s="46">
        <f t="shared" si="2"/>
        <v>30</v>
      </c>
      <c r="C22" s="47">
        <f t="shared" si="3"/>
        <v>34666</v>
      </c>
      <c r="D22" s="48">
        <f t="shared" si="0"/>
        <v>27720.3</v>
      </c>
      <c r="E22" s="68">
        <f t="shared" si="4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36">
        <v>42465</v>
      </c>
      <c r="B23" s="46">
        <f t="shared" si="2"/>
        <v>30</v>
      </c>
      <c r="C23" s="47">
        <f t="shared" si="3"/>
        <v>34666</v>
      </c>
      <c r="D23" s="48">
        <f t="shared" si="0"/>
        <v>28066.799999999999</v>
      </c>
      <c r="E23" s="68">
        <f t="shared" si="4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34666</v>
      </c>
      <c r="D24" s="48">
        <f t="shared" si="0"/>
        <v>28417.64</v>
      </c>
      <c r="E24" s="68">
        <f t="shared" si="4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36">
        <v>42526</v>
      </c>
      <c r="B25" s="46">
        <f t="shared" si="2"/>
        <v>30</v>
      </c>
      <c r="C25" s="47">
        <f t="shared" si="3"/>
        <v>34666</v>
      </c>
      <c r="D25" s="48">
        <f t="shared" si="0"/>
        <v>28772.86</v>
      </c>
      <c r="E25" s="68">
        <f t="shared" si="4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34666</v>
      </c>
      <c r="D26" s="48">
        <f t="shared" si="0"/>
        <v>29132.52</v>
      </c>
      <c r="E26" s="68">
        <f t="shared" si="4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36">
        <v>42587</v>
      </c>
      <c r="B27" s="46">
        <f t="shared" si="2"/>
        <v>30</v>
      </c>
      <c r="C27" s="47">
        <f t="shared" si="3"/>
        <v>34666</v>
      </c>
      <c r="D27" s="48">
        <f t="shared" si="0"/>
        <v>29496.67</v>
      </c>
      <c r="E27" s="68">
        <f t="shared" si="4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36">
        <v>42618</v>
      </c>
      <c r="B28" s="46">
        <f t="shared" si="2"/>
        <v>30</v>
      </c>
      <c r="C28" s="47">
        <f t="shared" si="3"/>
        <v>34666</v>
      </c>
      <c r="D28" s="48">
        <f t="shared" si="0"/>
        <v>29865.38</v>
      </c>
      <c r="E28" s="68">
        <f t="shared" si="4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34666</v>
      </c>
      <c r="D29" s="48">
        <f t="shared" si="0"/>
        <v>30238.7</v>
      </c>
      <c r="E29" s="68">
        <f t="shared" si="4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36">
        <v>42679</v>
      </c>
      <c r="B30" s="46">
        <f t="shared" si="2"/>
        <v>30</v>
      </c>
      <c r="C30" s="47">
        <f t="shared" si="3"/>
        <v>34666</v>
      </c>
      <c r="D30" s="48">
        <f t="shared" si="0"/>
        <v>30616.68</v>
      </c>
      <c r="E30" s="68">
        <f t="shared" si="4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34666</v>
      </c>
      <c r="D31" s="48">
        <f t="shared" si="0"/>
        <v>30999.39</v>
      </c>
      <c r="E31" s="68">
        <f t="shared" si="4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36">
        <v>42740</v>
      </c>
      <c r="B32" s="46">
        <f t="shared" si="2"/>
        <v>30</v>
      </c>
      <c r="C32" s="47">
        <f t="shared" si="3"/>
        <v>34666</v>
      </c>
      <c r="D32" s="48">
        <f t="shared" si="0"/>
        <v>31386.880000000001</v>
      </c>
      <c r="E32" s="68">
        <f t="shared" si="4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36">
        <v>42771</v>
      </c>
      <c r="B33" s="46">
        <f t="shared" si="2"/>
        <v>30</v>
      </c>
      <c r="C33" s="47">
        <f t="shared" si="3"/>
        <v>34666</v>
      </c>
      <c r="D33" s="48">
        <f t="shared" si="0"/>
        <v>31779.22</v>
      </c>
      <c r="E33" s="68">
        <f t="shared" si="4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36">
        <v>42799</v>
      </c>
      <c r="B34" s="46">
        <f t="shared" si="2"/>
        <v>30</v>
      </c>
      <c r="C34" s="47">
        <f t="shared" si="3"/>
        <v>34666</v>
      </c>
      <c r="D34" s="48">
        <f t="shared" si="0"/>
        <v>32176.46</v>
      </c>
      <c r="E34" s="68">
        <f t="shared" si="4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36">
        <v>42830</v>
      </c>
      <c r="B35" s="46">
        <f t="shared" si="2"/>
        <v>30</v>
      </c>
      <c r="C35" s="47">
        <f t="shared" si="3"/>
        <v>34666</v>
      </c>
      <c r="D35" s="48">
        <f t="shared" si="0"/>
        <v>32578.67</v>
      </c>
      <c r="E35" s="68">
        <f t="shared" si="4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34666</v>
      </c>
      <c r="D36" s="48">
        <f t="shared" si="0"/>
        <v>32985.9</v>
      </c>
      <c r="E36" s="68">
        <f t="shared" si="4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36">
        <v>42891</v>
      </c>
      <c r="B37" s="46">
        <f t="shared" si="2"/>
        <v>30</v>
      </c>
      <c r="C37" s="47">
        <f t="shared" si="3"/>
        <v>34666</v>
      </c>
      <c r="D37" s="48">
        <f t="shared" si="0"/>
        <v>33398.22</v>
      </c>
      <c r="E37" s="68">
        <f t="shared" si="4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34666</v>
      </c>
      <c r="D38" s="48">
        <f t="shared" si="0"/>
        <v>33815.699999999997</v>
      </c>
      <c r="E38" s="68">
        <f t="shared" si="4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36">
        <v>42952</v>
      </c>
      <c r="B39" s="46">
        <f t="shared" si="2"/>
        <v>30</v>
      </c>
      <c r="C39" s="47">
        <f t="shared" si="3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70">
        <v>42618</v>
      </c>
      <c r="B40" s="46">
        <f>DAYS360(A27,A40,TRUE)</f>
        <v>30</v>
      </c>
      <c r="C40" s="47">
        <f t="shared" ref="C40:C61" si="7">$F$1</f>
        <v>20000</v>
      </c>
      <c r="D40" s="48">
        <f t="shared" si="0"/>
        <v>15199.380000000001</v>
      </c>
      <c r="E40" s="68">
        <f>ROUND(F28*$B$2*B28/360,2)</f>
        <v>4800.62</v>
      </c>
      <c r="F40" s="47">
        <f>G27</f>
        <v>384049.35999999975</v>
      </c>
      <c r="G40" s="47">
        <f>F40-D40</f>
        <v>368849.97999999975</v>
      </c>
    </row>
    <row r="41" spans="1:7" x14ac:dyDescent="0.25">
      <c r="A41" s="70">
        <v>42648</v>
      </c>
      <c r="B41" s="46">
        <f>DAYS360(A40,A41,TRUE)</f>
        <v>30</v>
      </c>
      <c r="C41" s="47">
        <f t="shared" si="7"/>
        <v>20000</v>
      </c>
      <c r="D41" s="48">
        <f t="shared" si="0"/>
        <v>15389.380000000001</v>
      </c>
      <c r="E41" s="68">
        <f>ROUND(F41*$B$2*B41/360,2)</f>
        <v>4610.62</v>
      </c>
      <c r="F41" s="47">
        <f t="shared" ref="F41:F62" si="8">G40</f>
        <v>368849.97999999975</v>
      </c>
      <c r="G41" s="47">
        <f t="shared" ref="G41:G62" si="9">F41-D41</f>
        <v>353460.59999999974</v>
      </c>
    </row>
    <row r="42" spans="1:7" x14ac:dyDescent="0.25">
      <c r="A42" s="70">
        <v>42679</v>
      </c>
      <c r="B42" s="46">
        <f t="shared" ref="B42:B62" si="10">DAYS360(A41,A42,TRUE)</f>
        <v>30</v>
      </c>
      <c r="C42" s="47">
        <f t="shared" si="7"/>
        <v>20000</v>
      </c>
      <c r="D42" s="48">
        <f t="shared" si="0"/>
        <v>15581.74</v>
      </c>
      <c r="E42" s="68">
        <f t="shared" ref="E42:E62" si="11">ROUND(F42*$B$2*B42/360,2)</f>
        <v>4418.26</v>
      </c>
      <c r="F42" s="47">
        <f t="shared" si="8"/>
        <v>353460.59999999974</v>
      </c>
      <c r="G42" s="47">
        <f t="shared" si="9"/>
        <v>337878.85999999975</v>
      </c>
    </row>
    <row r="43" spans="1:7" x14ac:dyDescent="0.25">
      <c r="A43" s="70">
        <v>42709</v>
      </c>
      <c r="B43" s="46">
        <f t="shared" si="10"/>
        <v>30</v>
      </c>
      <c r="C43" s="47">
        <f t="shared" si="7"/>
        <v>20000</v>
      </c>
      <c r="D43" s="48">
        <f t="shared" si="0"/>
        <v>15776.51</v>
      </c>
      <c r="E43" s="68">
        <f t="shared" si="11"/>
        <v>4223.49</v>
      </c>
      <c r="F43" s="47">
        <f t="shared" si="8"/>
        <v>337878.85999999975</v>
      </c>
      <c r="G43" s="47">
        <f t="shared" si="9"/>
        <v>322102.34999999974</v>
      </c>
    </row>
    <row r="44" spans="1:7" x14ac:dyDescent="0.25">
      <c r="A44" s="70">
        <v>42740</v>
      </c>
      <c r="B44" s="46">
        <f t="shared" si="10"/>
        <v>30</v>
      </c>
      <c r="C44" s="47">
        <f t="shared" si="7"/>
        <v>20000</v>
      </c>
      <c r="D44" s="48">
        <f t="shared" si="0"/>
        <v>15973.72</v>
      </c>
      <c r="E44" s="68">
        <f t="shared" si="11"/>
        <v>4026.28</v>
      </c>
      <c r="F44" s="47">
        <f t="shared" si="8"/>
        <v>322102.34999999974</v>
      </c>
      <c r="G44" s="47">
        <f t="shared" si="9"/>
        <v>306128.62999999977</v>
      </c>
    </row>
    <row r="45" spans="1:7" x14ac:dyDescent="0.25">
      <c r="A45" s="70">
        <v>42771</v>
      </c>
      <c r="B45" s="46">
        <f t="shared" si="10"/>
        <v>30</v>
      </c>
      <c r="C45" s="47">
        <f t="shared" si="7"/>
        <v>20000</v>
      </c>
      <c r="D45" s="48">
        <f t="shared" si="0"/>
        <v>16173.39</v>
      </c>
      <c r="E45" s="68">
        <f t="shared" si="11"/>
        <v>3826.61</v>
      </c>
      <c r="F45" s="47">
        <f t="shared" si="8"/>
        <v>306128.62999999977</v>
      </c>
      <c r="G45" s="47">
        <f t="shared" si="9"/>
        <v>289955.23999999976</v>
      </c>
    </row>
    <row r="46" spans="1:7" x14ac:dyDescent="0.25">
      <c r="A46" s="70">
        <v>42799</v>
      </c>
      <c r="B46" s="46">
        <f t="shared" si="10"/>
        <v>30</v>
      </c>
      <c r="C46" s="47">
        <f t="shared" si="7"/>
        <v>20000</v>
      </c>
      <c r="D46" s="48">
        <f t="shared" si="0"/>
        <v>16375.56</v>
      </c>
      <c r="E46" s="68">
        <f t="shared" si="11"/>
        <v>3624.44</v>
      </c>
      <c r="F46" s="47">
        <f t="shared" si="8"/>
        <v>289955.23999999976</v>
      </c>
      <c r="G46" s="47">
        <f t="shared" si="9"/>
        <v>273579.67999999976</v>
      </c>
    </row>
    <row r="47" spans="1:7" x14ac:dyDescent="0.25">
      <c r="A47" s="70">
        <v>42830</v>
      </c>
      <c r="B47" s="46">
        <f t="shared" si="10"/>
        <v>30</v>
      </c>
      <c r="C47" s="47">
        <f t="shared" si="7"/>
        <v>20000</v>
      </c>
      <c r="D47" s="48">
        <f t="shared" si="0"/>
        <v>16580.25</v>
      </c>
      <c r="E47" s="68">
        <f t="shared" si="11"/>
        <v>3419.75</v>
      </c>
      <c r="F47" s="47">
        <f t="shared" si="8"/>
        <v>273579.67999999976</v>
      </c>
      <c r="G47" s="47">
        <f t="shared" si="9"/>
        <v>256999.42999999976</v>
      </c>
    </row>
    <row r="48" spans="1:7" x14ac:dyDescent="0.25">
      <c r="A48" s="70">
        <v>42860</v>
      </c>
      <c r="B48" s="46">
        <f t="shared" si="10"/>
        <v>30</v>
      </c>
      <c r="C48" s="47">
        <f t="shared" si="7"/>
        <v>20000</v>
      </c>
      <c r="D48" s="48">
        <f t="shared" si="0"/>
        <v>16787.510000000002</v>
      </c>
      <c r="E48" s="68">
        <f t="shared" si="11"/>
        <v>3212.49</v>
      </c>
      <c r="F48" s="47">
        <f t="shared" si="8"/>
        <v>256999.42999999976</v>
      </c>
      <c r="G48" s="47">
        <f t="shared" si="9"/>
        <v>240211.91999999975</v>
      </c>
    </row>
    <row r="49" spans="1:7" x14ac:dyDescent="0.25">
      <c r="A49" s="70">
        <v>42891</v>
      </c>
      <c r="B49" s="46">
        <f t="shared" si="10"/>
        <v>30</v>
      </c>
      <c r="C49" s="47">
        <f t="shared" si="7"/>
        <v>20000</v>
      </c>
      <c r="D49" s="48">
        <f t="shared" si="0"/>
        <v>16997.349999999999</v>
      </c>
      <c r="E49" s="68">
        <f t="shared" si="11"/>
        <v>3002.65</v>
      </c>
      <c r="F49" s="47">
        <f t="shared" si="8"/>
        <v>240211.91999999975</v>
      </c>
      <c r="G49" s="47">
        <f t="shared" si="9"/>
        <v>223214.56999999975</v>
      </c>
    </row>
    <row r="50" spans="1:7" x14ac:dyDescent="0.25">
      <c r="A50" s="70">
        <v>42921</v>
      </c>
      <c r="B50" s="46">
        <f t="shared" si="10"/>
        <v>30</v>
      </c>
      <c r="C50" s="47">
        <f t="shared" si="7"/>
        <v>20000</v>
      </c>
      <c r="D50" s="48">
        <f t="shared" si="0"/>
        <v>17209.82</v>
      </c>
      <c r="E50" s="68">
        <f t="shared" si="11"/>
        <v>2790.18</v>
      </c>
      <c r="F50" s="47">
        <f t="shared" si="8"/>
        <v>223214.56999999975</v>
      </c>
      <c r="G50" s="47">
        <f t="shared" si="9"/>
        <v>206004.74999999974</v>
      </c>
    </row>
    <row r="51" spans="1:7" x14ac:dyDescent="0.25">
      <c r="A51" s="70">
        <v>42952</v>
      </c>
      <c r="B51" s="46">
        <f t="shared" si="10"/>
        <v>30</v>
      </c>
      <c r="C51" s="47">
        <f t="shared" si="7"/>
        <v>20000</v>
      </c>
      <c r="D51" s="48">
        <f t="shared" si="0"/>
        <v>17424.939999999999</v>
      </c>
      <c r="E51" s="68">
        <f t="shared" si="11"/>
        <v>2575.06</v>
      </c>
      <c r="F51" s="47">
        <f t="shared" si="8"/>
        <v>206004.74999999974</v>
      </c>
      <c r="G51" s="47">
        <f t="shared" si="9"/>
        <v>188579.80999999974</v>
      </c>
    </row>
    <row r="52" spans="1:7" x14ac:dyDescent="0.25">
      <c r="A52" s="70">
        <v>42983</v>
      </c>
      <c r="B52" s="46">
        <f t="shared" si="10"/>
        <v>30</v>
      </c>
      <c r="C52" s="47">
        <f t="shared" si="7"/>
        <v>20000</v>
      </c>
      <c r="D52" s="48">
        <f t="shared" si="0"/>
        <v>17642.75</v>
      </c>
      <c r="E52" s="68">
        <f t="shared" si="11"/>
        <v>2357.25</v>
      </c>
      <c r="F52" s="47">
        <f t="shared" si="8"/>
        <v>188579.80999999974</v>
      </c>
      <c r="G52" s="47">
        <f t="shared" si="9"/>
        <v>170937.05999999974</v>
      </c>
    </row>
    <row r="53" spans="1:7" x14ac:dyDescent="0.25">
      <c r="A53" s="70">
        <v>43013</v>
      </c>
      <c r="B53" s="46">
        <f t="shared" si="10"/>
        <v>30</v>
      </c>
      <c r="C53" s="47">
        <f t="shared" si="7"/>
        <v>20000</v>
      </c>
      <c r="D53" s="48">
        <f t="shared" si="0"/>
        <v>17863.29</v>
      </c>
      <c r="E53" s="68">
        <f t="shared" si="11"/>
        <v>2136.71</v>
      </c>
      <c r="F53" s="47">
        <f t="shared" si="8"/>
        <v>170937.05999999974</v>
      </c>
      <c r="G53" s="47">
        <f t="shared" si="9"/>
        <v>153073.76999999973</v>
      </c>
    </row>
    <row r="54" spans="1:7" x14ac:dyDescent="0.25">
      <c r="A54" s="70">
        <v>43044</v>
      </c>
      <c r="B54" s="46">
        <f t="shared" si="10"/>
        <v>30</v>
      </c>
      <c r="C54" s="47">
        <f t="shared" si="7"/>
        <v>20000</v>
      </c>
      <c r="D54" s="48">
        <f t="shared" si="0"/>
        <v>18086.580000000002</v>
      </c>
      <c r="E54" s="68">
        <f t="shared" si="11"/>
        <v>1913.42</v>
      </c>
      <c r="F54" s="47">
        <f t="shared" si="8"/>
        <v>153073.76999999973</v>
      </c>
      <c r="G54" s="47">
        <f t="shared" si="9"/>
        <v>134987.18999999971</v>
      </c>
    </row>
    <row r="55" spans="1:7" x14ac:dyDescent="0.25">
      <c r="A55" s="70">
        <v>43074</v>
      </c>
      <c r="B55" s="46">
        <f t="shared" si="10"/>
        <v>30</v>
      </c>
      <c r="C55" s="47">
        <f t="shared" si="7"/>
        <v>20000</v>
      </c>
      <c r="D55" s="48">
        <f t="shared" si="0"/>
        <v>18312.66</v>
      </c>
      <c r="E55" s="68">
        <f t="shared" si="11"/>
        <v>1687.34</v>
      </c>
      <c r="F55" s="47">
        <f t="shared" si="8"/>
        <v>134987.18999999971</v>
      </c>
      <c r="G55" s="47">
        <f t="shared" si="9"/>
        <v>116674.52999999971</v>
      </c>
    </row>
    <row r="56" spans="1:7" x14ac:dyDescent="0.25">
      <c r="A56" s="70">
        <v>43105</v>
      </c>
      <c r="B56" s="46">
        <f t="shared" si="10"/>
        <v>30</v>
      </c>
      <c r="C56" s="47">
        <f t="shared" si="7"/>
        <v>20000</v>
      </c>
      <c r="D56" s="48">
        <f t="shared" si="0"/>
        <v>18541.57</v>
      </c>
      <c r="E56" s="68">
        <f t="shared" si="11"/>
        <v>1458.43</v>
      </c>
      <c r="F56" s="47">
        <f t="shared" si="8"/>
        <v>116674.52999999971</v>
      </c>
      <c r="G56" s="47">
        <f t="shared" si="9"/>
        <v>98132.959999999701</v>
      </c>
    </row>
    <row r="57" spans="1:7" x14ac:dyDescent="0.25">
      <c r="A57" s="70">
        <v>43136</v>
      </c>
      <c r="B57" s="46">
        <f t="shared" si="10"/>
        <v>30</v>
      </c>
      <c r="C57" s="47">
        <f t="shared" si="7"/>
        <v>20000</v>
      </c>
      <c r="D57" s="48">
        <f t="shared" si="0"/>
        <v>18773.34</v>
      </c>
      <c r="E57" s="68">
        <f t="shared" si="11"/>
        <v>1226.6600000000001</v>
      </c>
      <c r="F57" s="47">
        <f t="shared" si="8"/>
        <v>98132.959999999701</v>
      </c>
      <c r="G57" s="47">
        <f t="shared" si="9"/>
        <v>79359.619999999704</v>
      </c>
    </row>
    <row r="58" spans="1:7" x14ac:dyDescent="0.25">
      <c r="A58" s="70">
        <v>43164</v>
      </c>
      <c r="B58" s="46">
        <f t="shared" si="10"/>
        <v>30</v>
      </c>
      <c r="C58" s="47">
        <f t="shared" si="7"/>
        <v>20000</v>
      </c>
      <c r="D58" s="48">
        <f t="shared" si="0"/>
        <v>19008</v>
      </c>
      <c r="E58" s="68">
        <f t="shared" si="11"/>
        <v>992</v>
      </c>
      <c r="F58" s="47">
        <f t="shared" si="8"/>
        <v>79359.619999999704</v>
      </c>
      <c r="G58" s="47">
        <f t="shared" si="9"/>
        <v>60351.619999999704</v>
      </c>
    </row>
    <row r="59" spans="1:7" x14ac:dyDescent="0.25">
      <c r="A59" s="70">
        <v>43195</v>
      </c>
      <c r="B59" s="46">
        <f t="shared" si="10"/>
        <v>30</v>
      </c>
      <c r="C59" s="47">
        <f t="shared" si="7"/>
        <v>20000</v>
      </c>
      <c r="D59" s="48">
        <f t="shared" si="0"/>
        <v>19245.599999999999</v>
      </c>
      <c r="E59" s="68">
        <f t="shared" si="11"/>
        <v>754.4</v>
      </c>
      <c r="F59" s="47">
        <f t="shared" si="8"/>
        <v>60351.619999999704</v>
      </c>
      <c r="G59" s="47">
        <f t="shared" si="9"/>
        <v>41106.019999999706</v>
      </c>
    </row>
    <row r="60" spans="1:7" x14ac:dyDescent="0.25">
      <c r="A60" s="70">
        <v>43225</v>
      </c>
      <c r="B60" s="46">
        <f t="shared" si="10"/>
        <v>30</v>
      </c>
      <c r="C60" s="47">
        <f t="shared" si="7"/>
        <v>20000</v>
      </c>
      <c r="D60" s="48">
        <f t="shared" si="0"/>
        <v>19486.169999999998</v>
      </c>
      <c r="E60" s="68">
        <f t="shared" si="11"/>
        <v>513.83000000000004</v>
      </c>
      <c r="F60" s="47">
        <f t="shared" si="8"/>
        <v>41106.019999999706</v>
      </c>
      <c r="G60" s="47">
        <f t="shared" si="9"/>
        <v>21619.849999999708</v>
      </c>
    </row>
    <row r="61" spans="1:7" x14ac:dyDescent="0.25">
      <c r="A61" s="70">
        <v>43256</v>
      </c>
      <c r="B61" s="46">
        <f t="shared" si="10"/>
        <v>30</v>
      </c>
      <c r="C61" s="47">
        <f t="shared" si="7"/>
        <v>20000</v>
      </c>
      <c r="D61" s="48">
        <f t="shared" si="0"/>
        <v>19729.75</v>
      </c>
      <c r="E61" s="68">
        <f t="shared" si="11"/>
        <v>270.25</v>
      </c>
      <c r="F61" s="47">
        <f t="shared" si="8"/>
        <v>21619.849999999708</v>
      </c>
      <c r="G61" s="47">
        <f t="shared" si="9"/>
        <v>1890.0999999997075</v>
      </c>
    </row>
    <row r="62" spans="1:7" x14ac:dyDescent="0.25">
      <c r="A62" s="70">
        <v>43286</v>
      </c>
      <c r="B62" s="46">
        <f t="shared" si="10"/>
        <v>30</v>
      </c>
      <c r="C62" s="68">
        <f>ROUND(E62+F62,2)</f>
        <v>1913.73</v>
      </c>
      <c r="D62" s="48">
        <f t="shared" si="0"/>
        <v>1890.1</v>
      </c>
      <c r="E62" s="68">
        <f t="shared" si="11"/>
        <v>23.63</v>
      </c>
      <c r="F62" s="47">
        <f t="shared" si="8"/>
        <v>1890.0999999997075</v>
      </c>
      <c r="G62" s="47">
        <f t="shared" si="9"/>
        <v>-2.9240254661999643E-10</v>
      </c>
    </row>
  </sheetData>
  <pageMargins left="0.7" right="0.7" top="0.75" bottom="0.75" header="0.3" footer="0.3"/>
  <pageSetup orientation="portrait" r:id="rId1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F67580-A092-4723-A332-89B309AD1B9B}">
  <dimension ref="A1:U3"/>
  <sheetViews>
    <sheetView workbookViewId="0">
      <selection activeCell="C5" sqref="C5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1" width="116.285156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103</v>
      </c>
      <c r="P2" s="20" t="s">
        <v>141</v>
      </c>
      <c r="Q2" s="20" t="s">
        <v>142</v>
      </c>
      <c r="R2" s="20" t="s">
        <v>146</v>
      </c>
      <c r="S2" s="20" t="s">
        <v>141</v>
      </c>
      <c r="T2" s="20" t="s">
        <v>143</v>
      </c>
      <c r="U2" s="50" t="s">
        <v>144</v>
      </c>
    </row>
    <row r="3" spans="1:21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103</v>
      </c>
      <c r="P3" s="20" t="s">
        <v>141</v>
      </c>
      <c r="Q3" s="20" t="s">
        <v>142</v>
      </c>
      <c r="R3" s="20" t="s">
        <v>146</v>
      </c>
      <c r="S3" s="20" t="s">
        <v>141</v>
      </c>
      <c r="T3" s="20" t="s">
        <v>143</v>
      </c>
      <c r="U3" s="50" t="s">
        <v>145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7D3F0-1ACA-422E-880E-A6061F9DCEC9}">
  <dimension ref="A1:J61"/>
  <sheetViews>
    <sheetView zoomScale="80" zoomScaleNormal="80" workbookViewId="0">
      <pane ySplit="3" topLeftCell="A39" activePane="bottomLeft" state="frozen"/>
      <selection activeCell="C40" sqref="C40"/>
      <selection pane="bottomLeft" activeCell="C40" sqref="C40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9.7109375" bestFit="1" customWidth="1"/>
    <col min="11" max="11" width="15.5703125" bestFit="1" customWidth="1"/>
    <col min="12" max="12" width="9.7109375" bestFit="1" customWidth="1"/>
  </cols>
  <sheetData>
    <row r="1" spans="1:10" x14ac:dyDescent="0.25">
      <c r="A1" s="17" t="s">
        <v>33</v>
      </c>
      <c r="B1" s="78">
        <v>41856</v>
      </c>
      <c r="C1" s="17" t="s">
        <v>37</v>
      </c>
      <c r="D1" s="79">
        <f>ROUNDUP(34673.5343079289,0)</f>
        <v>34674</v>
      </c>
      <c r="E1" s="73" t="s">
        <v>150</v>
      </c>
      <c r="F1" s="79">
        <f>ROUNDUP(50000,2)</f>
        <v>50000</v>
      </c>
      <c r="G1" s="69" t="s">
        <v>147</v>
      </c>
      <c r="H1" s="86">
        <v>42252</v>
      </c>
      <c r="I1" s="69" t="s">
        <v>148</v>
      </c>
      <c r="J1" s="86">
        <v>42618</v>
      </c>
    </row>
    <row r="2" spans="1:10" x14ac:dyDescent="0.25">
      <c r="A2" s="75" t="s">
        <v>34</v>
      </c>
      <c r="B2" s="76">
        <v>0.15</v>
      </c>
      <c r="I2" s="69" t="s">
        <v>149</v>
      </c>
      <c r="J2" s="69">
        <v>20000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61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61" si="2">A6-A5</f>
        <v>31</v>
      </c>
      <c r="C6" s="47">
        <f t="shared" ref="C6:C39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61" si="5">G5</f>
        <v>955450.07</v>
      </c>
      <c r="G6" s="47">
        <f t="shared" ref="G6:G61" si="6">F6-D6</f>
        <v>932948.24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0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0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0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0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0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0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0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70">
        <v>42252</v>
      </c>
      <c r="B40" s="84">
        <f>A16-A15</f>
        <v>31</v>
      </c>
      <c r="C40" s="47">
        <f>$D$1</f>
        <v>34674</v>
      </c>
      <c r="D40" s="48">
        <f>C16-E16</f>
        <v>25566.89</v>
      </c>
      <c r="E40" s="68">
        <f>ROUND(F16*$B$2*B16/365,2)</f>
        <v>9107.11</v>
      </c>
      <c r="F40" s="47">
        <f>G15</f>
        <v>714859.15999999992</v>
      </c>
      <c r="G40" s="47">
        <f t="shared" ref="G40" si="7">F40-D40</f>
        <v>689292.2699999999</v>
      </c>
    </row>
    <row r="41" spans="1:7" x14ac:dyDescent="0.25">
      <c r="A41" s="70">
        <v>42282</v>
      </c>
      <c r="B41" s="84">
        <f>A41-A16</f>
        <v>30</v>
      </c>
      <c r="C41" s="47">
        <f t="shared" ref="C41:C52" si="8">$F$1</f>
        <v>50000</v>
      </c>
      <c r="D41" s="48">
        <f t="shared" si="0"/>
        <v>41501.879999999997</v>
      </c>
      <c r="E41" s="68">
        <f>ROUND(F41*$B$2*B41/365,2)</f>
        <v>8498.1200000000008</v>
      </c>
      <c r="F41" s="47">
        <f>G16</f>
        <v>689292.2699999999</v>
      </c>
      <c r="G41" s="47">
        <f>F41-D41</f>
        <v>647790.3899999999</v>
      </c>
    </row>
    <row r="42" spans="1:7" x14ac:dyDescent="0.25">
      <c r="A42" s="70">
        <v>42313</v>
      </c>
      <c r="B42" s="84">
        <f t="shared" si="2"/>
        <v>31</v>
      </c>
      <c r="C42" s="47">
        <f t="shared" si="8"/>
        <v>50000</v>
      </c>
      <c r="D42" s="48">
        <f t="shared" si="0"/>
        <v>41747.33</v>
      </c>
      <c r="E42" s="68">
        <f>ROUND(F42*$B$2*B42/365,2)</f>
        <v>8252.67</v>
      </c>
      <c r="F42" s="47">
        <f t="shared" si="5"/>
        <v>647790.3899999999</v>
      </c>
      <c r="G42" s="47">
        <f t="shared" si="6"/>
        <v>606043.05999999994</v>
      </c>
    </row>
    <row r="43" spans="1:7" x14ac:dyDescent="0.25">
      <c r="A43" s="70">
        <v>42343</v>
      </c>
      <c r="B43" s="84">
        <f t="shared" si="2"/>
        <v>30</v>
      </c>
      <c r="C43" s="47">
        <f t="shared" si="8"/>
        <v>50000</v>
      </c>
      <c r="D43" s="48">
        <f t="shared" si="0"/>
        <v>42528.24</v>
      </c>
      <c r="E43" s="68">
        <f t="shared" ref="E43:E61" si="9">ROUND(F43*$B$2*B43/365,2)</f>
        <v>7471.76</v>
      </c>
      <c r="F43" s="47">
        <f t="shared" si="5"/>
        <v>606043.05999999994</v>
      </c>
      <c r="G43" s="47">
        <f t="shared" si="6"/>
        <v>563514.81999999995</v>
      </c>
    </row>
    <row r="44" spans="1:7" x14ac:dyDescent="0.25">
      <c r="A44" s="70">
        <v>42374</v>
      </c>
      <c r="B44" s="84">
        <f t="shared" si="2"/>
        <v>31</v>
      </c>
      <c r="C44" s="47">
        <f t="shared" si="8"/>
        <v>50000</v>
      </c>
      <c r="D44" s="48">
        <f t="shared" si="0"/>
        <v>42820.979999999996</v>
      </c>
      <c r="E44" s="68">
        <f t="shared" si="9"/>
        <v>7179.02</v>
      </c>
      <c r="F44" s="47">
        <f t="shared" si="5"/>
        <v>563514.81999999995</v>
      </c>
      <c r="G44" s="47">
        <f t="shared" si="6"/>
        <v>520693.83999999997</v>
      </c>
    </row>
    <row r="45" spans="1:7" x14ac:dyDescent="0.25">
      <c r="A45" s="70">
        <v>42405</v>
      </c>
      <c r="B45" s="84">
        <f t="shared" si="2"/>
        <v>31</v>
      </c>
      <c r="C45" s="47">
        <f t="shared" si="8"/>
        <v>50000</v>
      </c>
      <c r="D45" s="48">
        <f t="shared" si="0"/>
        <v>43366.5</v>
      </c>
      <c r="E45" s="68">
        <f t="shared" si="9"/>
        <v>6633.5</v>
      </c>
      <c r="F45" s="47">
        <f t="shared" si="5"/>
        <v>520693.83999999997</v>
      </c>
      <c r="G45" s="47">
        <f t="shared" si="6"/>
        <v>477327.33999999997</v>
      </c>
    </row>
    <row r="46" spans="1:7" x14ac:dyDescent="0.25">
      <c r="A46" s="70">
        <v>42434</v>
      </c>
      <c r="B46" s="84">
        <f t="shared" si="2"/>
        <v>29</v>
      </c>
      <c r="C46" s="47">
        <f t="shared" si="8"/>
        <v>50000</v>
      </c>
      <c r="D46" s="48">
        <f t="shared" si="0"/>
        <v>44311.3</v>
      </c>
      <c r="E46" s="68">
        <f t="shared" si="9"/>
        <v>5688.7</v>
      </c>
      <c r="F46" s="47">
        <f t="shared" si="5"/>
        <v>477327.33999999997</v>
      </c>
      <c r="G46" s="47">
        <f t="shared" si="6"/>
        <v>433016.04</v>
      </c>
    </row>
    <row r="47" spans="1:7" x14ac:dyDescent="0.25">
      <c r="A47" s="70">
        <v>42465</v>
      </c>
      <c r="B47" s="84">
        <f t="shared" si="2"/>
        <v>31</v>
      </c>
      <c r="C47" s="47">
        <f t="shared" si="8"/>
        <v>50000</v>
      </c>
      <c r="D47" s="48">
        <f t="shared" si="0"/>
        <v>44483.49</v>
      </c>
      <c r="E47" s="68">
        <f t="shared" si="9"/>
        <v>5516.51</v>
      </c>
      <c r="F47" s="47">
        <f t="shared" si="5"/>
        <v>433016.04</v>
      </c>
      <c r="G47" s="47">
        <f t="shared" si="6"/>
        <v>388532.55</v>
      </c>
    </row>
    <row r="48" spans="1:7" x14ac:dyDescent="0.25">
      <c r="A48" s="70">
        <v>42495</v>
      </c>
      <c r="B48" s="84">
        <f t="shared" si="2"/>
        <v>30</v>
      </c>
      <c r="C48" s="47">
        <f t="shared" si="8"/>
        <v>50000</v>
      </c>
      <c r="D48" s="48">
        <f t="shared" si="0"/>
        <v>45209.87</v>
      </c>
      <c r="E48" s="68">
        <f t="shared" si="9"/>
        <v>4790.13</v>
      </c>
      <c r="F48" s="47">
        <f t="shared" si="5"/>
        <v>388532.55</v>
      </c>
      <c r="G48" s="47">
        <f t="shared" si="6"/>
        <v>343322.68</v>
      </c>
    </row>
    <row r="49" spans="1:7" x14ac:dyDescent="0.25">
      <c r="A49" s="70">
        <v>42526</v>
      </c>
      <c r="B49" s="84">
        <f t="shared" si="2"/>
        <v>31</v>
      </c>
      <c r="C49" s="47">
        <f t="shared" si="8"/>
        <v>50000</v>
      </c>
      <c r="D49" s="48">
        <f t="shared" si="0"/>
        <v>45626.16</v>
      </c>
      <c r="E49" s="68">
        <f t="shared" si="9"/>
        <v>4373.84</v>
      </c>
      <c r="F49" s="47">
        <f t="shared" si="5"/>
        <v>343322.68</v>
      </c>
      <c r="G49" s="47">
        <f t="shared" si="6"/>
        <v>297696.52</v>
      </c>
    </row>
    <row r="50" spans="1:7" x14ac:dyDescent="0.25">
      <c r="A50" s="70">
        <v>42556</v>
      </c>
      <c r="B50" s="84">
        <f t="shared" si="2"/>
        <v>30</v>
      </c>
      <c r="C50" s="47">
        <f t="shared" si="8"/>
        <v>50000</v>
      </c>
      <c r="D50" s="48">
        <f t="shared" si="0"/>
        <v>46329.77</v>
      </c>
      <c r="E50" s="68">
        <f t="shared" si="9"/>
        <v>3670.23</v>
      </c>
      <c r="F50" s="47">
        <f t="shared" si="5"/>
        <v>297696.52</v>
      </c>
      <c r="G50" s="47">
        <f t="shared" si="6"/>
        <v>251366.75000000003</v>
      </c>
    </row>
    <row r="51" spans="1:7" x14ac:dyDescent="0.25">
      <c r="A51" s="70">
        <v>42587</v>
      </c>
      <c r="B51" s="84">
        <f t="shared" si="2"/>
        <v>31</v>
      </c>
      <c r="C51" s="47">
        <f t="shared" si="8"/>
        <v>50000</v>
      </c>
      <c r="D51" s="48">
        <f t="shared" si="0"/>
        <v>46797.66</v>
      </c>
      <c r="E51" s="68">
        <f t="shared" si="9"/>
        <v>3202.34</v>
      </c>
      <c r="F51" s="47">
        <f t="shared" si="5"/>
        <v>251366.75000000003</v>
      </c>
      <c r="G51" s="47">
        <f t="shared" si="6"/>
        <v>204569.09000000003</v>
      </c>
    </row>
    <row r="52" spans="1:7" x14ac:dyDescent="0.25">
      <c r="A52" s="70">
        <v>42618</v>
      </c>
      <c r="B52" s="84">
        <f t="shared" si="2"/>
        <v>31</v>
      </c>
      <c r="C52" s="47">
        <f t="shared" si="8"/>
        <v>50000</v>
      </c>
      <c r="D52" s="48">
        <f t="shared" si="0"/>
        <v>47393.85</v>
      </c>
      <c r="E52" s="68">
        <f t="shared" si="9"/>
        <v>2606.15</v>
      </c>
      <c r="F52" s="47">
        <f t="shared" si="5"/>
        <v>204569.09000000003</v>
      </c>
      <c r="G52" s="47">
        <f t="shared" si="6"/>
        <v>157175.24000000002</v>
      </c>
    </row>
    <row r="53" spans="1:7" x14ac:dyDescent="0.25">
      <c r="A53" s="70">
        <v>42648</v>
      </c>
      <c r="B53" s="84">
        <f t="shared" si="2"/>
        <v>30</v>
      </c>
      <c r="C53" s="47">
        <f>$J$2</f>
        <v>20000</v>
      </c>
      <c r="D53" s="48">
        <f t="shared" si="0"/>
        <v>18062.22</v>
      </c>
      <c r="E53" s="68">
        <f t="shared" si="9"/>
        <v>1937.78</v>
      </c>
      <c r="F53" s="47">
        <f t="shared" si="5"/>
        <v>157175.24000000002</v>
      </c>
      <c r="G53" s="47">
        <f t="shared" si="6"/>
        <v>139113.02000000002</v>
      </c>
    </row>
    <row r="54" spans="1:7" x14ac:dyDescent="0.25">
      <c r="A54" s="70">
        <v>42679</v>
      </c>
      <c r="B54" s="84">
        <f t="shared" si="2"/>
        <v>31</v>
      </c>
      <c r="C54" s="47">
        <f t="shared" ref="C54:C60" si="10">$J$2</f>
        <v>20000</v>
      </c>
      <c r="D54" s="48">
        <f t="shared" si="0"/>
        <v>18227.740000000002</v>
      </c>
      <c r="E54" s="68">
        <f t="shared" si="9"/>
        <v>1772.26</v>
      </c>
      <c r="F54" s="47">
        <f t="shared" si="5"/>
        <v>139113.02000000002</v>
      </c>
      <c r="G54" s="47">
        <f t="shared" si="6"/>
        <v>120885.28000000001</v>
      </c>
    </row>
    <row r="55" spans="1:7" x14ac:dyDescent="0.25">
      <c r="A55" s="70">
        <v>42709</v>
      </c>
      <c r="B55" s="84">
        <f t="shared" si="2"/>
        <v>30</v>
      </c>
      <c r="C55" s="47">
        <f t="shared" si="10"/>
        <v>20000</v>
      </c>
      <c r="D55" s="48">
        <f t="shared" si="0"/>
        <v>18509.63</v>
      </c>
      <c r="E55" s="68">
        <f t="shared" si="9"/>
        <v>1490.37</v>
      </c>
      <c r="F55" s="47">
        <f t="shared" si="5"/>
        <v>120885.28000000001</v>
      </c>
      <c r="G55" s="47">
        <f t="shared" si="6"/>
        <v>102375.65000000001</v>
      </c>
    </row>
    <row r="56" spans="1:7" x14ac:dyDescent="0.25">
      <c r="A56" s="70">
        <v>42740</v>
      </c>
      <c r="B56" s="84">
        <f t="shared" si="2"/>
        <v>31</v>
      </c>
      <c r="C56" s="47">
        <f t="shared" si="10"/>
        <v>20000</v>
      </c>
      <c r="D56" s="48">
        <f t="shared" si="0"/>
        <v>18695.759999999998</v>
      </c>
      <c r="E56" s="68">
        <f t="shared" si="9"/>
        <v>1304.24</v>
      </c>
      <c r="F56" s="47">
        <f t="shared" si="5"/>
        <v>102375.65000000001</v>
      </c>
      <c r="G56" s="47">
        <f t="shared" si="6"/>
        <v>83679.890000000014</v>
      </c>
    </row>
    <row r="57" spans="1:7" x14ac:dyDescent="0.25">
      <c r="A57" s="70">
        <v>42771</v>
      </c>
      <c r="B57" s="84">
        <f t="shared" si="2"/>
        <v>31</v>
      </c>
      <c r="C57" s="47">
        <f t="shared" si="10"/>
        <v>20000</v>
      </c>
      <c r="D57" s="48">
        <f t="shared" si="0"/>
        <v>18933.939999999999</v>
      </c>
      <c r="E57" s="68">
        <f t="shared" si="9"/>
        <v>1066.06</v>
      </c>
      <c r="F57" s="47">
        <f t="shared" si="5"/>
        <v>83679.890000000014</v>
      </c>
      <c r="G57" s="47">
        <f t="shared" si="6"/>
        <v>64745.950000000012</v>
      </c>
    </row>
    <row r="58" spans="1:7" x14ac:dyDescent="0.25">
      <c r="A58" s="70">
        <v>42799</v>
      </c>
      <c r="B58" s="84">
        <f t="shared" si="2"/>
        <v>28</v>
      </c>
      <c r="C58" s="47">
        <f t="shared" si="10"/>
        <v>20000</v>
      </c>
      <c r="D58" s="48">
        <f t="shared" si="0"/>
        <v>19254.98</v>
      </c>
      <c r="E58" s="68">
        <f t="shared" si="9"/>
        <v>745.02</v>
      </c>
      <c r="F58" s="47">
        <f t="shared" si="5"/>
        <v>64745.950000000012</v>
      </c>
      <c r="G58" s="47">
        <f t="shared" si="6"/>
        <v>45490.970000000016</v>
      </c>
    </row>
    <row r="59" spans="1:7" x14ac:dyDescent="0.25">
      <c r="A59" s="70">
        <v>42830</v>
      </c>
      <c r="B59" s="84">
        <f t="shared" si="2"/>
        <v>31</v>
      </c>
      <c r="C59" s="47">
        <f t="shared" si="10"/>
        <v>20000</v>
      </c>
      <c r="D59" s="48">
        <f t="shared" si="0"/>
        <v>19420.46</v>
      </c>
      <c r="E59" s="68">
        <f t="shared" si="9"/>
        <v>579.54</v>
      </c>
      <c r="F59" s="47">
        <f t="shared" si="5"/>
        <v>45490.970000000016</v>
      </c>
      <c r="G59" s="47">
        <f t="shared" si="6"/>
        <v>26070.510000000017</v>
      </c>
    </row>
    <row r="60" spans="1:7" x14ac:dyDescent="0.25">
      <c r="A60" s="70">
        <v>42860</v>
      </c>
      <c r="B60" s="84">
        <f t="shared" si="2"/>
        <v>30</v>
      </c>
      <c r="C60" s="47">
        <f t="shared" si="10"/>
        <v>20000</v>
      </c>
      <c r="D60" s="48">
        <f t="shared" si="0"/>
        <v>19678.580000000002</v>
      </c>
      <c r="E60" s="68">
        <f t="shared" si="9"/>
        <v>321.42</v>
      </c>
      <c r="F60" s="47">
        <f t="shared" si="5"/>
        <v>26070.510000000017</v>
      </c>
      <c r="G60" s="47">
        <f t="shared" si="6"/>
        <v>6391.9300000000148</v>
      </c>
    </row>
    <row r="61" spans="1:7" x14ac:dyDescent="0.25">
      <c r="A61" s="70">
        <v>42891</v>
      </c>
      <c r="B61" s="84">
        <f t="shared" si="2"/>
        <v>31</v>
      </c>
      <c r="C61" s="47">
        <f>ROUND(G60+E61,2)</f>
        <v>6473.36</v>
      </c>
      <c r="D61" s="48">
        <f t="shared" si="0"/>
        <v>6391.9299999999994</v>
      </c>
      <c r="E61" s="68">
        <f t="shared" si="9"/>
        <v>81.430000000000007</v>
      </c>
      <c r="F61" s="47">
        <f t="shared" si="5"/>
        <v>6391.9300000000148</v>
      </c>
      <c r="G61" s="47">
        <f t="shared" si="6"/>
        <v>1.546140993013978E-11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A4D556-FC05-4FF7-9990-E61E04D3A589}">
  <dimension ref="A1:J61"/>
  <sheetViews>
    <sheetView zoomScale="85" zoomScaleNormal="85" workbookViewId="0">
      <pane ySplit="3" topLeftCell="A32" activePane="bottomLeft" state="frozen"/>
      <selection activeCell="C40" sqref="C40"/>
      <selection pane="bottomLeft" activeCell="C40" sqref="C40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9.7109375" bestFit="1" customWidth="1"/>
    <col min="11" max="11" width="15.5703125" bestFit="1" customWidth="1"/>
    <col min="12" max="12" width="9.7109375" bestFit="1" customWidth="1"/>
  </cols>
  <sheetData>
    <row r="1" spans="1:10" x14ac:dyDescent="0.25">
      <c r="A1" s="17" t="s">
        <v>33</v>
      </c>
      <c r="B1" s="78">
        <v>41856</v>
      </c>
      <c r="C1" s="17" t="s">
        <v>37</v>
      </c>
      <c r="D1" s="79">
        <f>ROUNDUP(34665.5343079289,0)</f>
        <v>34666</v>
      </c>
      <c r="E1" s="73" t="s">
        <v>150</v>
      </c>
      <c r="F1" s="79">
        <f>ROUNDUP(50000,2)</f>
        <v>50000</v>
      </c>
      <c r="G1" s="69" t="s">
        <v>147</v>
      </c>
      <c r="H1" s="86">
        <v>42252</v>
      </c>
      <c r="I1" s="69" t="s">
        <v>148</v>
      </c>
      <c r="J1" s="86">
        <v>42618</v>
      </c>
    </row>
    <row r="2" spans="1:10" x14ac:dyDescent="0.25">
      <c r="A2" s="75" t="s">
        <v>34</v>
      </c>
      <c r="B2" s="76">
        <v>0.15</v>
      </c>
      <c r="I2" s="69" t="s">
        <v>149</v>
      </c>
      <c r="J2" s="69">
        <v>20000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39" si="2">DAYS360(A5,A6,TRUE)</f>
        <v>30</v>
      </c>
      <c r="C6" s="47">
        <f t="shared" ref="C6:C39" si="3">$D$1</f>
        <v>34666</v>
      </c>
      <c r="D6" s="48">
        <f t="shared" si="0"/>
        <v>22723.61</v>
      </c>
      <c r="E6" s="68">
        <f t="shared" ref="E6:E38" si="4">ROUND(F6*$B$2*B6/360,2)</f>
        <v>11942.39</v>
      </c>
      <c r="F6" s="47">
        <f t="shared" ref="F6:F39" si="5">G5</f>
        <v>955390.93</v>
      </c>
      <c r="G6" s="47">
        <f t="shared" ref="G6:G40" si="6">F6-D6</f>
        <v>932667.32000000007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34666</v>
      </c>
      <c r="D7" s="48">
        <f t="shared" si="0"/>
        <v>23007.66</v>
      </c>
      <c r="E7" s="68">
        <f t="shared" si="4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2"/>
        <v>30</v>
      </c>
      <c r="C8" s="47">
        <f t="shared" si="3"/>
        <v>34666</v>
      </c>
      <c r="D8" s="48">
        <f t="shared" si="0"/>
        <v>23295.25</v>
      </c>
      <c r="E8" s="68">
        <f t="shared" si="4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2"/>
        <v>30</v>
      </c>
      <c r="C9" s="47">
        <f t="shared" si="3"/>
        <v>34666</v>
      </c>
      <c r="D9" s="48">
        <f t="shared" si="0"/>
        <v>23586.440000000002</v>
      </c>
      <c r="E9" s="68">
        <f t="shared" si="4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2"/>
        <v>30</v>
      </c>
      <c r="C10" s="47">
        <f t="shared" si="3"/>
        <v>34666</v>
      </c>
      <c r="D10" s="48">
        <f t="shared" si="0"/>
        <v>23881.279999999999</v>
      </c>
      <c r="E10" s="68">
        <f t="shared" si="4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2"/>
        <v>30</v>
      </c>
      <c r="C11" s="47">
        <f t="shared" si="3"/>
        <v>34666</v>
      </c>
      <c r="D11" s="48">
        <f t="shared" si="0"/>
        <v>24179.79</v>
      </c>
      <c r="E11" s="68">
        <f t="shared" si="4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34666</v>
      </c>
      <c r="D12" s="48">
        <f t="shared" si="0"/>
        <v>24482.04</v>
      </c>
      <c r="E12" s="68">
        <f t="shared" si="4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2"/>
        <v>30</v>
      </c>
      <c r="C13" s="47">
        <f t="shared" si="3"/>
        <v>34666</v>
      </c>
      <c r="D13" s="48">
        <f t="shared" si="0"/>
        <v>24788.059999999998</v>
      </c>
      <c r="E13" s="68">
        <f t="shared" si="4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34666</v>
      </c>
      <c r="D14" s="48">
        <f t="shared" si="0"/>
        <v>25097.91</v>
      </c>
      <c r="E14" s="68">
        <f t="shared" si="4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2"/>
        <v>30</v>
      </c>
      <c r="C15" s="47">
        <f t="shared" si="3"/>
        <v>34666</v>
      </c>
      <c r="D15" s="48">
        <f t="shared" si="0"/>
        <v>25411.64</v>
      </c>
      <c r="E15" s="68">
        <f t="shared" si="4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2"/>
        <v>30</v>
      </c>
      <c r="C16" s="47">
        <f t="shared" si="3"/>
        <v>34666</v>
      </c>
      <c r="D16" s="48">
        <f t="shared" si="0"/>
        <v>25729.279999999999</v>
      </c>
      <c r="E16" s="68">
        <f t="shared" si="4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34666</v>
      </c>
      <c r="D17" s="48">
        <f t="shared" si="0"/>
        <v>26050.9</v>
      </c>
      <c r="E17" s="68">
        <f t="shared" si="4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2"/>
        <v>30</v>
      </c>
      <c r="C18" s="47">
        <f t="shared" si="3"/>
        <v>34666</v>
      </c>
      <c r="D18" s="48">
        <f t="shared" si="0"/>
        <v>26376.54</v>
      </c>
      <c r="E18" s="68">
        <f t="shared" si="4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34666</v>
      </c>
      <c r="D19" s="48">
        <f t="shared" si="0"/>
        <v>26706.239999999998</v>
      </c>
      <c r="E19" s="68">
        <f t="shared" si="4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36">
        <v>42374</v>
      </c>
      <c r="B20" s="46">
        <f t="shared" si="2"/>
        <v>30</v>
      </c>
      <c r="C20" s="47">
        <f t="shared" si="3"/>
        <v>34666</v>
      </c>
      <c r="D20" s="48">
        <f t="shared" si="0"/>
        <v>27040.07</v>
      </c>
      <c r="E20" s="68">
        <f t="shared" si="4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36">
        <v>42405</v>
      </c>
      <c r="B21" s="46">
        <f t="shared" si="2"/>
        <v>30</v>
      </c>
      <c r="C21" s="47">
        <f t="shared" si="3"/>
        <v>34666</v>
      </c>
      <c r="D21" s="48">
        <f t="shared" si="0"/>
        <v>27378.07</v>
      </c>
      <c r="E21" s="68">
        <f t="shared" si="4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36">
        <v>42434</v>
      </c>
      <c r="B22" s="46">
        <f t="shared" si="2"/>
        <v>30</v>
      </c>
      <c r="C22" s="47">
        <f t="shared" si="3"/>
        <v>34666</v>
      </c>
      <c r="D22" s="48">
        <f t="shared" si="0"/>
        <v>27720.3</v>
      </c>
      <c r="E22" s="68">
        <f t="shared" si="4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36">
        <v>42465</v>
      </c>
      <c r="B23" s="46">
        <f t="shared" si="2"/>
        <v>30</v>
      </c>
      <c r="C23" s="47">
        <f t="shared" si="3"/>
        <v>34666</v>
      </c>
      <c r="D23" s="48">
        <f t="shared" si="0"/>
        <v>28066.799999999999</v>
      </c>
      <c r="E23" s="68">
        <f t="shared" si="4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34666</v>
      </c>
      <c r="D24" s="48">
        <f t="shared" si="0"/>
        <v>28417.64</v>
      </c>
      <c r="E24" s="68">
        <f t="shared" si="4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36">
        <v>42526</v>
      </c>
      <c r="B25" s="46">
        <f t="shared" si="2"/>
        <v>30</v>
      </c>
      <c r="C25" s="47">
        <f t="shared" si="3"/>
        <v>34666</v>
      </c>
      <c r="D25" s="48">
        <f t="shared" si="0"/>
        <v>28772.86</v>
      </c>
      <c r="E25" s="68">
        <f t="shared" si="4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34666</v>
      </c>
      <c r="D26" s="48">
        <f t="shared" si="0"/>
        <v>29132.52</v>
      </c>
      <c r="E26" s="68">
        <f t="shared" si="4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36">
        <v>42587</v>
      </c>
      <c r="B27" s="46">
        <f t="shared" si="2"/>
        <v>30</v>
      </c>
      <c r="C27" s="47">
        <f t="shared" si="3"/>
        <v>34666</v>
      </c>
      <c r="D27" s="48">
        <f t="shared" si="0"/>
        <v>29496.67</v>
      </c>
      <c r="E27" s="68">
        <f t="shared" si="4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36">
        <v>42618</v>
      </c>
      <c r="B28" s="46">
        <f t="shared" si="2"/>
        <v>30</v>
      </c>
      <c r="C28" s="47">
        <f t="shared" si="3"/>
        <v>34666</v>
      </c>
      <c r="D28" s="48">
        <f t="shared" si="0"/>
        <v>29865.38</v>
      </c>
      <c r="E28" s="68">
        <f t="shared" si="4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34666</v>
      </c>
      <c r="D29" s="48">
        <f t="shared" si="0"/>
        <v>30238.7</v>
      </c>
      <c r="E29" s="68">
        <f t="shared" si="4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36">
        <v>42679</v>
      </c>
      <c r="B30" s="46">
        <f t="shared" si="2"/>
        <v>30</v>
      </c>
      <c r="C30" s="47">
        <f t="shared" si="3"/>
        <v>34666</v>
      </c>
      <c r="D30" s="48">
        <f t="shared" si="0"/>
        <v>30616.68</v>
      </c>
      <c r="E30" s="68">
        <f t="shared" si="4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34666</v>
      </c>
      <c r="D31" s="48">
        <f t="shared" si="0"/>
        <v>30999.39</v>
      </c>
      <c r="E31" s="68">
        <f t="shared" si="4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36">
        <v>42740</v>
      </c>
      <c r="B32" s="46">
        <f t="shared" si="2"/>
        <v>30</v>
      </c>
      <c r="C32" s="47">
        <f t="shared" si="3"/>
        <v>34666</v>
      </c>
      <c r="D32" s="48">
        <f t="shared" si="0"/>
        <v>31386.880000000001</v>
      </c>
      <c r="E32" s="68">
        <f t="shared" si="4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36">
        <v>42771</v>
      </c>
      <c r="B33" s="46">
        <f t="shared" si="2"/>
        <v>30</v>
      </c>
      <c r="C33" s="47">
        <f t="shared" si="3"/>
        <v>34666</v>
      </c>
      <c r="D33" s="48">
        <f t="shared" si="0"/>
        <v>31779.22</v>
      </c>
      <c r="E33" s="68">
        <f t="shared" si="4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36">
        <v>42799</v>
      </c>
      <c r="B34" s="46">
        <f t="shared" si="2"/>
        <v>30</v>
      </c>
      <c r="C34" s="47">
        <f t="shared" si="3"/>
        <v>34666</v>
      </c>
      <c r="D34" s="48">
        <f t="shared" si="0"/>
        <v>32176.46</v>
      </c>
      <c r="E34" s="68">
        <f t="shared" si="4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36">
        <v>42830</v>
      </c>
      <c r="B35" s="46">
        <f t="shared" si="2"/>
        <v>30</v>
      </c>
      <c r="C35" s="47">
        <f t="shared" si="3"/>
        <v>34666</v>
      </c>
      <c r="D35" s="48">
        <f t="shared" si="0"/>
        <v>32578.67</v>
      </c>
      <c r="E35" s="68">
        <f t="shared" si="4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34666</v>
      </c>
      <c r="D36" s="48">
        <f t="shared" si="0"/>
        <v>32985.9</v>
      </c>
      <c r="E36" s="68">
        <f t="shared" si="4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36">
        <v>42891</v>
      </c>
      <c r="B37" s="46">
        <f t="shared" si="2"/>
        <v>30</v>
      </c>
      <c r="C37" s="47">
        <f t="shared" si="3"/>
        <v>34666</v>
      </c>
      <c r="D37" s="48">
        <f t="shared" si="0"/>
        <v>33398.22</v>
      </c>
      <c r="E37" s="68">
        <f t="shared" si="4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34666</v>
      </c>
      <c r="D38" s="48">
        <f t="shared" si="0"/>
        <v>33815.699999999997</v>
      </c>
      <c r="E38" s="68">
        <f t="shared" si="4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36">
        <v>42952</v>
      </c>
      <c r="B39" s="46">
        <f t="shared" si="2"/>
        <v>30</v>
      </c>
      <c r="C39" s="47">
        <f t="shared" si="3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70">
        <v>42252</v>
      </c>
      <c r="B40" s="84">
        <f>DAYS360(A15,A16,TRUE)</f>
        <v>30</v>
      </c>
      <c r="C40" s="47">
        <f>$D$1</f>
        <v>34666</v>
      </c>
      <c r="D40" s="48">
        <f>C16-E16</f>
        <v>25729.279999999999</v>
      </c>
      <c r="E40" s="68">
        <f>ROUND(F16*$B$2*B16/360,2)</f>
        <v>8936.7199999999993</v>
      </c>
      <c r="F40" s="47">
        <f>G15</f>
        <v>714937.24999999977</v>
      </c>
      <c r="G40" s="47">
        <f t="shared" si="6"/>
        <v>689207.96999999974</v>
      </c>
    </row>
    <row r="41" spans="1:7" x14ac:dyDescent="0.25">
      <c r="A41" s="70">
        <v>42282</v>
      </c>
      <c r="B41" s="84">
        <f>DAYS360(A40,A41,TRUE)</f>
        <v>30</v>
      </c>
      <c r="C41" s="47">
        <f t="shared" ref="C41:C52" si="7">$F$1</f>
        <v>50000</v>
      </c>
      <c r="D41" s="48">
        <f t="shared" ref="D41:D61" si="8">C41-E41</f>
        <v>41384.9</v>
      </c>
      <c r="E41" s="68">
        <f>ROUND(F41*$B$2*B41/360,2)</f>
        <v>8615.1</v>
      </c>
      <c r="F41" s="47">
        <f>G16</f>
        <v>689207.96999999974</v>
      </c>
      <c r="G41" s="47">
        <f>F41-D41</f>
        <v>647823.06999999972</v>
      </c>
    </row>
    <row r="42" spans="1:7" x14ac:dyDescent="0.25">
      <c r="A42" s="70">
        <v>42313</v>
      </c>
      <c r="B42" s="84">
        <f t="shared" ref="B42:B61" si="9">DAYS360(A41,A42,TRUE)</f>
        <v>30</v>
      </c>
      <c r="C42" s="47">
        <f t="shared" si="7"/>
        <v>50000</v>
      </c>
      <c r="D42" s="48">
        <f t="shared" si="8"/>
        <v>41902.21</v>
      </c>
      <c r="E42" s="68">
        <f t="shared" ref="E42:E61" si="10">ROUND(F42*$B$2*B42/360,2)</f>
        <v>8097.79</v>
      </c>
      <c r="F42" s="47">
        <f t="shared" ref="F42:F61" si="11">G41</f>
        <v>647823.06999999972</v>
      </c>
      <c r="G42" s="47">
        <f t="shared" ref="G42:G61" si="12">F42-D42</f>
        <v>605920.85999999975</v>
      </c>
    </row>
    <row r="43" spans="1:7" x14ac:dyDescent="0.25">
      <c r="A43" s="70">
        <v>42343</v>
      </c>
      <c r="B43" s="84">
        <f t="shared" si="9"/>
        <v>30</v>
      </c>
      <c r="C43" s="47">
        <f t="shared" si="7"/>
        <v>50000</v>
      </c>
      <c r="D43" s="48">
        <f t="shared" si="8"/>
        <v>42425.99</v>
      </c>
      <c r="E43" s="68">
        <f t="shared" si="10"/>
        <v>7574.01</v>
      </c>
      <c r="F43" s="47">
        <f t="shared" si="11"/>
        <v>605920.85999999975</v>
      </c>
      <c r="G43" s="47">
        <f t="shared" si="12"/>
        <v>563494.86999999976</v>
      </c>
    </row>
    <row r="44" spans="1:7" x14ac:dyDescent="0.25">
      <c r="A44" s="70">
        <v>42374</v>
      </c>
      <c r="B44" s="84">
        <f t="shared" si="9"/>
        <v>30</v>
      </c>
      <c r="C44" s="47">
        <f t="shared" si="7"/>
        <v>50000</v>
      </c>
      <c r="D44" s="48">
        <f t="shared" si="8"/>
        <v>42956.31</v>
      </c>
      <c r="E44" s="68">
        <f t="shared" si="10"/>
        <v>7043.69</v>
      </c>
      <c r="F44" s="47">
        <f t="shared" si="11"/>
        <v>563494.86999999976</v>
      </c>
      <c r="G44" s="47">
        <f t="shared" si="12"/>
        <v>520538.55999999976</v>
      </c>
    </row>
    <row r="45" spans="1:7" x14ac:dyDescent="0.25">
      <c r="A45" s="70">
        <v>42405</v>
      </c>
      <c r="B45" s="84">
        <f t="shared" si="9"/>
        <v>30</v>
      </c>
      <c r="C45" s="47">
        <f t="shared" si="7"/>
        <v>50000</v>
      </c>
      <c r="D45" s="48">
        <f t="shared" si="8"/>
        <v>43493.270000000004</v>
      </c>
      <c r="E45" s="68">
        <f t="shared" si="10"/>
        <v>6506.73</v>
      </c>
      <c r="F45" s="47">
        <f t="shared" si="11"/>
        <v>520538.55999999976</v>
      </c>
      <c r="G45" s="47">
        <f t="shared" si="12"/>
        <v>477045.28999999975</v>
      </c>
    </row>
    <row r="46" spans="1:7" x14ac:dyDescent="0.25">
      <c r="A46" s="70">
        <v>42434</v>
      </c>
      <c r="B46" s="84">
        <f t="shared" si="9"/>
        <v>30</v>
      </c>
      <c r="C46" s="47">
        <f t="shared" si="7"/>
        <v>50000</v>
      </c>
      <c r="D46" s="48">
        <f t="shared" si="8"/>
        <v>44036.93</v>
      </c>
      <c r="E46" s="68">
        <f t="shared" si="10"/>
        <v>5963.07</v>
      </c>
      <c r="F46" s="47">
        <f t="shared" si="11"/>
        <v>477045.28999999975</v>
      </c>
      <c r="G46" s="47">
        <f t="shared" si="12"/>
        <v>433008.35999999975</v>
      </c>
    </row>
    <row r="47" spans="1:7" x14ac:dyDescent="0.25">
      <c r="A47" s="70">
        <v>42465</v>
      </c>
      <c r="B47" s="84">
        <f t="shared" si="9"/>
        <v>30</v>
      </c>
      <c r="C47" s="47">
        <f t="shared" si="7"/>
        <v>50000</v>
      </c>
      <c r="D47" s="48">
        <f t="shared" si="8"/>
        <v>44587.4</v>
      </c>
      <c r="E47" s="68">
        <f t="shared" si="10"/>
        <v>5412.6</v>
      </c>
      <c r="F47" s="47">
        <f t="shared" si="11"/>
        <v>433008.35999999975</v>
      </c>
      <c r="G47" s="47">
        <f t="shared" si="12"/>
        <v>388420.95999999973</v>
      </c>
    </row>
    <row r="48" spans="1:7" x14ac:dyDescent="0.25">
      <c r="A48" s="70">
        <v>42495</v>
      </c>
      <c r="B48" s="84">
        <f t="shared" si="9"/>
        <v>30</v>
      </c>
      <c r="C48" s="47">
        <f t="shared" si="7"/>
        <v>50000</v>
      </c>
      <c r="D48" s="48">
        <f t="shared" si="8"/>
        <v>45144.74</v>
      </c>
      <c r="E48" s="68">
        <f t="shared" si="10"/>
        <v>4855.26</v>
      </c>
      <c r="F48" s="47">
        <f t="shared" si="11"/>
        <v>388420.95999999973</v>
      </c>
      <c r="G48" s="47">
        <f t="shared" si="12"/>
        <v>343276.21999999974</v>
      </c>
    </row>
    <row r="49" spans="1:7" x14ac:dyDescent="0.25">
      <c r="A49" s="70">
        <v>42526</v>
      </c>
      <c r="B49" s="84">
        <f t="shared" si="9"/>
        <v>30</v>
      </c>
      <c r="C49" s="47">
        <f t="shared" si="7"/>
        <v>50000</v>
      </c>
      <c r="D49" s="48">
        <f t="shared" si="8"/>
        <v>45709.05</v>
      </c>
      <c r="E49" s="68">
        <f t="shared" si="10"/>
        <v>4290.95</v>
      </c>
      <c r="F49" s="47">
        <f t="shared" si="11"/>
        <v>343276.21999999974</v>
      </c>
      <c r="G49" s="47">
        <f t="shared" si="12"/>
        <v>297567.16999999975</v>
      </c>
    </row>
    <row r="50" spans="1:7" x14ac:dyDescent="0.25">
      <c r="A50" s="70">
        <v>42556</v>
      </c>
      <c r="B50" s="84">
        <f t="shared" si="9"/>
        <v>30</v>
      </c>
      <c r="C50" s="47">
        <f t="shared" si="7"/>
        <v>50000</v>
      </c>
      <c r="D50" s="48">
        <f t="shared" si="8"/>
        <v>46280.41</v>
      </c>
      <c r="E50" s="68">
        <f t="shared" si="10"/>
        <v>3719.59</v>
      </c>
      <c r="F50" s="47">
        <f t="shared" si="11"/>
        <v>297567.16999999975</v>
      </c>
      <c r="G50" s="47">
        <f t="shared" si="12"/>
        <v>251286.75999999975</v>
      </c>
    </row>
    <row r="51" spans="1:7" x14ac:dyDescent="0.25">
      <c r="A51" s="70">
        <v>42587</v>
      </c>
      <c r="B51" s="84">
        <f t="shared" si="9"/>
        <v>30</v>
      </c>
      <c r="C51" s="47">
        <f t="shared" si="7"/>
        <v>50000</v>
      </c>
      <c r="D51" s="48">
        <f t="shared" si="8"/>
        <v>46858.92</v>
      </c>
      <c r="E51" s="68">
        <f t="shared" si="10"/>
        <v>3141.08</v>
      </c>
      <c r="F51" s="47">
        <f t="shared" si="11"/>
        <v>251286.75999999975</v>
      </c>
      <c r="G51" s="47">
        <f t="shared" si="12"/>
        <v>204427.83999999973</v>
      </c>
    </row>
    <row r="52" spans="1:7" x14ac:dyDescent="0.25">
      <c r="A52" s="70">
        <v>42618</v>
      </c>
      <c r="B52" s="84">
        <f t="shared" si="9"/>
        <v>30</v>
      </c>
      <c r="C52" s="47">
        <f t="shared" si="7"/>
        <v>50000</v>
      </c>
      <c r="D52" s="48">
        <f t="shared" si="8"/>
        <v>47444.65</v>
      </c>
      <c r="E52" s="68">
        <f t="shared" si="10"/>
        <v>2555.35</v>
      </c>
      <c r="F52" s="47">
        <f t="shared" si="11"/>
        <v>204427.83999999973</v>
      </c>
      <c r="G52" s="47">
        <f t="shared" si="12"/>
        <v>156983.18999999974</v>
      </c>
    </row>
    <row r="53" spans="1:7" x14ac:dyDescent="0.25">
      <c r="A53" s="70">
        <v>42648</v>
      </c>
      <c r="B53" s="84">
        <f t="shared" si="9"/>
        <v>30</v>
      </c>
      <c r="C53" s="47">
        <f>$J$2</f>
        <v>20000</v>
      </c>
      <c r="D53" s="48">
        <f t="shared" si="8"/>
        <v>18037.71</v>
      </c>
      <c r="E53" s="68">
        <f t="shared" si="10"/>
        <v>1962.29</v>
      </c>
      <c r="F53" s="47">
        <f t="shared" si="11"/>
        <v>156983.18999999974</v>
      </c>
      <c r="G53" s="47">
        <f t="shared" si="12"/>
        <v>138945.47999999975</v>
      </c>
    </row>
    <row r="54" spans="1:7" x14ac:dyDescent="0.25">
      <c r="A54" s="70">
        <v>42679</v>
      </c>
      <c r="B54" s="84">
        <f t="shared" si="9"/>
        <v>30</v>
      </c>
      <c r="C54" s="47">
        <f t="shared" ref="C54:C60" si="13">$J$2</f>
        <v>20000</v>
      </c>
      <c r="D54" s="48">
        <f t="shared" si="8"/>
        <v>18263.18</v>
      </c>
      <c r="E54" s="68">
        <f t="shared" si="10"/>
        <v>1736.82</v>
      </c>
      <c r="F54" s="47">
        <f t="shared" si="11"/>
        <v>138945.47999999975</v>
      </c>
      <c r="G54" s="47">
        <f t="shared" si="12"/>
        <v>120682.29999999976</v>
      </c>
    </row>
    <row r="55" spans="1:7" x14ac:dyDescent="0.25">
      <c r="A55" s="70">
        <v>42709</v>
      </c>
      <c r="B55" s="84">
        <f t="shared" si="9"/>
        <v>30</v>
      </c>
      <c r="C55" s="47">
        <f t="shared" si="13"/>
        <v>20000</v>
      </c>
      <c r="D55" s="48">
        <f t="shared" si="8"/>
        <v>18491.47</v>
      </c>
      <c r="E55" s="68">
        <f t="shared" si="10"/>
        <v>1508.53</v>
      </c>
      <c r="F55" s="47">
        <f t="shared" si="11"/>
        <v>120682.29999999976</v>
      </c>
      <c r="G55" s="47">
        <f t="shared" si="12"/>
        <v>102190.82999999975</v>
      </c>
    </row>
    <row r="56" spans="1:7" x14ac:dyDescent="0.25">
      <c r="A56" s="70">
        <v>42740</v>
      </c>
      <c r="B56" s="84">
        <f t="shared" si="9"/>
        <v>30</v>
      </c>
      <c r="C56" s="47">
        <f t="shared" si="13"/>
        <v>20000</v>
      </c>
      <c r="D56" s="48">
        <f t="shared" si="8"/>
        <v>18722.61</v>
      </c>
      <c r="E56" s="68">
        <f t="shared" si="10"/>
        <v>1277.3900000000001</v>
      </c>
      <c r="F56" s="47">
        <f t="shared" si="11"/>
        <v>102190.82999999975</v>
      </c>
      <c r="G56" s="47">
        <f t="shared" si="12"/>
        <v>83468.219999999754</v>
      </c>
    </row>
    <row r="57" spans="1:7" x14ac:dyDescent="0.25">
      <c r="A57" s="70">
        <v>42771</v>
      </c>
      <c r="B57" s="84">
        <f t="shared" si="9"/>
        <v>30</v>
      </c>
      <c r="C57" s="47">
        <f t="shared" si="13"/>
        <v>20000</v>
      </c>
      <c r="D57" s="48">
        <f t="shared" si="8"/>
        <v>18956.650000000001</v>
      </c>
      <c r="E57" s="68">
        <f t="shared" si="10"/>
        <v>1043.3499999999999</v>
      </c>
      <c r="F57" s="47">
        <f t="shared" si="11"/>
        <v>83468.219999999754</v>
      </c>
      <c r="G57" s="47">
        <f t="shared" si="12"/>
        <v>64511.569999999752</v>
      </c>
    </row>
    <row r="58" spans="1:7" x14ac:dyDescent="0.25">
      <c r="A58" s="70">
        <v>42799</v>
      </c>
      <c r="B58" s="84">
        <f t="shared" si="9"/>
        <v>30</v>
      </c>
      <c r="C58" s="47">
        <f t="shared" si="13"/>
        <v>20000</v>
      </c>
      <c r="D58" s="48">
        <f t="shared" si="8"/>
        <v>19193.61</v>
      </c>
      <c r="E58" s="68">
        <f t="shared" si="10"/>
        <v>806.39</v>
      </c>
      <c r="F58" s="47">
        <f t="shared" si="11"/>
        <v>64511.569999999752</v>
      </c>
      <c r="G58" s="47">
        <f t="shared" si="12"/>
        <v>45317.959999999752</v>
      </c>
    </row>
    <row r="59" spans="1:7" x14ac:dyDescent="0.25">
      <c r="A59" s="70">
        <v>42830</v>
      </c>
      <c r="B59" s="84">
        <f t="shared" si="9"/>
        <v>30</v>
      </c>
      <c r="C59" s="47">
        <f t="shared" si="13"/>
        <v>20000</v>
      </c>
      <c r="D59" s="48">
        <f t="shared" si="8"/>
        <v>19433.53</v>
      </c>
      <c r="E59" s="68">
        <f t="shared" si="10"/>
        <v>566.47</v>
      </c>
      <c r="F59" s="47">
        <f t="shared" si="11"/>
        <v>45317.959999999752</v>
      </c>
      <c r="G59" s="47">
        <f t="shared" si="12"/>
        <v>25884.429999999753</v>
      </c>
    </row>
    <row r="60" spans="1:7" x14ac:dyDescent="0.25">
      <c r="A60" s="70">
        <v>42860</v>
      </c>
      <c r="B60" s="84">
        <f t="shared" si="9"/>
        <v>30</v>
      </c>
      <c r="C60" s="47">
        <f t="shared" si="13"/>
        <v>20000</v>
      </c>
      <c r="D60" s="48">
        <f t="shared" si="8"/>
        <v>19676.439999999999</v>
      </c>
      <c r="E60" s="68">
        <f t="shared" si="10"/>
        <v>323.56</v>
      </c>
      <c r="F60" s="47">
        <f t="shared" si="11"/>
        <v>25884.429999999753</v>
      </c>
      <c r="G60" s="47">
        <f t="shared" si="12"/>
        <v>6207.9899999997542</v>
      </c>
    </row>
    <row r="61" spans="1:7" x14ac:dyDescent="0.25">
      <c r="A61" s="70">
        <v>42891</v>
      </c>
      <c r="B61" s="84">
        <f t="shared" si="9"/>
        <v>30</v>
      </c>
      <c r="C61" s="47">
        <f>ROUND(E61+F61,2)</f>
        <v>6285.59</v>
      </c>
      <c r="D61" s="48">
        <f t="shared" si="8"/>
        <v>6207.99</v>
      </c>
      <c r="E61" s="68">
        <f t="shared" si="10"/>
        <v>77.599999999999994</v>
      </c>
      <c r="F61" s="47">
        <f t="shared" si="11"/>
        <v>6207.9899999997542</v>
      </c>
      <c r="G61" s="47">
        <f t="shared" si="12"/>
        <v>-2.4556356947869062E-10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6E69F4-BD68-4196-8B68-459457D8A114}">
  <dimension ref="A1:U3"/>
  <sheetViews>
    <sheetView workbookViewId="0">
      <selection activeCell="B24" sqref="B24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1" width="116.285156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103</v>
      </c>
      <c r="P2" s="20" t="s">
        <v>141</v>
      </c>
      <c r="Q2" s="20" t="s">
        <v>143</v>
      </c>
      <c r="R2" s="20" t="s">
        <v>146</v>
      </c>
      <c r="S2" s="20" t="s">
        <v>141</v>
      </c>
      <c r="T2" s="20" t="s">
        <v>161</v>
      </c>
      <c r="U2" s="50" t="s">
        <v>159</v>
      </c>
    </row>
    <row r="3" spans="1:21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103</v>
      </c>
      <c r="P3" s="20" t="s">
        <v>141</v>
      </c>
      <c r="Q3" s="20" t="s">
        <v>143</v>
      </c>
      <c r="R3" s="20" t="s">
        <v>146</v>
      </c>
      <c r="S3" s="20" t="s">
        <v>141</v>
      </c>
      <c r="T3" s="20" t="s">
        <v>161</v>
      </c>
      <c r="U3" s="50" t="s">
        <v>160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075AF9-3C3B-4F51-B497-34D3220C4449}">
  <dimension ref="A1:J73"/>
  <sheetViews>
    <sheetView zoomScale="80" zoomScaleNormal="80" workbookViewId="0">
      <pane ySplit="3" topLeftCell="A40" activePane="bottomLeft" state="frozen"/>
      <selection activeCell="C40" sqref="C40"/>
      <selection pane="bottomLeft" activeCell="G1" sqref="G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10.5703125" bestFit="1" customWidth="1"/>
    <col min="11" max="11" width="15.5703125" bestFit="1" customWidth="1"/>
    <col min="12" max="12" width="9.7109375" bestFit="1" customWidth="1"/>
  </cols>
  <sheetData>
    <row r="1" spans="1:10" x14ac:dyDescent="0.25">
      <c r="A1" s="17" t="s">
        <v>33</v>
      </c>
      <c r="B1" s="78">
        <v>41856</v>
      </c>
      <c r="C1" s="17" t="s">
        <v>37</v>
      </c>
      <c r="D1" s="79">
        <f>ROUNDUP(34673.5343079289,0)</f>
        <v>34674</v>
      </c>
      <c r="E1" s="73" t="s">
        <v>150</v>
      </c>
      <c r="F1" s="79">
        <f>ROUNDUP(20000,2)</f>
        <v>20000</v>
      </c>
      <c r="G1" s="69" t="s">
        <v>147</v>
      </c>
      <c r="H1" s="86">
        <v>42252</v>
      </c>
      <c r="I1" s="69" t="s">
        <v>148</v>
      </c>
      <c r="J1" s="86">
        <v>42618</v>
      </c>
    </row>
    <row r="2" spans="1:10" x14ac:dyDescent="0.25">
      <c r="A2" s="75" t="s">
        <v>34</v>
      </c>
      <c r="B2" s="76">
        <v>0.15</v>
      </c>
      <c r="I2" s="69" t="s">
        <v>149</v>
      </c>
      <c r="J2" s="69">
        <v>30000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A4-B1</f>
        <v>31</v>
      </c>
      <c r="C4" s="47">
        <f>$D$1</f>
        <v>34674</v>
      </c>
      <c r="D4" s="48">
        <f t="shared" ref="D4:D61" si="0">C4-E4</f>
        <v>21934.27</v>
      </c>
      <c r="E4" s="68">
        <f>ROUND(F4*$B$2*B4/365,2)</f>
        <v>12739.73</v>
      </c>
      <c r="F4" s="47">
        <v>1000000</v>
      </c>
      <c r="G4" s="47">
        <f t="shared" ref="G4" si="1">F4-D4</f>
        <v>978065.73</v>
      </c>
    </row>
    <row r="5" spans="1:10" x14ac:dyDescent="0.25">
      <c r="A5" s="36">
        <v>41917</v>
      </c>
      <c r="B5" s="46">
        <f>A5-A4</f>
        <v>30</v>
      </c>
      <c r="C5" s="47">
        <f>$D$1</f>
        <v>34674</v>
      </c>
      <c r="D5" s="48">
        <f t="shared" si="0"/>
        <v>22615.66</v>
      </c>
      <c r="E5" s="68">
        <f>ROUND(F5*$B$2*B5/365,2)</f>
        <v>12058.34</v>
      </c>
      <c r="F5" s="47">
        <f>G4</f>
        <v>978065.73</v>
      </c>
      <c r="G5" s="47">
        <f>F5-D5</f>
        <v>955450.07</v>
      </c>
    </row>
    <row r="6" spans="1:10" x14ac:dyDescent="0.25">
      <c r="A6" s="36">
        <v>41948</v>
      </c>
      <c r="B6" s="46">
        <f t="shared" ref="B6:B69" si="2">A6-A5</f>
        <v>31</v>
      </c>
      <c r="C6" s="47">
        <f t="shared" ref="C6:C39" si="3">$D$1</f>
        <v>34674</v>
      </c>
      <c r="D6" s="48">
        <f t="shared" si="0"/>
        <v>22501.83</v>
      </c>
      <c r="E6" s="68">
        <f t="shared" ref="E6:E38" si="4">ROUND(F6*$B$2*B6/365,2)</f>
        <v>12172.17</v>
      </c>
      <c r="F6" s="47">
        <f t="shared" ref="F6:F61" si="5">G5</f>
        <v>955450.07</v>
      </c>
      <c r="G6" s="47">
        <f t="shared" ref="G6:G61" si="6">F6-D6</f>
        <v>932948.24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34674</v>
      </c>
      <c r="D7" s="48">
        <f t="shared" si="0"/>
        <v>23171.9</v>
      </c>
      <c r="E7" s="68">
        <f t="shared" si="4"/>
        <v>11502.1</v>
      </c>
      <c r="F7" s="47">
        <f t="shared" si="5"/>
        <v>932948.24</v>
      </c>
      <c r="G7" s="47">
        <f t="shared" si="6"/>
        <v>909776.34</v>
      </c>
    </row>
    <row r="8" spans="1:10" x14ac:dyDescent="0.25">
      <c r="A8" s="36">
        <v>42009</v>
      </c>
      <c r="B8" s="46">
        <f t="shared" si="2"/>
        <v>31</v>
      </c>
      <c r="C8" s="47">
        <f t="shared" si="3"/>
        <v>34674</v>
      </c>
      <c r="D8" s="48">
        <f t="shared" si="0"/>
        <v>23083.7</v>
      </c>
      <c r="E8" s="68">
        <f t="shared" si="4"/>
        <v>11590.3</v>
      </c>
      <c r="F8" s="47">
        <f t="shared" si="5"/>
        <v>909776.34</v>
      </c>
      <c r="G8" s="47">
        <f t="shared" si="6"/>
        <v>886692.64</v>
      </c>
    </row>
    <row r="9" spans="1:10" x14ac:dyDescent="0.25">
      <c r="A9" s="36">
        <v>42040</v>
      </c>
      <c r="B9" s="46">
        <f t="shared" si="2"/>
        <v>31</v>
      </c>
      <c r="C9" s="47">
        <f t="shared" si="3"/>
        <v>34674</v>
      </c>
      <c r="D9" s="48">
        <f t="shared" si="0"/>
        <v>23377.78</v>
      </c>
      <c r="E9" s="68">
        <f t="shared" si="4"/>
        <v>11296.22</v>
      </c>
      <c r="F9" s="47">
        <f t="shared" si="5"/>
        <v>886692.64</v>
      </c>
      <c r="G9" s="47">
        <f t="shared" si="6"/>
        <v>863314.86</v>
      </c>
    </row>
    <row r="10" spans="1:10" x14ac:dyDescent="0.25">
      <c r="A10" s="36">
        <v>42068</v>
      </c>
      <c r="B10" s="46">
        <f t="shared" si="2"/>
        <v>28</v>
      </c>
      <c r="C10" s="47">
        <f t="shared" si="3"/>
        <v>34674</v>
      </c>
      <c r="D10" s="48">
        <f t="shared" si="0"/>
        <v>24739.97</v>
      </c>
      <c r="E10" s="68">
        <f t="shared" si="4"/>
        <v>9934.0300000000007</v>
      </c>
      <c r="F10" s="47">
        <f t="shared" si="5"/>
        <v>863314.86</v>
      </c>
      <c r="G10" s="47">
        <f t="shared" si="6"/>
        <v>838574.89</v>
      </c>
    </row>
    <row r="11" spans="1:10" x14ac:dyDescent="0.25">
      <c r="A11" s="36">
        <v>42099</v>
      </c>
      <c r="B11" s="46">
        <f t="shared" si="2"/>
        <v>31</v>
      </c>
      <c r="C11" s="47">
        <f t="shared" si="3"/>
        <v>34674</v>
      </c>
      <c r="D11" s="48">
        <f t="shared" si="0"/>
        <v>23990.79</v>
      </c>
      <c r="E11" s="68">
        <f t="shared" si="4"/>
        <v>10683.21</v>
      </c>
      <c r="F11" s="47">
        <f t="shared" si="5"/>
        <v>838574.89</v>
      </c>
      <c r="G11" s="47">
        <f t="shared" si="6"/>
        <v>814584.1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34674</v>
      </c>
      <c r="D12" s="48">
        <f t="shared" si="0"/>
        <v>24631.18</v>
      </c>
      <c r="E12" s="68">
        <f t="shared" si="4"/>
        <v>10042.82</v>
      </c>
      <c r="F12" s="47">
        <f t="shared" si="5"/>
        <v>814584.1</v>
      </c>
      <c r="G12" s="47">
        <f t="shared" si="6"/>
        <v>789952.91999999993</v>
      </c>
    </row>
    <row r="13" spans="1:10" x14ac:dyDescent="0.25">
      <c r="A13" s="36">
        <v>42160</v>
      </c>
      <c r="B13" s="46">
        <f t="shared" si="2"/>
        <v>31</v>
      </c>
      <c r="C13" s="47">
        <f t="shared" si="3"/>
        <v>34674</v>
      </c>
      <c r="D13" s="48">
        <f t="shared" si="0"/>
        <v>24610.22</v>
      </c>
      <c r="E13" s="68">
        <f t="shared" si="4"/>
        <v>10063.780000000001</v>
      </c>
      <c r="F13" s="47">
        <f t="shared" si="5"/>
        <v>789952.91999999993</v>
      </c>
      <c r="G13" s="47">
        <f t="shared" si="6"/>
        <v>765342.7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34674</v>
      </c>
      <c r="D14" s="48">
        <f t="shared" si="0"/>
        <v>25238.27</v>
      </c>
      <c r="E14" s="68">
        <f t="shared" si="4"/>
        <v>9435.73</v>
      </c>
      <c r="F14" s="47">
        <f t="shared" si="5"/>
        <v>765342.7</v>
      </c>
      <c r="G14" s="47">
        <f t="shared" si="6"/>
        <v>740104.42999999993</v>
      </c>
    </row>
    <row r="15" spans="1:10" x14ac:dyDescent="0.25">
      <c r="A15" s="36">
        <v>42221</v>
      </c>
      <c r="B15" s="46">
        <f t="shared" si="2"/>
        <v>31</v>
      </c>
      <c r="C15" s="47">
        <f t="shared" si="3"/>
        <v>34674</v>
      </c>
      <c r="D15" s="48">
        <f t="shared" si="0"/>
        <v>25245.27</v>
      </c>
      <c r="E15" s="68">
        <f t="shared" si="4"/>
        <v>9428.73</v>
      </c>
      <c r="F15" s="47">
        <f t="shared" si="5"/>
        <v>740104.42999999993</v>
      </c>
      <c r="G15" s="47">
        <f t="shared" si="6"/>
        <v>714859.15999999992</v>
      </c>
    </row>
    <row r="16" spans="1:10" x14ac:dyDescent="0.25">
      <c r="A16" s="36">
        <v>42252</v>
      </c>
      <c r="B16" s="46">
        <f t="shared" si="2"/>
        <v>31</v>
      </c>
      <c r="C16" s="47">
        <f t="shared" si="3"/>
        <v>34674</v>
      </c>
      <c r="D16" s="48">
        <f t="shared" si="0"/>
        <v>25566.89</v>
      </c>
      <c r="E16" s="68">
        <f t="shared" si="4"/>
        <v>9107.11</v>
      </c>
      <c r="F16" s="47">
        <f t="shared" si="5"/>
        <v>714859.15999999992</v>
      </c>
      <c r="G16" s="47">
        <f t="shared" si="6"/>
        <v>689292.2699999999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34674</v>
      </c>
      <c r="D17" s="48">
        <f t="shared" si="0"/>
        <v>26175.879999999997</v>
      </c>
      <c r="E17" s="68">
        <f t="shared" si="4"/>
        <v>8498.1200000000008</v>
      </c>
      <c r="F17" s="47">
        <f t="shared" si="5"/>
        <v>689292.2699999999</v>
      </c>
      <c r="G17" s="47">
        <f t="shared" si="6"/>
        <v>663116.3899999999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34674</v>
      </c>
      <c r="D18" s="48">
        <f t="shared" si="0"/>
        <v>26226.080000000002</v>
      </c>
      <c r="E18" s="68">
        <f t="shared" si="4"/>
        <v>8447.92</v>
      </c>
      <c r="F18" s="47">
        <f t="shared" si="5"/>
        <v>663116.3899999999</v>
      </c>
      <c r="G18" s="47">
        <f t="shared" si="6"/>
        <v>636890.30999999994</v>
      </c>
    </row>
    <row r="19" spans="1:7" x14ac:dyDescent="0.25">
      <c r="A19" s="54">
        <v>42343</v>
      </c>
      <c r="B19" s="46">
        <f t="shared" si="2"/>
        <v>30</v>
      </c>
      <c r="C19" s="47">
        <f t="shared" si="3"/>
        <v>34674</v>
      </c>
      <c r="D19" s="48">
        <f t="shared" si="0"/>
        <v>26821.93</v>
      </c>
      <c r="E19" s="68">
        <f t="shared" si="4"/>
        <v>7852.07</v>
      </c>
      <c r="F19" s="47">
        <f t="shared" si="5"/>
        <v>636890.30999999994</v>
      </c>
      <c r="G19" s="47">
        <f t="shared" si="6"/>
        <v>610068.37999999989</v>
      </c>
    </row>
    <row r="20" spans="1:7" x14ac:dyDescent="0.25">
      <c r="A20" s="54">
        <v>42374</v>
      </c>
      <c r="B20" s="46">
        <f t="shared" si="2"/>
        <v>31</v>
      </c>
      <c r="C20" s="47">
        <f t="shared" si="3"/>
        <v>34674</v>
      </c>
      <c r="D20" s="48">
        <f t="shared" si="0"/>
        <v>26901.9</v>
      </c>
      <c r="E20" s="68">
        <f t="shared" si="4"/>
        <v>7772.1</v>
      </c>
      <c r="F20" s="47">
        <f t="shared" si="5"/>
        <v>610068.37999999989</v>
      </c>
      <c r="G20" s="47">
        <f t="shared" si="6"/>
        <v>583166.47999999986</v>
      </c>
    </row>
    <row r="21" spans="1:7" x14ac:dyDescent="0.25">
      <c r="A21" s="54">
        <v>42405</v>
      </c>
      <c r="B21" s="46">
        <f t="shared" si="2"/>
        <v>31</v>
      </c>
      <c r="C21" s="47">
        <f t="shared" si="3"/>
        <v>34674</v>
      </c>
      <c r="D21" s="48">
        <f t="shared" si="0"/>
        <v>27244.62</v>
      </c>
      <c r="E21" s="68">
        <f t="shared" si="4"/>
        <v>7429.38</v>
      </c>
      <c r="F21" s="47">
        <f t="shared" si="5"/>
        <v>583166.47999999986</v>
      </c>
      <c r="G21" s="47">
        <f t="shared" si="6"/>
        <v>555921.85999999987</v>
      </c>
    </row>
    <row r="22" spans="1:7" x14ac:dyDescent="0.25">
      <c r="A22" s="54">
        <v>42434</v>
      </c>
      <c r="B22" s="46">
        <f t="shared" si="2"/>
        <v>29</v>
      </c>
      <c r="C22" s="47">
        <f t="shared" si="3"/>
        <v>34674</v>
      </c>
      <c r="D22" s="48">
        <f t="shared" si="0"/>
        <v>28048.63</v>
      </c>
      <c r="E22" s="68">
        <f t="shared" si="4"/>
        <v>6625.37</v>
      </c>
      <c r="F22" s="47">
        <f t="shared" si="5"/>
        <v>555921.85999999987</v>
      </c>
      <c r="G22" s="47">
        <f t="shared" si="6"/>
        <v>527873.22999999986</v>
      </c>
    </row>
    <row r="23" spans="1:7" x14ac:dyDescent="0.25">
      <c r="A23" s="54">
        <v>42465</v>
      </c>
      <c r="B23" s="46">
        <f t="shared" si="2"/>
        <v>31</v>
      </c>
      <c r="C23" s="47">
        <f t="shared" si="3"/>
        <v>34674</v>
      </c>
      <c r="D23" s="48">
        <f t="shared" si="0"/>
        <v>27949.040000000001</v>
      </c>
      <c r="E23" s="68">
        <f t="shared" si="4"/>
        <v>6724.96</v>
      </c>
      <c r="F23" s="47">
        <f t="shared" si="5"/>
        <v>527873.22999999986</v>
      </c>
      <c r="G23" s="47">
        <f t="shared" si="6"/>
        <v>499924.18999999989</v>
      </c>
    </row>
    <row r="24" spans="1:7" x14ac:dyDescent="0.25">
      <c r="A24" s="54">
        <v>42495</v>
      </c>
      <c r="B24" s="46">
        <f t="shared" si="2"/>
        <v>30</v>
      </c>
      <c r="C24" s="47">
        <f t="shared" si="3"/>
        <v>34674</v>
      </c>
      <c r="D24" s="48">
        <f t="shared" si="0"/>
        <v>28510.55</v>
      </c>
      <c r="E24" s="68">
        <f t="shared" si="4"/>
        <v>6163.45</v>
      </c>
      <c r="F24" s="47">
        <f t="shared" si="5"/>
        <v>499924.18999999989</v>
      </c>
      <c r="G24" s="47">
        <f t="shared" si="6"/>
        <v>471413.6399999999</v>
      </c>
    </row>
    <row r="25" spans="1:7" x14ac:dyDescent="0.25">
      <c r="A25" s="54">
        <v>42526</v>
      </c>
      <c r="B25" s="46">
        <f t="shared" si="2"/>
        <v>31</v>
      </c>
      <c r="C25" s="47">
        <f t="shared" si="3"/>
        <v>34674</v>
      </c>
      <c r="D25" s="48">
        <f t="shared" si="0"/>
        <v>28668.32</v>
      </c>
      <c r="E25" s="68">
        <f t="shared" si="4"/>
        <v>6005.68</v>
      </c>
      <c r="F25" s="47">
        <f t="shared" si="5"/>
        <v>471413.6399999999</v>
      </c>
      <c r="G25" s="47">
        <f t="shared" si="6"/>
        <v>442745.31999999989</v>
      </c>
    </row>
    <row r="26" spans="1:7" x14ac:dyDescent="0.25">
      <c r="A26" s="54">
        <v>42556</v>
      </c>
      <c r="B26" s="46">
        <f t="shared" si="2"/>
        <v>30</v>
      </c>
      <c r="C26" s="47">
        <f t="shared" si="3"/>
        <v>34674</v>
      </c>
      <c r="D26" s="48">
        <f t="shared" si="0"/>
        <v>29215.5</v>
      </c>
      <c r="E26" s="68">
        <f t="shared" si="4"/>
        <v>5458.5</v>
      </c>
      <c r="F26" s="47">
        <f t="shared" si="5"/>
        <v>442745.31999999989</v>
      </c>
      <c r="G26" s="47">
        <f t="shared" si="6"/>
        <v>413529.81999999989</v>
      </c>
    </row>
    <row r="27" spans="1:7" x14ac:dyDescent="0.25">
      <c r="A27" s="54">
        <v>42587</v>
      </c>
      <c r="B27" s="46">
        <f t="shared" si="2"/>
        <v>31</v>
      </c>
      <c r="C27" s="47">
        <f t="shared" si="3"/>
        <v>34674</v>
      </c>
      <c r="D27" s="48">
        <f t="shared" si="0"/>
        <v>29405.739999999998</v>
      </c>
      <c r="E27" s="68">
        <f t="shared" si="4"/>
        <v>5268.26</v>
      </c>
      <c r="F27" s="47">
        <f t="shared" si="5"/>
        <v>413529.81999999989</v>
      </c>
      <c r="G27" s="47">
        <f t="shared" si="6"/>
        <v>384124.0799999999</v>
      </c>
    </row>
    <row r="28" spans="1:7" x14ac:dyDescent="0.25">
      <c r="A28" s="54">
        <v>42618</v>
      </c>
      <c r="B28" s="46">
        <f t="shared" si="2"/>
        <v>31</v>
      </c>
      <c r="C28" s="47">
        <f t="shared" si="3"/>
        <v>34674</v>
      </c>
      <c r="D28" s="48">
        <f t="shared" si="0"/>
        <v>29780.36</v>
      </c>
      <c r="E28" s="68">
        <f t="shared" si="4"/>
        <v>4893.6400000000003</v>
      </c>
      <c r="F28" s="47">
        <f t="shared" si="5"/>
        <v>384124.0799999999</v>
      </c>
      <c r="G28" s="47">
        <f t="shared" si="6"/>
        <v>354343.71999999991</v>
      </c>
    </row>
    <row r="29" spans="1:7" x14ac:dyDescent="0.25">
      <c r="A29" s="54">
        <v>42648</v>
      </c>
      <c r="B29" s="46">
        <f t="shared" si="2"/>
        <v>30</v>
      </c>
      <c r="C29" s="47">
        <f t="shared" si="3"/>
        <v>34674</v>
      </c>
      <c r="D29" s="48">
        <f t="shared" si="0"/>
        <v>30305.38</v>
      </c>
      <c r="E29" s="68">
        <f t="shared" si="4"/>
        <v>4368.62</v>
      </c>
      <c r="F29" s="47">
        <f t="shared" si="5"/>
        <v>354343.71999999991</v>
      </c>
      <c r="G29" s="47">
        <f t="shared" si="6"/>
        <v>324038.33999999991</v>
      </c>
    </row>
    <row r="30" spans="1:7" x14ac:dyDescent="0.25">
      <c r="A30" s="54">
        <v>42679</v>
      </c>
      <c r="B30" s="46">
        <f t="shared" si="2"/>
        <v>31</v>
      </c>
      <c r="C30" s="47">
        <f t="shared" si="3"/>
        <v>34674</v>
      </c>
      <c r="D30" s="48">
        <f t="shared" si="0"/>
        <v>30545.84</v>
      </c>
      <c r="E30" s="68">
        <f t="shared" si="4"/>
        <v>4128.16</v>
      </c>
      <c r="F30" s="47">
        <f t="shared" si="5"/>
        <v>324038.33999999991</v>
      </c>
      <c r="G30" s="47">
        <f t="shared" si="6"/>
        <v>293492.49999999988</v>
      </c>
    </row>
    <row r="31" spans="1:7" x14ac:dyDescent="0.25">
      <c r="A31" s="54">
        <v>42709</v>
      </c>
      <c r="B31" s="46">
        <f t="shared" si="2"/>
        <v>30</v>
      </c>
      <c r="C31" s="47">
        <f t="shared" si="3"/>
        <v>34674</v>
      </c>
      <c r="D31" s="48">
        <f t="shared" si="0"/>
        <v>31055.599999999999</v>
      </c>
      <c r="E31" s="68">
        <f t="shared" si="4"/>
        <v>3618.4</v>
      </c>
      <c r="F31" s="47">
        <f t="shared" si="5"/>
        <v>293492.49999999988</v>
      </c>
      <c r="G31" s="47">
        <f t="shared" si="6"/>
        <v>262436.89999999991</v>
      </c>
    </row>
    <row r="32" spans="1:7" x14ac:dyDescent="0.25">
      <c r="A32" s="54">
        <v>42740</v>
      </c>
      <c r="B32" s="46">
        <f t="shared" si="2"/>
        <v>31</v>
      </c>
      <c r="C32" s="47">
        <f t="shared" si="3"/>
        <v>34674</v>
      </c>
      <c r="D32" s="48">
        <f t="shared" si="0"/>
        <v>31330.63</v>
      </c>
      <c r="E32" s="68">
        <f t="shared" si="4"/>
        <v>3343.37</v>
      </c>
      <c r="F32" s="47">
        <f t="shared" si="5"/>
        <v>262436.89999999991</v>
      </c>
      <c r="G32" s="47">
        <f t="shared" si="6"/>
        <v>231106.2699999999</v>
      </c>
    </row>
    <row r="33" spans="1:7" x14ac:dyDescent="0.25">
      <c r="A33" s="54">
        <v>42771</v>
      </c>
      <c r="B33" s="46">
        <f t="shared" si="2"/>
        <v>31</v>
      </c>
      <c r="C33" s="47">
        <f t="shared" si="3"/>
        <v>34674</v>
      </c>
      <c r="D33" s="48">
        <f t="shared" si="0"/>
        <v>31729.77</v>
      </c>
      <c r="E33" s="68">
        <f t="shared" si="4"/>
        <v>2944.23</v>
      </c>
      <c r="F33" s="47">
        <f t="shared" si="5"/>
        <v>231106.2699999999</v>
      </c>
      <c r="G33" s="47">
        <f t="shared" si="6"/>
        <v>199376.49999999991</v>
      </c>
    </row>
    <row r="34" spans="1:7" x14ac:dyDescent="0.25">
      <c r="A34" s="54">
        <v>42799</v>
      </c>
      <c r="B34" s="46">
        <f t="shared" si="2"/>
        <v>28</v>
      </c>
      <c r="C34" s="47">
        <f t="shared" si="3"/>
        <v>34674</v>
      </c>
      <c r="D34" s="48">
        <f t="shared" si="0"/>
        <v>32379.8</v>
      </c>
      <c r="E34" s="68">
        <f t="shared" si="4"/>
        <v>2294.1999999999998</v>
      </c>
      <c r="F34" s="47">
        <f t="shared" si="5"/>
        <v>199376.49999999991</v>
      </c>
      <c r="G34" s="47">
        <f t="shared" si="6"/>
        <v>166996.69999999992</v>
      </c>
    </row>
    <row r="35" spans="1:7" x14ac:dyDescent="0.25">
      <c r="A35" s="54">
        <v>42830</v>
      </c>
      <c r="B35" s="46">
        <f t="shared" si="2"/>
        <v>31</v>
      </c>
      <c r="C35" s="47">
        <f t="shared" si="3"/>
        <v>34674</v>
      </c>
      <c r="D35" s="48">
        <f t="shared" si="0"/>
        <v>32546.510000000002</v>
      </c>
      <c r="E35" s="68">
        <f t="shared" si="4"/>
        <v>2127.4899999999998</v>
      </c>
      <c r="F35" s="47">
        <f t="shared" si="5"/>
        <v>166996.69999999992</v>
      </c>
      <c r="G35" s="47">
        <f t="shared" si="6"/>
        <v>134450.18999999992</v>
      </c>
    </row>
    <row r="36" spans="1:7" x14ac:dyDescent="0.25">
      <c r="A36" s="54">
        <v>42860</v>
      </c>
      <c r="B36" s="46">
        <f t="shared" si="2"/>
        <v>30</v>
      </c>
      <c r="C36" s="47">
        <f t="shared" si="3"/>
        <v>34674</v>
      </c>
      <c r="D36" s="48">
        <f t="shared" si="0"/>
        <v>33016.39</v>
      </c>
      <c r="E36" s="68">
        <f t="shared" si="4"/>
        <v>1657.61</v>
      </c>
      <c r="F36" s="47">
        <f t="shared" si="5"/>
        <v>134450.18999999992</v>
      </c>
      <c r="G36" s="47">
        <f t="shared" si="6"/>
        <v>101433.79999999992</v>
      </c>
    </row>
    <row r="37" spans="1:7" x14ac:dyDescent="0.25">
      <c r="A37" s="54">
        <v>42891</v>
      </c>
      <c r="B37" s="46">
        <f t="shared" si="2"/>
        <v>31</v>
      </c>
      <c r="C37" s="47">
        <f t="shared" si="3"/>
        <v>34674</v>
      </c>
      <c r="D37" s="48">
        <f t="shared" si="0"/>
        <v>33381.760000000002</v>
      </c>
      <c r="E37" s="68">
        <f t="shared" si="4"/>
        <v>1292.24</v>
      </c>
      <c r="F37" s="47">
        <f t="shared" si="5"/>
        <v>101433.79999999992</v>
      </c>
      <c r="G37" s="47">
        <f t="shared" si="6"/>
        <v>68052.039999999921</v>
      </c>
    </row>
    <row r="38" spans="1:7" x14ac:dyDescent="0.25">
      <c r="A38" s="54">
        <v>42921</v>
      </c>
      <c r="B38" s="46">
        <f t="shared" si="2"/>
        <v>30</v>
      </c>
      <c r="C38" s="47">
        <f t="shared" si="3"/>
        <v>34674</v>
      </c>
      <c r="D38" s="48">
        <f t="shared" si="0"/>
        <v>33835</v>
      </c>
      <c r="E38" s="68">
        <f t="shared" si="4"/>
        <v>839</v>
      </c>
      <c r="F38" s="47">
        <f t="shared" si="5"/>
        <v>68052.039999999921</v>
      </c>
      <c r="G38" s="47">
        <f t="shared" si="6"/>
        <v>34217.039999999921</v>
      </c>
    </row>
    <row r="39" spans="1:7" x14ac:dyDescent="0.25">
      <c r="A39" s="54">
        <v>42952</v>
      </c>
      <c r="B39" s="46">
        <f t="shared" si="2"/>
        <v>31</v>
      </c>
      <c r="C39" s="47">
        <f t="shared" si="3"/>
        <v>34674</v>
      </c>
      <c r="D39" s="48">
        <f t="shared" si="0"/>
        <v>34217.039999999921</v>
      </c>
      <c r="E39" s="68">
        <v>456.96000000008092</v>
      </c>
      <c r="F39" s="47">
        <f t="shared" si="5"/>
        <v>34217.039999999921</v>
      </c>
      <c r="G39" s="47">
        <f t="shared" si="6"/>
        <v>0</v>
      </c>
    </row>
    <row r="40" spans="1:7" x14ac:dyDescent="0.25">
      <c r="A40" s="70">
        <v>42252</v>
      </c>
      <c r="B40" s="84">
        <f>A16-A15</f>
        <v>31</v>
      </c>
      <c r="C40" s="47">
        <f>$D$1</f>
        <v>34674</v>
      </c>
      <c r="D40" s="48">
        <f>C16-E16</f>
        <v>25566.89</v>
      </c>
      <c r="E40" s="68">
        <f>ROUND(F16*$B$2*B16/365,2)</f>
        <v>9107.11</v>
      </c>
      <c r="F40" s="47">
        <f>G15</f>
        <v>714859.15999999992</v>
      </c>
      <c r="G40" s="47">
        <f t="shared" si="6"/>
        <v>689292.2699999999</v>
      </c>
    </row>
    <row r="41" spans="1:7" x14ac:dyDescent="0.25">
      <c r="A41" s="70">
        <v>42282</v>
      </c>
      <c r="B41" s="84">
        <f>A41-A16</f>
        <v>30</v>
      </c>
      <c r="C41" s="47">
        <f t="shared" ref="C41:C52" si="7">$F$1</f>
        <v>20000</v>
      </c>
      <c r="D41" s="48">
        <f t="shared" si="0"/>
        <v>11501.88</v>
      </c>
      <c r="E41" s="68">
        <f>ROUND(F41*$B$2*B41/365,2)</f>
        <v>8498.1200000000008</v>
      </c>
      <c r="F41" s="47">
        <f>G16</f>
        <v>689292.2699999999</v>
      </c>
      <c r="G41" s="47">
        <f>F41-D41</f>
        <v>677790.3899999999</v>
      </c>
    </row>
    <row r="42" spans="1:7" x14ac:dyDescent="0.25">
      <c r="A42" s="70">
        <v>42313</v>
      </c>
      <c r="B42" s="84">
        <f t="shared" si="2"/>
        <v>31</v>
      </c>
      <c r="C42" s="47">
        <f t="shared" si="7"/>
        <v>20000</v>
      </c>
      <c r="D42" s="48">
        <f t="shared" si="0"/>
        <v>11365.14</v>
      </c>
      <c r="E42" s="68">
        <f>ROUND(F42*$B$2*B42/365,2)</f>
        <v>8634.86</v>
      </c>
      <c r="F42" s="47">
        <f t="shared" si="5"/>
        <v>677790.3899999999</v>
      </c>
      <c r="G42" s="47">
        <f t="shared" si="6"/>
        <v>666425.24999999988</v>
      </c>
    </row>
    <row r="43" spans="1:7" x14ac:dyDescent="0.25">
      <c r="A43" s="70">
        <v>42343</v>
      </c>
      <c r="B43" s="84">
        <f t="shared" si="2"/>
        <v>30</v>
      </c>
      <c r="C43" s="47">
        <f t="shared" si="7"/>
        <v>20000</v>
      </c>
      <c r="D43" s="48">
        <f t="shared" si="0"/>
        <v>11783.8</v>
      </c>
      <c r="E43" s="68">
        <f t="shared" ref="E43:E61" si="8">ROUND(F43*$B$2*B43/365,2)</f>
        <v>8216.2000000000007</v>
      </c>
      <c r="F43" s="47">
        <f t="shared" si="5"/>
        <v>666425.24999999988</v>
      </c>
      <c r="G43" s="47">
        <f t="shared" si="6"/>
        <v>654641.44999999984</v>
      </c>
    </row>
    <row r="44" spans="1:7" x14ac:dyDescent="0.25">
      <c r="A44" s="70">
        <v>42374</v>
      </c>
      <c r="B44" s="84">
        <f t="shared" si="2"/>
        <v>31</v>
      </c>
      <c r="C44" s="47">
        <f t="shared" si="7"/>
        <v>20000</v>
      </c>
      <c r="D44" s="48">
        <f t="shared" si="0"/>
        <v>11660.05</v>
      </c>
      <c r="E44" s="68">
        <f t="shared" si="8"/>
        <v>8339.9500000000007</v>
      </c>
      <c r="F44" s="47">
        <f t="shared" si="5"/>
        <v>654641.44999999984</v>
      </c>
      <c r="G44" s="47">
        <f t="shared" si="6"/>
        <v>642981.39999999979</v>
      </c>
    </row>
    <row r="45" spans="1:7" x14ac:dyDescent="0.25">
      <c r="A45" s="70">
        <v>42405</v>
      </c>
      <c r="B45" s="84">
        <f t="shared" si="2"/>
        <v>31</v>
      </c>
      <c r="C45" s="47">
        <f t="shared" si="7"/>
        <v>20000</v>
      </c>
      <c r="D45" s="48">
        <f t="shared" si="0"/>
        <v>11808.59</v>
      </c>
      <c r="E45" s="68">
        <f t="shared" si="8"/>
        <v>8191.41</v>
      </c>
      <c r="F45" s="47">
        <f t="shared" si="5"/>
        <v>642981.39999999979</v>
      </c>
      <c r="G45" s="47">
        <f t="shared" si="6"/>
        <v>631172.80999999982</v>
      </c>
    </row>
    <row r="46" spans="1:7" x14ac:dyDescent="0.25">
      <c r="A46" s="70">
        <v>42434</v>
      </c>
      <c r="B46" s="84">
        <f t="shared" si="2"/>
        <v>29</v>
      </c>
      <c r="C46" s="47">
        <f t="shared" si="7"/>
        <v>20000</v>
      </c>
      <c r="D46" s="48">
        <f t="shared" si="0"/>
        <v>12477.8</v>
      </c>
      <c r="E46" s="68">
        <f t="shared" si="8"/>
        <v>7522.2</v>
      </c>
      <c r="F46" s="47">
        <f t="shared" si="5"/>
        <v>631172.80999999982</v>
      </c>
      <c r="G46" s="47">
        <f t="shared" si="6"/>
        <v>618695.00999999978</v>
      </c>
    </row>
    <row r="47" spans="1:7" x14ac:dyDescent="0.25">
      <c r="A47" s="70">
        <v>42465</v>
      </c>
      <c r="B47" s="84">
        <f t="shared" si="2"/>
        <v>31</v>
      </c>
      <c r="C47" s="47">
        <f t="shared" si="7"/>
        <v>20000</v>
      </c>
      <c r="D47" s="48">
        <f t="shared" si="0"/>
        <v>12118</v>
      </c>
      <c r="E47" s="68">
        <f t="shared" si="8"/>
        <v>7882</v>
      </c>
      <c r="F47" s="47">
        <f t="shared" si="5"/>
        <v>618695.00999999978</v>
      </c>
      <c r="G47" s="47">
        <f t="shared" si="6"/>
        <v>606577.00999999978</v>
      </c>
    </row>
    <row r="48" spans="1:7" x14ac:dyDescent="0.25">
      <c r="A48" s="70">
        <v>42495</v>
      </c>
      <c r="B48" s="84">
        <f t="shared" si="2"/>
        <v>30</v>
      </c>
      <c r="C48" s="47">
        <f t="shared" si="7"/>
        <v>20000</v>
      </c>
      <c r="D48" s="48">
        <f t="shared" si="0"/>
        <v>12521.65</v>
      </c>
      <c r="E48" s="68">
        <f t="shared" si="8"/>
        <v>7478.35</v>
      </c>
      <c r="F48" s="47">
        <f t="shared" si="5"/>
        <v>606577.00999999978</v>
      </c>
      <c r="G48" s="47">
        <f t="shared" si="6"/>
        <v>594055.35999999975</v>
      </c>
    </row>
    <row r="49" spans="1:7" x14ac:dyDescent="0.25">
      <c r="A49" s="70">
        <v>42526</v>
      </c>
      <c r="B49" s="84">
        <f t="shared" si="2"/>
        <v>31</v>
      </c>
      <c r="C49" s="47">
        <f t="shared" si="7"/>
        <v>20000</v>
      </c>
      <c r="D49" s="48">
        <f t="shared" si="0"/>
        <v>12431.9</v>
      </c>
      <c r="E49" s="68">
        <f t="shared" si="8"/>
        <v>7568.1</v>
      </c>
      <c r="F49" s="47">
        <f t="shared" si="5"/>
        <v>594055.35999999975</v>
      </c>
      <c r="G49" s="47">
        <f t="shared" si="6"/>
        <v>581623.45999999973</v>
      </c>
    </row>
    <row r="50" spans="1:7" x14ac:dyDescent="0.25">
      <c r="A50" s="70">
        <v>42556</v>
      </c>
      <c r="B50" s="84">
        <f t="shared" si="2"/>
        <v>30</v>
      </c>
      <c r="C50" s="47">
        <f t="shared" si="7"/>
        <v>20000</v>
      </c>
      <c r="D50" s="48">
        <f t="shared" si="0"/>
        <v>12829.3</v>
      </c>
      <c r="E50" s="68">
        <f t="shared" si="8"/>
        <v>7170.7</v>
      </c>
      <c r="F50" s="47">
        <f t="shared" si="5"/>
        <v>581623.45999999973</v>
      </c>
      <c r="G50" s="47">
        <f t="shared" si="6"/>
        <v>568794.15999999968</v>
      </c>
    </row>
    <row r="51" spans="1:7" x14ac:dyDescent="0.25">
      <c r="A51" s="70">
        <v>42587</v>
      </c>
      <c r="B51" s="84">
        <f t="shared" si="2"/>
        <v>31</v>
      </c>
      <c r="C51" s="47">
        <f t="shared" si="7"/>
        <v>20000</v>
      </c>
      <c r="D51" s="48">
        <f t="shared" si="0"/>
        <v>12753.720000000001</v>
      </c>
      <c r="E51" s="68">
        <f t="shared" si="8"/>
        <v>7246.28</v>
      </c>
      <c r="F51" s="47">
        <f t="shared" si="5"/>
        <v>568794.15999999968</v>
      </c>
      <c r="G51" s="47">
        <f t="shared" si="6"/>
        <v>556040.43999999971</v>
      </c>
    </row>
    <row r="52" spans="1:7" x14ac:dyDescent="0.25">
      <c r="A52" s="70">
        <v>42618</v>
      </c>
      <c r="B52" s="84">
        <f t="shared" si="2"/>
        <v>31</v>
      </c>
      <c r="C52" s="47">
        <f t="shared" si="7"/>
        <v>20000</v>
      </c>
      <c r="D52" s="48">
        <f t="shared" si="0"/>
        <v>12916.2</v>
      </c>
      <c r="E52" s="68">
        <f t="shared" si="8"/>
        <v>7083.8</v>
      </c>
      <c r="F52" s="47">
        <f t="shared" si="5"/>
        <v>556040.43999999971</v>
      </c>
      <c r="G52" s="47">
        <f t="shared" si="6"/>
        <v>543124.23999999976</v>
      </c>
    </row>
    <row r="53" spans="1:7" x14ac:dyDescent="0.25">
      <c r="A53" s="70">
        <v>42648</v>
      </c>
      <c r="B53" s="84">
        <f t="shared" si="2"/>
        <v>30</v>
      </c>
      <c r="C53" s="47">
        <f>$J$2</f>
        <v>30000</v>
      </c>
      <c r="D53" s="48">
        <f t="shared" si="0"/>
        <v>23303.95</v>
      </c>
      <c r="E53" s="68">
        <f t="shared" si="8"/>
        <v>6696.05</v>
      </c>
      <c r="F53" s="47">
        <f t="shared" si="5"/>
        <v>543124.23999999976</v>
      </c>
      <c r="G53" s="47">
        <f t="shared" si="6"/>
        <v>519820.28999999975</v>
      </c>
    </row>
    <row r="54" spans="1:7" x14ac:dyDescent="0.25">
      <c r="A54" s="70">
        <v>42679</v>
      </c>
      <c r="B54" s="84">
        <f t="shared" si="2"/>
        <v>31</v>
      </c>
      <c r="C54" s="47">
        <f t="shared" ref="C54:C72" si="9">$J$2</f>
        <v>30000</v>
      </c>
      <c r="D54" s="48">
        <f t="shared" si="0"/>
        <v>23377.63</v>
      </c>
      <c r="E54" s="68">
        <f t="shared" si="8"/>
        <v>6622.37</v>
      </c>
      <c r="F54" s="47">
        <f t="shared" si="5"/>
        <v>519820.28999999975</v>
      </c>
      <c r="G54" s="47">
        <f t="shared" si="6"/>
        <v>496442.65999999974</v>
      </c>
    </row>
    <row r="55" spans="1:7" x14ac:dyDescent="0.25">
      <c r="A55" s="70">
        <v>42709</v>
      </c>
      <c r="B55" s="84">
        <f t="shared" si="2"/>
        <v>30</v>
      </c>
      <c r="C55" s="47">
        <f t="shared" si="9"/>
        <v>30000</v>
      </c>
      <c r="D55" s="48">
        <f t="shared" si="0"/>
        <v>23879.47</v>
      </c>
      <c r="E55" s="68">
        <f t="shared" si="8"/>
        <v>6120.53</v>
      </c>
      <c r="F55" s="47">
        <f t="shared" si="5"/>
        <v>496442.65999999974</v>
      </c>
      <c r="G55" s="47">
        <f t="shared" si="6"/>
        <v>472563.18999999971</v>
      </c>
    </row>
    <row r="56" spans="1:7" x14ac:dyDescent="0.25">
      <c r="A56" s="70">
        <v>42740</v>
      </c>
      <c r="B56" s="84">
        <f t="shared" si="2"/>
        <v>31</v>
      </c>
      <c r="C56" s="47">
        <f t="shared" si="9"/>
        <v>30000</v>
      </c>
      <c r="D56" s="48">
        <f t="shared" si="0"/>
        <v>23979.67</v>
      </c>
      <c r="E56" s="68">
        <f t="shared" si="8"/>
        <v>6020.33</v>
      </c>
      <c r="F56" s="47">
        <f t="shared" si="5"/>
        <v>472563.18999999971</v>
      </c>
      <c r="G56" s="47">
        <f t="shared" si="6"/>
        <v>448583.51999999973</v>
      </c>
    </row>
    <row r="57" spans="1:7" x14ac:dyDescent="0.25">
      <c r="A57" s="70">
        <v>42771</v>
      </c>
      <c r="B57" s="84">
        <f t="shared" si="2"/>
        <v>31</v>
      </c>
      <c r="C57" s="47">
        <f t="shared" si="9"/>
        <v>30000</v>
      </c>
      <c r="D57" s="48">
        <f t="shared" si="0"/>
        <v>24285.17</v>
      </c>
      <c r="E57" s="68">
        <f t="shared" si="8"/>
        <v>5714.83</v>
      </c>
      <c r="F57" s="47">
        <f t="shared" si="5"/>
        <v>448583.51999999973</v>
      </c>
      <c r="G57" s="47">
        <f t="shared" si="6"/>
        <v>424298.34999999974</v>
      </c>
    </row>
    <row r="58" spans="1:7" x14ac:dyDescent="0.25">
      <c r="A58" s="70">
        <v>42799</v>
      </c>
      <c r="B58" s="84">
        <f t="shared" si="2"/>
        <v>28</v>
      </c>
      <c r="C58" s="47">
        <f t="shared" si="9"/>
        <v>30000</v>
      </c>
      <c r="D58" s="48">
        <f t="shared" si="0"/>
        <v>25117.66</v>
      </c>
      <c r="E58" s="68">
        <f t="shared" si="8"/>
        <v>4882.34</v>
      </c>
      <c r="F58" s="47">
        <f t="shared" si="5"/>
        <v>424298.34999999974</v>
      </c>
      <c r="G58" s="47">
        <f t="shared" si="6"/>
        <v>399180.68999999977</v>
      </c>
    </row>
    <row r="59" spans="1:7" x14ac:dyDescent="0.25">
      <c r="A59" s="70">
        <v>42830</v>
      </c>
      <c r="B59" s="84">
        <f t="shared" si="2"/>
        <v>31</v>
      </c>
      <c r="C59" s="47">
        <f t="shared" si="9"/>
        <v>30000</v>
      </c>
      <c r="D59" s="48">
        <f t="shared" si="0"/>
        <v>24914.55</v>
      </c>
      <c r="E59" s="68">
        <f t="shared" si="8"/>
        <v>5085.45</v>
      </c>
      <c r="F59" s="47">
        <f t="shared" si="5"/>
        <v>399180.68999999977</v>
      </c>
      <c r="G59" s="47">
        <f t="shared" si="6"/>
        <v>374266.13999999978</v>
      </c>
    </row>
    <row r="60" spans="1:7" x14ac:dyDescent="0.25">
      <c r="A60" s="70">
        <v>42860</v>
      </c>
      <c r="B60" s="84">
        <f t="shared" si="2"/>
        <v>30</v>
      </c>
      <c r="C60" s="47">
        <f t="shared" si="9"/>
        <v>30000</v>
      </c>
      <c r="D60" s="48">
        <f t="shared" si="0"/>
        <v>25385.760000000002</v>
      </c>
      <c r="E60" s="68">
        <f t="shared" si="8"/>
        <v>4614.24</v>
      </c>
      <c r="F60" s="47">
        <f t="shared" si="5"/>
        <v>374266.13999999978</v>
      </c>
      <c r="G60" s="47">
        <f t="shared" si="6"/>
        <v>348880.37999999977</v>
      </c>
    </row>
    <row r="61" spans="1:7" x14ac:dyDescent="0.25">
      <c r="A61" s="70">
        <v>42891</v>
      </c>
      <c r="B61" s="84">
        <f t="shared" si="2"/>
        <v>31</v>
      </c>
      <c r="C61" s="47">
        <f t="shared" si="9"/>
        <v>30000</v>
      </c>
      <c r="D61" s="48">
        <f t="shared" si="0"/>
        <v>25555.360000000001</v>
      </c>
      <c r="E61" s="68">
        <f t="shared" si="8"/>
        <v>4444.6400000000003</v>
      </c>
      <c r="F61" s="47">
        <f t="shared" si="5"/>
        <v>348880.37999999977</v>
      </c>
      <c r="G61" s="47">
        <f t="shared" si="6"/>
        <v>323325.01999999979</v>
      </c>
    </row>
    <row r="62" spans="1:7" x14ac:dyDescent="0.25">
      <c r="A62" s="70">
        <v>42921</v>
      </c>
      <c r="B62" s="84">
        <f t="shared" si="2"/>
        <v>30</v>
      </c>
      <c r="C62" s="47">
        <f t="shared" si="9"/>
        <v>30000</v>
      </c>
      <c r="D62" s="48">
        <f t="shared" ref="D62:D72" si="10">C62-E62</f>
        <v>26013.8</v>
      </c>
      <c r="E62" s="68">
        <f t="shared" ref="E62:E72" si="11">ROUND(F62*$B$2*B62/365,2)</f>
        <v>3986.2</v>
      </c>
      <c r="F62" s="47">
        <f t="shared" ref="F62:F72" si="12">G61</f>
        <v>323325.01999999979</v>
      </c>
      <c r="G62" s="47">
        <f t="shared" ref="G62:G72" si="13">F62-D62</f>
        <v>297311.2199999998</v>
      </c>
    </row>
    <row r="63" spans="1:7" x14ac:dyDescent="0.25">
      <c r="A63" s="70">
        <v>42952</v>
      </c>
      <c r="B63" s="84">
        <f t="shared" si="2"/>
        <v>31</v>
      </c>
      <c r="C63" s="47">
        <f t="shared" si="9"/>
        <v>30000</v>
      </c>
      <c r="D63" s="48">
        <f t="shared" si="10"/>
        <v>26212.34</v>
      </c>
      <c r="E63" s="68">
        <f t="shared" si="11"/>
        <v>3787.66</v>
      </c>
      <c r="F63" s="47">
        <f t="shared" si="12"/>
        <v>297311.2199999998</v>
      </c>
      <c r="G63" s="47">
        <f t="shared" si="13"/>
        <v>271098.87999999977</v>
      </c>
    </row>
    <row r="64" spans="1:7" x14ac:dyDescent="0.25">
      <c r="A64" s="70">
        <v>42983</v>
      </c>
      <c r="B64" s="84">
        <f t="shared" si="2"/>
        <v>31</v>
      </c>
      <c r="C64" s="47">
        <f t="shared" si="9"/>
        <v>30000</v>
      </c>
      <c r="D64" s="48">
        <f t="shared" si="10"/>
        <v>26546.27</v>
      </c>
      <c r="E64" s="68">
        <f t="shared" si="11"/>
        <v>3453.73</v>
      </c>
      <c r="F64" s="47">
        <f t="shared" si="12"/>
        <v>271098.87999999977</v>
      </c>
      <c r="G64" s="47">
        <f t="shared" si="13"/>
        <v>244552.60999999978</v>
      </c>
    </row>
    <row r="65" spans="1:7" x14ac:dyDescent="0.25">
      <c r="A65" s="70">
        <v>43013</v>
      </c>
      <c r="B65" s="84">
        <f t="shared" si="2"/>
        <v>30</v>
      </c>
      <c r="C65" s="47">
        <f t="shared" si="9"/>
        <v>30000</v>
      </c>
      <c r="D65" s="48">
        <f t="shared" si="10"/>
        <v>26984.97</v>
      </c>
      <c r="E65" s="68">
        <f t="shared" si="11"/>
        <v>3015.03</v>
      </c>
      <c r="F65" s="47">
        <f t="shared" si="12"/>
        <v>244552.60999999978</v>
      </c>
      <c r="G65" s="47">
        <f t="shared" si="13"/>
        <v>217567.63999999978</v>
      </c>
    </row>
    <row r="66" spans="1:7" x14ac:dyDescent="0.25">
      <c r="A66" s="70">
        <v>43044</v>
      </c>
      <c r="B66" s="84">
        <f t="shared" si="2"/>
        <v>31</v>
      </c>
      <c r="C66" s="47">
        <f t="shared" si="9"/>
        <v>30000</v>
      </c>
      <c r="D66" s="48">
        <f t="shared" si="10"/>
        <v>27228.25</v>
      </c>
      <c r="E66" s="68">
        <f t="shared" si="11"/>
        <v>2771.75</v>
      </c>
      <c r="F66" s="47">
        <f t="shared" si="12"/>
        <v>217567.63999999978</v>
      </c>
      <c r="G66" s="47">
        <f t="shared" si="13"/>
        <v>190339.38999999978</v>
      </c>
    </row>
    <row r="67" spans="1:7" x14ac:dyDescent="0.25">
      <c r="A67" s="70">
        <v>43074</v>
      </c>
      <c r="B67" s="84">
        <f t="shared" si="2"/>
        <v>30</v>
      </c>
      <c r="C67" s="47">
        <f t="shared" si="9"/>
        <v>30000</v>
      </c>
      <c r="D67" s="48">
        <f t="shared" si="10"/>
        <v>27653.35</v>
      </c>
      <c r="E67" s="68">
        <f t="shared" si="11"/>
        <v>2346.65</v>
      </c>
      <c r="F67" s="47">
        <f t="shared" si="12"/>
        <v>190339.38999999978</v>
      </c>
      <c r="G67" s="47">
        <f t="shared" si="13"/>
        <v>162686.03999999978</v>
      </c>
    </row>
    <row r="68" spans="1:7" x14ac:dyDescent="0.25">
      <c r="A68" s="70">
        <v>43105</v>
      </c>
      <c r="B68" s="84">
        <f t="shared" si="2"/>
        <v>31</v>
      </c>
      <c r="C68" s="47">
        <f t="shared" si="9"/>
        <v>30000</v>
      </c>
      <c r="D68" s="48">
        <f t="shared" si="10"/>
        <v>27927.42</v>
      </c>
      <c r="E68" s="68">
        <f t="shared" si="11"/>
        <v>2072.58</v>
      </c>
      <c r="F68" s="47">
        <f t="shared" si="12"/>
        <v>162686.03999999978</v>
      </c>
      <c r="G68" s="47">
        <f t="shared" si="13"/>
        <v>134758.61999999976</v>
      </c>
    </row>
    <row r="69" spans="1:7" x14ac:dyDescent="0.25">
      <c r="A69" s="70">
        <v>43136</v>
      </c>
      <c r="B69" s="84">
        <f t="shared" si="2"/>
        <v>31</v>
      </c>
      <c r="C69" s="47">
        <f t="shared" si="9"/>
        <v>30000</v>
      </c>
      <c r="D69" s="48">
        <f t="shared" si="10"/>
        <v>28283.21</v>
      </c>
      <c r="E69" s="68">
        <f t="shared" si="11"/>
        <v>1716.79</v>
      </c>
      <c r="F69" s="47">
        <f t="shared" si="12"/>
        <v>134758.61999999976</v>
      </c>
      <c r="G69" s="47">
        <f t="shared" si="13"/>
        <v>106475.40999999977</v>
      </c>
    </row>
    <row r="70" spans="1:7" x14ac:dyDescent="0.25">
      <c r="A70" s="70">
        <v>43164</v>
      </c>
      <c r="B70" s="84">
        <f t="shared" ref="B70:B73" si="14">A70-A69</f>
        <v>28</v>
      </c>
      <c r="C70" s="47">
        <f t="shared" si="9"/>
        <v>30000</v>
      </c>
      <c r="D70" s="48">
        <f t="shared" si="10"/>
        <v>28774.799999999999</v>
      </c>
      <c r="E70" s="68">
        <f t="shared" si="11"/>
        <v>1225.2</v>
      </c>
      <c r="F70" s="47">
        <f t="shared" si="12"/>
        <v>106475.40999999977</v>
      </c>
      <c r="G70" s="47">
        <f t="shared" si="13"/>
        <v>77700.609999999768</v>
      </c>
    </row>
    <row r="71" spans="1:7" x14ac:dyDescent="0.25">
      <c r="A71" s="70">
        <v>43195</v>
      </c>
      <c r="B71" s="84">
        <f t="shared" si="14"/>
        <v>31</v>
      </c>
      <c r="C71" s="47">
        <f t="shared" si="9"/>
        <v>30000</v>
      </c>
      <c r="D71" s="48">
        <f t="shared" si="10"/>
        <v>29010.12</v>
      </c>
      <c r="E71" s="68">
        <f t="shared" si="11"/>
        <v>989.88</v>
      </c>
      <c r="F71" s="47">
        <f t="shared" si="12"/>
        <v>77700.609999999768</v>
      </c>
      <c r="G71" s="47">
        <f t="shared" si="13"/>
        <v>48690.489999999772</v>
      </c>
    </row>
    <row r="72" spans="1:7" x14ac:dyDescent="0.25">
      <c r="A72" s="70">
        <v>43225</v>
      </c>
      <c r="B72" s="84">
        <f t="shared" si="14"/>
        <v>30</v>
      </c>
      <c r="C72" s="47">
        <f t="shared" si="9"/>
        <v>30000</v>
      </c>
      <c r="D72" s="48">
        <f t="shared" si="10"/>
        <v>29399.71</v>
      </c>
      <c r="E72" s="68">
        <f t="shared" si="11"/>
        <v>600.29</v>
      </c>
      <c r="F72" s="47">
        <f t="shared" si="12"/>
        <v>48690.489999999772</v>
      </c>
      <c r="G72" s="47">
        <f t="shared" si="13"/>
        <v>19290.779999999773</v>
      </c>
    </row>
    <row r="73" spans="1:7" x14ac:dyDescent="0.25">
      <c r="A73" s="70">
        <v>43256</v>
      </c>
      <c r="B73" s="84">
        <f t="shared" si="14"/>
        <v>31</v>
      </c>
      <c r="C73" s="47">
        <f>ROUND(G72+E73,2)</f>
        <v>19536.54</v>
      </c>
      <c r="D73" s="48">
        <f t="shared" ref="D73" si="15">C73-E73</f>
        <v>19290.780000000002</v>
      </c>
      <c r="E73" s="68">
        <f t="shared" ref="E73" si="16">ROUND(F73*$B$2*B73/365,2)</f>
        <v>245.76</v>
      </c>
      <c r="F73" s="47">
        <f t="shared" ref="F73" si="17">G72</f>
        <v>19290.779999999773</v>
      </c>
      <c r="G73" s="47">
        <f t="shared" ref="G73" si="18">F73-D73</f>
        <v>-2.2919266484677792E-10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F9E69-5C84-4AA7-8C52-343E099412E6}">
  <dimension ref="A1:J73"/>
  <sheetViews>
    <sheetView zoomScale="85" zoomScaleNormal="85" workbookViewId="0">
      <pane ySplit="3" topLeftCell="A26" activePane="bottomLeft" state="frozen"/>
      <selection activeCell="C40" sqref="C40"/>
      <selection pane="bottomLeft" activeCell="E41" sqref="E4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6.42578125" bestFit="1" customWidth="1"/>
    <col min="6" max="6" width="17" bestFit="1" customWidth="1"/>
    <col min="7" max="7" width="19.140625" bestFit="1" customWidth="1"/>
    <col min="8" max="8" width="16.7109375" bestFit="1" customWidth="1"/>
    <col min="9" max="9" width="23.7109375" bestFit="1" customWidth="1"/>
    <col min="10" max="10" width="9.7109375" bestFit="1" customWidth="1"/>
    <col min="11" max="11" width="15.5703125" bestFit="1" customWidth="1"/>
    <col min="12" max="12" width="9.7109375" bestFit="1" customWidth="1"/>
  </cols>
  <sheetData>
    <row r="1" spans="1:10" x14ac:dyDescent="0.25">
      <c r="A1" s="17" t="s">
        <v>33</v>
      </c>
      <c r="B1" s="78">
        <v>41856</v>
      </c>
      <c r="C1" s="17" t="s">
        <v>37</v>
      </c>
      <c r="D1" s="79">
        <f>ROUNDUP(34665.5343079289,0)</f>
        <v>34666</v>
      </c>
      <c r="E1" s="73" t="s">
        <v>150</v>
      </c>
      <c r="F1" s="79">
        <f>ROUNDUP(20000,2)</f>
        <v>20000</v>
      </c>
      <c r="G1" s="69" t="s">
        <v>147</v>
      </c>
      <c r="H1" s="86">
        <v>42252</v>
      </c>
      <c r="I1" s="69" t="s">
        <v>148</v>
      </c>
      <c r="J1" s="86">
        <v>42618</v>
      </c>
    </row>
    <row r="2" spans="1:10" x14ac:dyDescent="0.25">
      <c r="A2" s="75" t="s">
        <v>34</v>
      </c>
      <c r="B2" s="76">
        <v>0.15</v>
      </c>
      <c r="I2" s="69" t="s">
        <v>149</v>
      </c>
      <c r="J2" s="69">
        <v>30000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0" x14ac:dyDescent="0.25">
      <c r="A4" s="36">
        <v>41887</v>
      </c>
      <c r="B4" s="46">
        <f>DAYS360(B1,A4,TRUE)</f>
        <v>30</v>
      </c>
      <c r="C4" s="47">
        <f>$D$1</f>
        <v>34666</v>
      </c>
      <c r="D4" s="48">
        <f t="shared" ref="D4:D39" si="0">C4-E4</f>
        <v>22166</v>
      </c>
      <c r="E4" s="68">
        <f>ROUND(F4*$B$2*B4/360,2)</f>
        <v>12500</v>
      </c>
      <c r="F4" s="47">
        <v>1000000</v>
      </c>
      <c r="G4" s="47">
        <f t="shared" ref="G4" si="1">F4-D4</f>
        <v>977834</v>
      </c>
    </row>
    <row r="5" spans="1:10" x14ac:dyDescent="0.25">
      <c r="A5" s="36">
        <v>41917</v>
      </c>
      <c r="B5" s="46">
        <f>DAYS360(A4,A5,TRUE)</f>
        <v>30</v>
      </c>
      <c r="C5" s="47">
        <f>$D$1</f>
        <v>34666</v>
      </c>
      <c r="D5" s="48">
        <f t="shared" si="0"/>
        <v>22443.07</v>
      </c>
      <c r="E5" s="68">
        <f>ROUND(F5*$B$2*B5/360,2)</f>
        <v>12222.93</v>
      </c>
      <c r="F5" s="47">
        <f>G4</f>
        <v>977834</v>
      </c>
      <c r="G5" s="47">
        <f>F5-D5</f>
        <v>955390.93</v>
      </c>
    </row>
    <row r="6" spans="1:10" x14ac:dyDescent="0.25">
      <c r="A6" s="36">
        <v>41948</v>
      </c>
      <c r="B6" s="46">
        <f t="shared" ref="B6:B39" si="2">DAYS360(A5,A6,TRUE)</f>
        <v>30</v>
      </c>
      <c r="C6" s="47">
        <f t="shared" ref="C6:C39" si="3">$D$1</f>
        <v>34666</v>
      </c>
      <c r="D6" s="48">
        <f t="shared" si="0"/>
        <v>22723.61</v>
      </c>
      <c r="E6" s="68">
        <f t="shared" ref="E6:E38" si="4">ROUND(F6*$B$2*B6/360,2)</f>
        <v>11942.39</v>
      </c>
      <c r="F6" s="47">
        <f t="shared" ref="F6:F39" si="5">G5</f>
        <v>955390.93</v>
      </c>
      <c r="G6" s="47">
        <f t="shared" ref="G6:G40" si="6">F6-D6</f>
        <v>932667.32000000007</v>
      </c>
    </row>
    <row r="7" spans="1:10" x14ac:dyDescent="0.25">
      <c r="A7" s="36">
        <v>41978</v>
      </c>
      <c r="B7" s="46">
        <f t="shared" si="2"/>
        <v>30</v>
      </c>
      <c r="C7" s="47">
        <f t="shared" si="3"/>
        <v>34666</v>
      </c>
      <c r="D7" s="48">
        <f t="shared" si="0"/>
        <v>23007.66</v>
      </c>
      <c r="E7" s="68">
        <f t="shared" si="4"/>
        <v>11658.34</v>
      </c>
      <c r="F7" s="47">
        <f t="shared" si="5"/>
        <v>932667.32000000007</v>
      </c>
      <c r="G7" s="47">
        <f t="shared" si="6"/>
        <v>909659.66</v>
      </c>
    </row>
    <row r="8" spans="1:10" x14ac:dyDescent="0.25">
      <c r="A8" s="36">
        <v>42009</v>
      </c>
      <c r="B8" s="46">
        <f t="shared" si="2"/>
        <v>30</v>
      </c>
      <c r="C8" s="47">
        <f t="shared" si="3"/>
        <v>34666</v>
      </c>
      <c r="D8" s="48">
        <f t="shared" si="0"/>
        <v>23295.25</v>
      </c>
      <c r="E8" s="68">
        <f t="shared" si="4"/>
        <v>11370.75</v>
      </c>
      <c r="F8" s="47">
        <f t="shared" si="5"/>
        <v>909659.66</v>
      </c>
      <c r="G8" s="47">
        <f t="shared" si="6"/>
        <v>886364.41</v>
      </c>
    </row>
    <row r="9" spans="1:10" x14ac:dyDescent="0.25">
      <c r="A9" s="36">
        <v>42040</v>
      </c>
      <c r="B9" s="46">
        <f t="shared" si="2"/>
        <v>30</v>
      </c>
      <c r="C9" s="47">
        <f t="shared" si="3"/>
        <v>34666</v>
      </c>
      <c r="D9" s="48">
        <f t="shared" si="0"/>
        <v>23586.440000000002</v>
      </c>
      <c r="E9" s="68">
        <f t="shared" si="4"/>
        <v>11079.56</v>
      </c>
      <c r="F9" s="47">
        <f t="shared" si="5"/>
        <v>886364.41</v>
      </c>
      <c r="G9" s="47">
        <f t="shared" si="6"/>
        <v>862777.97</v>
      </c>
    </row>
    <row r="10" spans="1:10" x14ac:dyDescent="0.25">
      <c r="A10" s="36">
        <v>42068</v>
      </c>
      <c r="B10" s="46">
        <f t="shared" si="2"/>
        <v>30</v>
      </c>
      <c r="C10" s="47">
        <f t="shared" si="3"/>
        <v>34666</v>
      </c>
      <c r="D10" s="48">
        <f t="shared" si="0"/>
        <v>23881.279999999999</v>
      </c>
      <c r="E10" s="68">
        <f t="shared" si="4"/>
        <v>10784.72</v>
      </c>
      <c r="F10" s="47">
        <f t="shared" si="5"/>
        <v>862777.97</v>
      </c>
      <c r="G10" s="47">
        <f t="shared" si="6"/>
        <v>838896.69</v>
      </c>
    </row>
    <row r="11" spans="1:10" x14ac:dyDescent="0.25">
      <c r="A11" s="36">
        <v>42099</v>
      </c>
      <c r="B11" s="46">
        <f t="shared" si="2"/>
        <v>30</v>
      </c>
      <c r="C11" s="47">
        <f t="shared" si="3"/>
        <v>34666</v>
      </c>
      <c r="D11" s="48">
        <f t="shared" si="0"/>
        <v>24179.79</v>
      </c>
      <c r="E11" s="68">
        <f t="shared" si="4"/>
        <v>10486.21</v>
      </c>
      <c r="F11" s="47">
        <f t="shared" si="5"/>
        <v>838896.69</v>
      </c>
      <c r="G11" s="47">
        <f t="shared" si="6"/>
        <v>814716.89999999991</v>
      </c>
    </row>
    <row r="12" spans="1:10" x14ac:dyDescent="0.25">
      <c r="A12" s="36">
        <v>42129</v>
      </c>
      <c r="B12" s="46">
        <f t="shared" si="2"/>
        <v>30</v>
      </c>
      <c r="C12" s="47">
        <f t="shared" si="3"/>
        <v>34666</v>
      </c>
      <c r="D12" s="48">
        <f t="shared" si="0"/>
        <v>24482.04</v>
      </c>
      <c r="E12" s="68">
        <f t="shared" si="4"/>
        <v>10183.959999999999</v>
      </c>
      <c r="F12" s="47">
        <f t="shared" si="5"/>
        <v>814716.89999999991</v>
      </c>
      <c r="G12" s="47">
        <f t="shared" si="6"/>
        <v>790234.85999999987</v>
      </c>
    </row>
    <row r="13" spans="1:10" x14ac:dyDescent="0.25">
      <c r="A13" s="36">
        <v>42160</v>
      </c>
      <c r="B13" s="46">
        <f t="shared" si="2"/>
        <v>30</v>
      </c>
      <c r="C13" s="47">
        <f t="shared" si="3"/>
        <v>34666</v>
      </c>
      <c r="D13" s="48">
        <f t="shared" si="0"/>
        <v>24788.059999999998</v>
      </c>
      <c r="E13" s="68">
        <f t="shared" si="4"/>
        <v>9877.94</v>
      </c>
      <c r="F13" s="47">
        <f t="shared" si="5"/>
        <v>790234.85999999987</v>
      </c>
      <c r="G13" s="47">
        <f t="shared" si="6"/>
        <v>765446.79999999981</v>
      </c>
    </row>
    <row r="14" spans="1:10" x14ac:dyDescent="0.25">
      <c r="A14" s="36">
        <v>42190</v>
      </c>
      <c r="B14" s="46">
        <f t="shared" si="2"/>
        <v>30</v>
      </c>
      <c r="C14" s="47">
        <f t="shared" si="3"/>
        <v>34666</v>
      </c>
      <c r="D14" s="48">
        <f t="shared" si="0"/>
        <v>25097.91</v>
      </c>
      <c r="E14" s="68">
        <f t="shared" si="4"/>
        <v>9568.09</v>
      </c>
      <c r="F14" s="47">
        <f t="shared" si="5"/>
        <v>765446.79999999981</v>
      </c>
      <c r="G14" s="47">
        <f t="shared" si="6"/>
        <v>740348.88999999978</v>
      </c>
    </row>
    <row r="15" spans="1:10" x14ac:dyDescent="0.25">
      <c r="A15" s="36">
        <v>42221</v>
      </c>
      <c r="B15" s="46">
        <f t="shared" si="2"/>
        <v>30</v>
      </c>
      <c r="C15" s="47">
        <f t="shared" si="3"/>
        <v>34666</v>
      </c>
      <c r="D15" s="48">
        <f t="shared" si="0"/>
        <v>25411.64</v>
      </c>
      <c r="E15" s="68">
        <f t="shared" si="4"/>
        <v>9254.36</v>
      </c>
      <c r="F15" s="47">
        <f t="shared" si="5"/>
        <v>740348.88999999978</v>
      </c>
      <c r="G15" s="47">
        <f t="shared" si="6"/>
        <v>714937.24999999977</v>
      </c>
    </row>
    <row r="16" spans="1:10" x14ac:dyDescent="0.25">
      <c r="A16" s="36">
        <v>42252</v>
      </c>
      <c r="B16" s="46">
        <f t="shared" si="2"/>
        <v>30</v>
      </c>
      <c r="C16" s="47">
        <f t="shared" si="3"/>
        <v>34666</v>
      </c>
      <c r="D16" s="48">
        <f t="shared" si="0"/>
        <v>25729.279999999999</v>
      </c>
      <c r="E16" s="68">
        <f t="shared" si="4"/>
        <v>8936.7199999999993</v>
      </c>
      <c r="F16" s="47">
        <f t="shared" si="5"/>
        <v>714937.24999999977</v>
      </c>
      <c r="G16" s="47">
        <f t="shared" si="6"/>
        <v>689207.96999999974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34666</v>
      </c>
      <c r="D17" s="48">
        <f t="shared" si="0"/>
        <v>26050.9</v>
      </c>
      <c r="E17" s="68">
        <f t="shared" si="4"/>
        <v>8615.1</v>
      </c>
      <c r="F17" s="47">
        <f t="shared" si="5"/>
        <v>689207.96999999974</v>
      </c>
      <c r="G17" s="47">
        <f t="shared" si="6"/>
        <v>663157.06999999972</v>
      </c>
    </row>
    <row r="18" spans="1:7" x14ac:dyDescent="0.25">
      <c r="A18" s="36">
        <v>42313</v>
      </c>
      <c r="B18" s="46">
        <f t="shared" si="2"/>
        <v>30</v>
      </c>
      <c r="C18" s="47">
        <f t="shared" si="3"/>
        <v>34666</v>
      </c>
      <c r="D18" s="48">
        <f t="shared" si="0"/>
        <v>26376.54</v>
      </c>
      <c r="E18" s="68">
        <f t="shared" si="4"/>
        <v>8289.4599999999991</v>
      </c>
      <c r="F18" s="47">
        <f t="shared" si="5"/>
        <v>663157.06999999972</v>
      </c>
      <c r="G18" s="47">
        <f t="shared" si="6"/>
        <v>636780.52999999968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34666</v>
      </c>
      <c r="D19" s="48">
        <f t="shared" si="0"/>
        <v>26706.239999999998</v>
      </c>
      <c r="E19" s="68">
        <f t="shared" si="4"/>
        <v>7959.76</v>
      </c>
      <c r="F19" s="47">
        <f t="shared" si="5"/>
        <v>636780.52999999968</v>
      </c>
      <c r="G19" s="47">
        <f t="shared" si="6"/>
        <v>610074.28999999969</v>
      </c>
    </row>
    <row r="20" spans="1:7" x14ac:dyDescent="0.25">
      <c r="A20" s="36">
        <v>42374</v>
      </c>
      <c r="B20" s="46">
        <f t="shared" si="2"/>
        <v>30</v>
      </c>
      <c r="C20" s="47">
        <f t="shared" si="3"/>
        <v>34666</v>
      </c>
      <c r="D20" s="48">
        <f t="shared" si="0"/>
        <v>27040.07</v>
      </c>
      <c r="E20" s="68">
        <f t="shared" si="4"/>
        <v>7625.93</v>
      </c>
      <c r="F20" s="47">
        <f t="shared" si="5"/>
        <v>610074.28999999969</v>
      </c>
      <c r="G20" s="47">
        <f t="shared" si="6"/>
        <v>583034.21999999974</v>
      </c>
    </row>
    <row r="21" spans="1:7" x14ac:dyDescent="0.25">
      <c r="A21" s="36">
        <v>42405</v>
      </c>
      <c r="B21" s="46">
        <f t="shared" si="2"/>
        <v>30</v>
      </c>
      <c r="C21" s="47">
        <f t="shared" si="3"/>
        <v>34666</v>
      </c>
      <c r="D21" s="48">
        <f t="shared" si="0"/>
        <v>27378.07</v>
      </c>
      <c r="E21" s="68">
        <f t="shared" si="4"/>
        <v>7287.93</v>
      </c>
      <c r="F21" s="47">
        <f t="shared" si="5"/>
        <v>583034.21999999974</v>
      </c>
      <c r="G21" s="47">
        <f t="shared" si="6"/>
        <v>555656.14999999979</v>
      </c>
    </row>
    <row r="22" spans="1:7" x14ac:dyDescent="0.25">
      <c r="A22" s="36">
        <v>42434</v>
      </c>
      <c r="B22" s="46">
        <f t="shared" si="2"/>
        <v>30</v>
      </c>
      <c r="C22" s="47">
        <f t="shared" si="3"/>
        <v>34666</v>
      </c>
      <c r="D22" s="48">
        <f t="shared" si="0"/>
        <v>27720.3</v>
      </c>
      <c r="E22" s="68">
        <f t="shared" si="4"/>
        <v>6945.7</v>
      </c>
      <c r="F22" s="47">
        <f t="shared" si="5"/>
        <v>555656.14999999979</v>
      </c>
      <c r="G22" s="47">
        <f t="shared" si="6"/>
        <v>527935.84999999974</v>
      </c>
    </row>
    <row r="23" spans="1:7" x14ac:dyDescent="0.25">
      <c r="A23" s="36">
        <v>42465</v>
      </c>
      <c r="B23" s="46">
        <f t="shared" si="2"/>
        <v>30</v>
      </c>
      <c r="C23" s="47">
        <f t="shared" si="3"/>
        <v>34666</v>
      </c>
      <c r="D23" s="48">
        <f t="shared" si="0"/>
        <v>28066.799999999999</v>
      </c>
      <c r="E23" s="68">
        <f t="shared" si="4"/>
        <v>6599.2</v>
      </c>
      <c r="F23" s="47">
        <f t="shared" si="5"/>
        <v>527935.84999999974</v>
      </c>
      <c r="G23" s="47">
        <f t="shared" si="6"/>
        <v>499869.04999999976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34666</v>
      </c>
      <c r="D24" s="48">
        <f t="shared" si="0"/>
        <v>28417.64</v>
      </c>
      <c r="E24" s="68">
        <f t="shared" si="4"/>
        <v>6248.36</v>
      </c>
      <c r="F24" s="47">
        <f t="shared" si="5"/>
        <v>499869.04999999976</v>
      </c>
      <c r="G24" s="47">
        <f t="shared" si="6"/>
        <v>471451.40999999974</v>
      </c>
    </row>
    <row r="25" spans="1:7" x14ac:dyDescent="0.25">
      <c r="A25" s="36">
        <v>42526</v>
      </c>
      <c r="B25" s="46">
        <f t="shared" si="2"/>
        <v>30</v>
      </c>
      <c r="C25" s="47">
        <f t="shared" si="3"/>
        <v>34666</v>
      </c>
      <c r="D25" s="48">
        <f t="shared" si="0"/>
        <v>28772.86</v>
      </c>
      <c r="E25" s="68">
        <f t="shared" si="4"/>
        <v>5893.14</v>
      </c>
      <c r="F25" s="47">
        <f t="shared" si="5"/>
        <v>471451.40999999974</v>
      </c>
      <c r="G25" s="47">
        <f t="shared" si="6"/>
        <v>442678.54999999976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34666</v>
      </c>
      <c r="D26" s="48">
        <f t="shared" si="0"/>
        <v>29132.52</v>
      </c>
      <c r="E26" s="68">
        <f t="shared" si="4"/>
        <v>5533.48</v>
      </c>
      <c r="F26" s="47">
        <f t="shared" si="5"/>
        <v>442678.54999999976</v>
      </c>
      <c r="G26" s="47">
        <f t="shared" si="6"/>
        <v>413546.02999999974</v>
      </c>
    </row>
    <row r="27" spans="1:7" x14ac:dyDescent="0.25">
      <c r="A27" s="36">
        <v>42587</v>
      </c>
      <c r="B27" s="46">
        <f t="shared" si="2"/>
        <v>30</v>
      </c>
      <c r="C27" s="47">
        <f t="shared" si="3"/>
        <v>34666</v>
      </c>
      <c r="D27" s="48">
        <f t="shared" si="0"/>
        <v>29496.67</v>
      </c>
      <c r="E27" s="68">
        <f t="shared" si="4"/>
        <v>5169.33</v>
      </c>
      <c r="F27" s="47">
        <f t="shared" si="5"/>
        <v>413546.02999999974</v>
      </c>
      <c r="G27" s="47">
        <f t="shared" si="6"/>
        <v>384049.35999999975</v>
      </c>
    </row>
    <row r="28" spans="1:7" x14ac:dyDescent="0.25">
      <c r="A28" s="36">
        <v>42618</v>
      </c>
      <c r="B28" s="46">
        <f t="shared" si="2"/>
        <v>30</v>
      </c>
      <c r="C28" s="47">
        <f t="shared" si="3"/>
        <v>34666</v>
      </c>
      <c r="D28" s="48">
        <f t="shared" si="0"/>
        <v>29865.38</v>
      </c>
      <c r="E28" s="68">
        <f t="shared" si="4"/>
        <v>4800.62</v>
      </c>
      <c r="F28" s="47">
        <f t="shared" si="5"/>
        <v>384049.35999999975</v>
      </c>
      <c r="G28" s="47">
        <f t="shared" si="6"/>
        <v>354183.97999999975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34666</v>
      </c>
      <c r="D29" s="48">
        <f t="shared" si="0"/>
        <v>30238.7</v>
      </c>
      <c r="E29" s="68">
        <f t="shared" si="4"/>
        <v>4427.3</v>
      </c>
      <c r="F29" s="47">
        <f t="shared" si="5"/>
        <v>354183.97999999975</v>
      </c>
      <c r="G29" s="47">
        <f t="shared" si="6"/>
        <v>323945.27999999974</v>
      </c>
    </row>
    <row r="30" spans="1:7" x14ac:dyDescent="0.25">
      <c r="A30" s="36">
        <v>42679</v>
      </c>
      <c r="B30" s="46">
        <f t="shared" si="2"/>
        <v>30</v>
      </c>
      <c r="C30" s="47">
        <f t="shared" si="3"/>
        <v>34666</v>
      </c>
      <c r="D30" s="48">
        <f t="shared" si="0"/>
        <v>30616.68</v>
      </c>
      <c r="E30" s="68">
        <f t="shared" si="4"/>
        <v>4049.32</v>
      </c>
      <c r="F30" s="47">
        <f t="shared" si="5"/>
        <v>323945.27999999974</v>
      </c>
      <c r="G30" s="47">
        <f t="shared" si="6"/>
        <v>293328.59999999974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34666</v>
      </c>
      <c r="D31" s="48">
        <f t="shared" si="0"/>
        <v>30999.39</v>
      </c>
      <c r="E31" s="68">
        <f t="shared" si="4"/>
        <v>3666.61</v>
      </c>
      <c r="F31" s="47">
        <f t="shared" si="5"/>
        <v>293328.59999999974</v>
      </c>
      <c r="G31" s="47">
        <f t="shared" si="6"/>
        <v>262329.20999999973</v>
      </c>
    </row>
    <row r="32" spans="1:7" x14ac:dyDescent="0.25">
      <c r="A32" s="36">
        <v>42740</v>
      </c>
      <c r="B32" s="46">
        <f t="shared" si="2"/>
        <v>30</v>
      </c>
      <c r="C32" s="47">
        <f t="shared" si="3"/>
        <v>34666</v>
      </c>
      <c r="D32" s="48">
        <f t="shared" si="0"/>
        <v>31386.880000000001</v>
      </c>
      <c r="E32" s="68">
        <f t="shared" si="4"/>
        <v>3279.12</v>
      </c>
      <c r="F32" s="47">
        <f t="shared" si="5"/>
        <v>262329.20999999973</v>
      </c>
      <c r="G32" s="47">
        <f t="shared" si="6"/>
        <v>230942.32999999973</v>
      </c>
    </row>
    <row r="33" spans="1:7" x14ac:dyDescent="0.25">
      <c r="A33" s="36">
        <v>42771</v>
      </c>
      <c r="B33" s="46">
        <f t="shared" si="2"/>
        <v>30</v>
      </c>
      <c r="C33" s="47">
        <f t="shared" si="3"/>
        <v>34666</v>
      </c>
      <c r="D33" s="48">
        <f t="shared" si="0"/>
        <v>31779.22</v>
      </c>
      <c r="E33" s="68">
        <f t="shared" si="4"/>
        <v>2886.78</v>
      </c>
      <c r="F33" s="47">
        <f t="shared" si="5"/>
        <v>230942.32999999973</v>
      </c>
      <c r="G33" s="47">
        <f t="shared" si="6"/>
        <v>199163.10999999972</v>
      </c>
    </row>
    <row r="34" spans="1:7" x14ac:dyDescent="0.25">
      <c r="A34" s="36">
        <v>42799</v>
      </c>
      <c r="B34" s="46">
        <f t="shared" si="2"/>
        <v>30</v>
      </c>
      <c r="C34" s="47">
        <f t="shared" si="3"/>
        <v>34666</v>
      </c>
      <c r="D34" s="48">
        <f t="shared" si="0"/>
        <v>32176.46</v>
      </c>
      <c r="E34" s="68">
        <f t="shared" si="4"/>
        <v>2489.54</v>
      </c>
      <c r="F34" s="47">
        <f t="shared" si="5"/>
        <v>199163.10999999972</v>
      </c>
      <c r="G34" s="47">
        <f t="shared" si="6"/>
        <v>166986.64999999973</v>
      </c>
    </row>
    <row r="35" spans="1:7" x14ac:dyDescent="0.25">
      <c r="A35" s="36">
        <v>42830</v>
      </c>
      <c r="B35" s="46">
        <f t="shared" si="2"/>
        <v>30</v>
      </c>
      <c r="C35" s="47">
        <f t="shared" si="3"/>
        <v>34666</v>
      </c>
      <c r="D35" s="48">
        <f t="shared" si="0"/>
        <v>32578.67</v>
      </c>
      <c r="E35" s="68">
        <f t="shared" si="4"/>
        <v>2087.33</v>
      </c>
      <c r="F35" s="47">
        <f t="shared" si="5"/>
        <v>166986.64999999973</v>
      </c>
      <c r="G35" s="47">
        <f t="shared" si="6"/>
        <v>134407.97999999975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34666</v>
      </c>
      <c r="D36" s="48">
        <f t="shared" si="0"/>
        <v>32985.9</v>
      </c>
      <c r="E36" s="68">
        <f t="shared" si="4"/>
        <v>1680.1</v>
      </c>
      <c r="F36" s="47">
        <f t="shared" si="5"/>
        <v>134407.97999999975</v>
      </c>
      <c r="G36" s="47">
        <f t="shared" si="6"/>
        <v>101422.07999999975</v>
      </c>
    </row>
    <row r="37" spans="1:7" x14ac:dyDescent="0.25">
      <c r="A37" s="36">
        <v>42891</v>
      </c>
      <c r="B37" s="46">
        <f t="shared" si="2"/>
        <v>30</v>
      </c>
      <c r="C37" s="47">
        <f t="shared" si="3"/>
        <v>34666</v>
      </c>
      <c r="D37" s="48">
        <f t="shared" si="0"/>
        <v>33398.22</v>
      </c>
      <c r="E37" s="68">
        <f t="shared" si="4"/>
        <v>1267.78</v>
      </c>
      <c r="F37" s="47">
        <f t="shared" si="5"/>
        <v>101422.07999999975</v>
      </c>
      <c r="G37" s="47">
        <f t="shared" si="6"/>
        <v>68023.859999999753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34666</v>
      </c>
      <c r="D38" s="48">
        <f t="shared" si="0"/>
        <v>33815.699999999997</v>
      </c>
      <c r="E38" s="68">
        <f t="shared" si="4"/>
        <v>850.3</v>
      </c>
      <c r="F38" s="47">
        <f t="shared" si="5"/>
        <v>68023.859999999753</v>
      </c>
      <c r="G38" s="47">
        <f t="shared" si="6"/>
        <v>34208.159999999756</v>
      </c>
    </row>
    <row r="39" spans="1:7" x14ac:dyDescent="0.25">
      <c r="A39" s="36">
        <v>42952</v>
      </c>
      <c r="B39" s="46">
        <f t="shared" si="2"/>
        <v>30</v>
      </c>
      <c r="C39" s="47">
        <f t="shared" si="3"/>
        <v>34666</v>
      </c>
      <c r="D39" s="48">
        <f t="shared" si="0"/>
        <v>34208.159999999756</v>
      </c>
      <c r="E39" s="68">
        <v>457.84000000024537</v>
      </c>
      <c r="F39" s="47">
        <f t="shared" si="5"/>
        <v>34208.159999999756</v>
      </c>
      <c r="G39" s="47">
        <f t="shared" si="6"/>
        <v>0</v>
      </c>
    </row>
    <row r="40" spans="1:7" x14ac:dyDescent="0.25">
      <c r="A40" s="70">
        <v>42252</v>
      </c>
      <c r="B40" s="84">
        <f>DAYS360(A15,A16,TRUE)</f>
        <v>30</v>
      </c>
      <c r="C40" s="47">
        <f>$D$1</f>
        <v>34666</v>
      </c>
      <c r="D40" s="48">
        <f>C16-E16</f>
        <v>25729.279999999999</v>
      </c>
      <c r="E40" s="68">
        <f>ROUND(F16*$B$2*B16/360,2)</f>
        <v>8936.7199999999993</v>
      </c>
      <c r="F40" s="47">
        <f>G15</f>
        <v>714937.24999999977</v>
      </c>
      <c r="G40" s="47">
        <f t="shared" si="6"/>
        <v>689207.96999999974</v>
      </c>
    </row>
    <row r="41" spans="1:7" x14ac:dyDescent="0.25">
      <c r="A41" s="70">
        <v>42282</v>
      </c>
      <c r="B41" s="84">
        <f>DAYS360(A40,A41,TRUE)</f>
        <v>30</v>
      </c>
      <c r="C41" s="47">
        <f t="shared" ref="C41:C52" si="7">$F$1</f>
        <v>20000</v>
      </c>
      <c r="D41" s="48">
        <f t="shared" ref="D41:D61" si="8">C41-E41</f>
        <v>11384.9</v>
      </c>
      <c r="E41" s="68">
        <f>ROUND(F41*$B$2*B41/360,2)</f>
        <v>8615.1</v>
      </c>
      <c r="F41" s="47">
        <f>G16</f>
        <v>689207.96999999974</v>
      </c>
      <c r="G41" s="47">
        <f>F41-D41</f>
        <v>677823.06999999972</v>
      </c>
    </row>
    <row r="42" spans="1:7" x14ac:dyDescent="0.25">
      <c r="A42" s="70">
        <v>42313</v>
      </c>
      <c r="B42" s="84">
        <f t="shared" ref="B42:B73" si="9">DAYS360(A41,A42,TRUE)</f>
        <v>30</v>
      </c>
      <c r="C42" s="47">
        <f t="shared" si="7"/>
        <v>20000</v>
      </c>
      <c r="D42" s="48">
        <f t="shared" si="8"/>
        <v>11527.21</v>
      </c>
      <c r="E42" s="68">
        <f t="shared" ref="E42:E61" si="10">ROUND(F42*$B$2*B42/360,2)</f>
        <v>8472.7900000000009</v>
      </c>
      <c r="F42" s="47">
        <f t="shared" ref="F42:F61" si="11">G41</f>
        <v>677823.06999999972</v>
      </c>
      <c r="G42" s="47">
        <f t="shared" ref="G42:G61" si="12">F42-D42</f>
        <v>666295.85999999975</v>
      </c>
    </row>
    <row r="43" spans="1:7" x14ac:dyDescent="0.25">
      <c r="A43" s="70">
        <v>42343</v>
      </c>
      <c r="B43" s="84">
        <f t="shared" si="9"/>
        <v>30</v>
      </c>
      <c r="C43" s="47">
        <f t="shared" si="7"/>
        <v>20000</v>
      </c>
      <c r="D43" s="48">
        <f t="shared" si="8"/>
        <v>11671.3</v>
      </c>
      <c r="E43" s="68">
        <f t="shared" si="10"/>
        <v>8328.7000000000007</v>
      </c>
      <c r="F43" s="47">
        <f t="shared" si="11"/>
        <v>666295.85999999975</v>
      </c>
      <c r="G43" s="47">
        <f t="shared" si="12"/>
        <v>654624.55999999971</v>
      </c>
    </row>
    <row r="44" spans="1:7" x14ac:dyDescent="0.25">
      <c r="A44" s="70">
        <v>42374</v>
      </c>
      <c r="B44" s="84">
        <f t="shared" si="9"/>
        <v>30</v>
      </c>
      <c r="C44" s="47">
        <f t="shared" si="7"/>
        <v>20000</v>
      </c>
      <c r="D44" s="48">
        <f t="shared" si="8"/>
        <v>11817.189999999999</v>
      </c>
      <c r="E44" s="68">
        <f t="shared" si="10"/>
        <v>8182.81</v>
      </c>
      <c r="F44" s="47">
        <f t="shared" si="11"/>
        <v>654624.55999999971</v>
      </c>
      <c r="G44" s="47">
        <f t="shared" si="12"/>
        <v>642807.36999999976</v>
      </c>
    </row>
    <row r="45" spans="1:7" x14ac:dyDescent="0.25">
      <c r="A45" s="70">
        <v>42405</v>
      </c>
      <c r="B45" s="84">
        <f t="shared" si="9"/>
        <v>30</v>
      </c>
      <c r="C45" s="47">
        <f t="shared" si="7"/>
        <v>20000</v>
      </c>
      <c r="D45" s="48">
        <f t="shared" si="8"/>
        <v>11964.91</v>
      </c>
      <c r="E45" s="68">
        <f t="shared" si="10"/>
        <v>8035.09</v>
      </c>
      <c r="F45" s="47">
        <f t="shared" si="11"/>
        <v>642807.36999999976</v>
      </c>
      <c r="G45" s="47">
        <f t="shared" si="12"/>
        <v>630842.45999999973</v>
      </c>
    </row>
    <row r="46" spans="1:7" x14ac:dyDescent="0.25">
      <c r="A46" s="70">
        <v>42434</v>
      </c>
      <c r="B46" s="84">
        <f t="shared" si="9"/>
        <v>30</v>
      </c>
      <c r="C46" s="47">
        <f t="shared" si="7"/>
        <v>20000</v>
      </c>
      <c r="D46" s="48">
        <f t="shared" si="8"/>
        <v>12114.470000000001</v>
      </c>
      <c r="E46" s="68">
        <f t="shared" si="10"/>
        <v>7885.53</v>
      </c>
      <c r="F46" s="47">
        <f t="shared" si="11"/>
        <v>630842.45999999973</v>
      </c>
      <c r="G46" s="47">
        <f t="shared" si="12"/>
        <v>618727.98999999976</v>
      </c>
    </row>
    <row r="47" spans="1:7" x14ac:dyDescent="0.25">
      <c r="A47" s="70">
        <v>42465</v>
      </c>
      <c r="B47" s="84">
        <f t="shared" si="9"/>
        <v>30</v>
      </c>
      <c r="C47" s="47">
        <f t="shared" si="7"/>
        <v>20000</v>
      </c>
      <c r="D47" s="48">
        <f t="shared" si="8"/>
        <v>12265.9</v>
      </c>
      <c r="E47" s="68">
        <f t="shared" si="10"/>
        <v>7734.1</v>
      </c>
      <c r="F47" s="47">
        <f t="shared" si="11"/>
        <v>618727.98999999976</v>
      </c>
      <c r="G47" s="47">
        <f t="shared" si="12"/>
        <v>606462.08999999973</v>
      </c>
    </row>
    <row r="48" spans="1:7" x14ac:dyDescent="0.25">
      <c r="A48" s="70">
        <v>42495</v>
      </c>
      <c r="B48" s="84">
        <f t="shared" si="9"/>
        <v>30</v>
      </c>
      <c r="C48" s="47">
        <f t="shared" si="7"/>
        <v>20000</v>
      </c>
      <c r="D48" s="48">
        <f t="shared" si="8"/>
        <v>12419.220000000001</v>
      </c>
      <c r="E48" s="68">
        <f t="shared" si="10"/>
        <v>7580.78</v>
      </c>
      <c r="F48" s="47">
        <f t="shared" si="11"/>
        <v>606462.08999999973</v>
      </c>
      <c r="G48" s="47">
        <f t="shared" si="12"/>
        <v>594042.86999999976</v>
      </c>
    </row>
    <row r="49" spans="1:7" x14ac:dyDescent="0.25">
      <c r="A49" s="70">
        <v>42526</v>
      </c>
      <c r="B49" s="84">
        <f t="shared" si="9"/>
        <v>30</v>
      </c>
      <c r="C49" s="47">
        <f t="shared" si="7"/>
        <v>20000</v>
      </c>
      <c r="D49" s="48">
        <f t="shared" si="8"/>
        <v>12574.46</v>
      </c>
      <c r="E49" s="68">
        <f t="shared" si="10"/>
        <v>7425.54</v>
      </c>
      <c r="F49" s="47">
        <f t="shared" si="11"/>
        <v>594042.86999999976</v>
      </c>
      <c r="G49" s="47">
        <f t="shared" si="12"/>
        <v>581468.4099999998</v>
      </c>
    </row>
    <row r="50" spans="1:7" x14ac:dyDescent="0.25">
      <c r="A50" s="70">
        <v>42556</v>
      </c>
      <c r="B50" s="84">
        <f t="shared" si="9"/>
        <v>30</v>
      </c>
      <c r="C50" s="47">
        <f t="shared" si="7"/>
        <v>20000</v>
      </c>
      <c r="D50" s="48">
        <f t="shared" si="8"/>
        <v>12731.64</v>
      </c>
      <c r="E50" s="68">
        <f t="shared" si="10"/>
        <v>7268.36</v>
      </c>
      <c r="F50" s="47">
        <f t="shared" si="11"/>
        <v>581468.4099999998</v>
      </c>
      <c r="G50" s="47">
        <f t="shared" si="12"/>
        <v>568736.76999999979</v>
      </c>
    </row>
    <row r="51" spans="1:7" x14ac:dyDescent="0.25">
      <c r="A51" s="70">
        <v>42587</v>
      </c>
      <c r="B51" s="84">
        <f t="shared" si="9"/>
        <v>30</v>
      </c>
      <c r="C51" s="47">
        <f t="shared" si="7"/>
        <v>20000</v>
      </c>
      <c r="D51" s="48">
        <f t="shared" si="8"/>
        <v>12890.79</v>
      </c>
      <c r="E51" s="68">
        <f t="shared" si="10"/>
        <v>7109.21</v>
      </c>
      <c r="F51" s="47">
        <f t="shared" si="11"/>
        <v>568736.76999999979</v>
      </c>
      <c r="G51" s="47">
        <f t="shared" si="12"/>
        <v>555845.97999999975</v>
      </c>
    </row>
    <row r="52" spans="1:7" x14ac:dyDescent="0.25">
      <c r="A52" s="70">
        <v>42618</v>
      </c>
      <c r="B52" s="84">
        <f t="shared" si="9"/>
        <v>30</v>
      </c>
      <c r="C52" s="47">
        <f t="shared" si="7"/>
        <v>20000</v>
      </c>
      <c r="D52" s="48">
        <f t="shared" si="8"/>
        <v>13051.93</v>
      </c>
      <c r="E52" s="68">
        <f t="shared" si="10"/>
        <v>6948.07</v>
      </c>
      <c r="F52" s="47">
        <f t="shared" si="11"/>
        <v>555845.97999999975</v>
      </c>
      <c r="G52" s="47">
        <f t="shared" si="12"/>
        <v>542794.0499999997</v>
      </c>
    </row>
    <row r="53" spans="1:7" x14ac:dyDescent="0.25">
      <c r="A53" s="70">
        <v>42648</v>
      </c>
      <c r="B53" s="84">
        <f t="shared" si="9"/>
        <v>30</v>
      </c>
      <c r="C53" s="47">
        <f>$J$2</f>
        <v>30000</v>
      </c>
      <c r="D53" s="48">
        <f t="shared" si="8"/>
        <v>23215.07</v>
      </c>
      <c r="E53" s="68">
        <f t="shared" si="10"/>
        <v>6784.93</v>
      </c>
      <c r="F53" s="47">
        <f t="shared" si="11"/>
        <v>542794.0499999997</v>
      </c>
      <c r="G53" s="47">
        <f t="shared" si="12"/>
        <v>519578.97999999969</v>
      </c>
    </row>
    <row r="54" spans="1:7" x14ac:dyDescent="0.25">
      <c r="A54" s="70">
        <v>42679</v>
      </c>
      <c r="B54" s="84">
        <f t="shared" si="9"/>
        <v>30</v>
      </c>
      <c r="C54" s="47">
        <f t="shared" ref="C54:C72" si="13">$J$2</f>
        <v>30000</v>
      </c>
      <c r="D54" s="48">
        <f t="shared" si="8"/>
        <v>23505.260000000002</v>
      </c>
      <c r="E54" s="68">
        <f t="shared" si="10"/>
        <v>6494.74</v>
      </c>
      <c r="F54" s="47">
        <f t="shared" si="11"/>
        <v>519578.97999999969</v>
      </c>
      <c r="G54" s="47">
        <f t="shared" si="12"/>
        <v>496073.71999999968</v>
      </c>
    </row>
    <row r="55" spans="1:7" x14ac:dyDescent="0.25">
      <c r="A55" s="70">
        <v>42709</v>
      </c>
      <c r="B55" s="84">
        <f t="shared" si="9"/>
        <v>30</v>
      </c>
      <c r="C55" s="47">
        <f t="shared" si="13"/>
        <v>30000</v>
      </c>
      <c r="D55" s="48">
        <f t="shared" si="8"/>
        <v>23799.08</v>
      </c>
      <c r="E55" s="68">
        <f t="shared" si="10"/>
        <v>6200.92</v>
      </c>
      <c r="F55" s="47">
        <f t="shared" si="11"/>
        <v>496073.71999999968</v>
      </c>
      <c r="G55" s="47">
        <f t="shared" si="12"/>
        <v>472274.63999999966</v>
      </c>
    </row>
    <row r="56" spans="1:7" x14ac:dyDescent="0.25">
      <c r="A56" s="70">
        <v>42740</v>
      </c>
      <c r="B56" s="84">
        <f t="shared" si="9"/>
        <v>30</v>
      </c>
      <c r="C56" s="47">
        <f t="shared" si="13"/>
        <v>30000</v>
      </c>
      <c r="D56" s="48">
        <f t="shared" si="8"/>
        <v>24096.57</v>
      </c>
      <c r="E56" s="68">
        <f t="shared" si="10"/>
        <v>5903.43</v>
      </c>
      <c r="F56" s="47">
        <f t="shared" si="11"/>
        <v>472274.63999999966</v>
      </c>
      <c r="G56" s="47">
        <f t="shared" si="12"/>
        <v>448178.06999999966</v>
      </c>
    </row>
    <row r="57" spans="1:7" x14ac:dyDescent="0.25">
      <c r="A57" s="70">
        <v>42771</v>
      </c>
      <c r="B57" s="84">
        <f t="shared" si="9"/>
        <v>30</v>
      </c>
      <c r="C57" s="47">
        <f t="shared" si="13"/>
        <v>30000</v>
      </c>
      <c r="D57" s="48">
        <f t="shared" si="8"/>
        <v>24397.77</v>
      </c>
      <c r="E57" s="68">
        <f t="shared" si="10"/>
        <v>5602.23</v>
      </c>
      <c r="F57" s="47">
        <f t="shared" si="11"/>
        <v>448178.06999999966</v>
      </c>
      <c r="G57" s="47">
        <f t="shared" si="12"/>
        <v>423780.29999999964</v>
      </c>
    </row>
    <row r="58" spans="1:7" x14ac:dyDescent="0.25">
      <c r="A58" s="70">
        <v>42799</v>
      </c>
      <c r="B58" s="84">
        <f t="shared" si="9"/>
        <v>30</v>
      </c>
      <c r="C58" s="47">
        <f t="shared" si="13"/>
        <v>30000</v>
      </c>
      <c r="D58" s="48">
        <f t="shared" si="8"/>
        <v>24702.75</v>
      </c>
      <c r="E58" s="68">
        <f t="shared" si="10"/>
        <v>5297.25</v>
      </c>
      <c r="F58" s="47">
        <f t="shared" si="11"/>
        <v>423780.29999999964</v>
      </c>
      <c r="G58" s="47">
        <f t="shared" si="12"/>
        <v>399077.54999999964</v>
      </c>
    </row>
    <row r="59" spans="1:7" x14ac:dyDescent="0.25">
      <c r="A59" s="70">
        <v>42830</v>
      </c>
      <c r="B59" s="84">
        <f t="shared" si="9"/>
        <v>30</v>
      </c>
      <c r="C59" s="47">
        <f t="shared" si="13"/>
        <v>30000</v>
      </c>
      <c r="D59" s="48">
        <f t="shared" si="8"/>
        <v>25011.53</v>
      </c>
      <c r="E59" s="68">
        <f t="shared" si="10"/>
        <v>4988.47</v>
      </c>
      <c r="F59" s="47">
        <f t="shared" si="11"/>
        <v>399077.54999999964</v>
      </c>
      <c r="G59" s="47">
        <f t="shared" si="12"/>
        <v>374066.01999999967</v>
      </c>
    </row>
    <row r="60" spans="1:7" x14ac:dyDescent="0.25">
      <c r="A60" s="70">
        <v>42860</v>
      </c>
      <c r="B60" s="84">
        <f t="shared" si="9"/>
        <v>30</v>
      </c>
      <c r="C60" s="47">
        <f t="shared" si="13"/>
        <v>30000</v>
      </c>
      <c r="D60" s="48">
        <f t="shared" si="8"/>
        <v>25324.17</v>
      </c>
      <c r="E60" s="68">
        <f t="shared" si="10"/>
        <v>4675.83</v>
      </c>
      <c r="F60" s="47">
        <f t="shared" si="11"/>
        <v>374066.01999999967</v>
      </c>
      <c r="G60" s="47">
        <f t="shared" si="12"/>
        <v>348741.84999999969</v>
      </c>
    </row>
    <row r="61" spans="1:7" x14ac:dyDescent="0.25">
      <c r="A61" s="70">
        <v>42891</v>
      </c>
      <c r="B61" s="84">
        <f t="shared" si="9"/>
        <v>30</v>
      </c>
      <c r="C61" s="47">
        <f t="shared" si="13"/>
        <v>30000</v>
      </c>
      <c r="D61" s="48">
        <f t="shared" si="8"/>
        <v>25640.73</v>
      </c>
      <c r="E61" s="68">
        <f t="shared" si="10"/>
        <v>4359.2700000000004</v>
      </c>
      <c r="F61" s="47">
        <f t="shared" si="11"/>
        <v>348741.84999999969</v>
      </c>
      <c r="G61" s="47">
        <f t="shared" si="12"/>
        <v>323101.1199999997</v>
      </c>
    </row>
    <row r="62" spans="1:7" x14ac:dyDescent="0.25">
      <c r="A62" s="70">
        <v>42921</v>
      </c>
      <c r="B62" s="84">
        <f t="shared" si="9"/>
        <v>30</v>
      </c>
      <c r="C62" s="47">
        <f t="shared" si="13"/>
        <v>30000</v>
      </c>
      <c r="D62" s="48">
        <f t="shared" ref="D62:D73" si="14">C62-E62</f>
        <v>25961.239999999998</v>
      </c>
      <c r="E62" s="68">
        <f t="shared" ref="E62:E73" si="15">ROUND(F62*$B$2*B62/360,2)</f>
        <v>4038.76</v>
      </c>
      <c r="F62" s="47">
        <f t="shared" ref="F62:F73" si="16">G61</f>
        <v>323101.1199999997</v>
      </c>
      <c r="G62" s="47">
        <f t="shared" ref="G62:G73" si="17">F62-D62</f>
        <v>297139.87999999971</v>
      </c>
    </row>
    <row r="63" spans="1:7" x14ac:dyDescent="0.25">
      <c r="A63" s="70">
        <v>42952</v>
      </c>
      <c r="B63" s="84">
        <f t="shared" si="9"/>
        <v>30</v>
      </c>
      <c r="C63" s="47">
        <f t="shared" si="13"/>
        <v>30000</v>
      </c>
      <c r="D63" s="48">
        <f t="shared" si="14"/>
        <v>26285.75</v>
      </c>
      <c r="E63" s="68">
        <f t="shared" si="15"/>
        <v>3714.25</v>
      </c>
      <c r="F63" s="47">
        <f t="shared" si="16"/>
        <v>297139.87999999971</v>
      </c>
      <c r="G63" s="47">
        <f t="shared" si="17"/>
        <v>270854.12999999971</v>
      </c>
    </row>
    <row r="64" spans="1:7" x14ac:dyDescent="0.25">
      <c r="A64" s="70">
        <v>42983</v>
      </c>
      <c r="B64" s="84">
        <f t="shared" si="9"/>
        <v>30</v>
      </c>
      <c r="C64" s="47">
        <f t="shared" si="13"/>
        <v>30000</v>
      </c>
      <c r="D64" s="48">
        <f t="shared" si="14"/>
        <v>26614.32</v>
      </c>
      <c r="E64" s="68">
        <f t="shared" si="15"/>
        <v>3385.68</v>
      </c>
      <c r="F64" s="47">
        <f t="shared" si="16"/>
        <v>270854.12999999971</v>
      </c>
      <c r="G64" s="47">
        <f t="shared" si="17"/>
        <v>244239.80999999971</v>
      </c>
    </row>
    <row r="65" spans="1:7" x14ac:dyDescent="0.25">
      <c r="A65" s="70">
        <v>43013</v>
      </c>
      <c r="B65" s="84">
        <f t="shared" si="9"/>
        <v>30</v>
      </c>
      <c r="C65" s="47">
        <f t="shared" si="13"/>
        <v>30000</v>
      </c>
      <c r="D65" s="48">
        <f t="shared" si="14"/>
        <v>26947</v>
      </c>
      <c r="E65" s="68">
        <f t="shared" si="15"/>
        <v>3053</v>
      </c>
      <c r="F65" s="47">
        <f t="shared" si="16"/>
        <v>244239.80999999971</v>
      </c>
      <c r="G65" s="47">
        <f t="shared" si="17"/>
        <v>217292.80999999971</v>
      </c>
    </row>
    <row r="66" spans="1:7" x14ac:dyDescent="0.25">
      <c r="A66" s="70">
        <v>43044</v>
      </c>
      <c r="B66" s="84">
        <f t="shared" si="9"/>
        <v>30</v>
      </c>
      <c r="C66" s="47">
        <f t="shared" si="13"/>
        <v>30000</v>
      </c>
      <c r="D66" s="48">
        <f t="shared" si="14"/>
        <v>27283.84</v>
      </c>
      <c r="E66" s="68">
        <f t="shared" si="15"/>
        <v>2716.16</v>
      </c>
      <c r="F66" s="47">
        <f t="shared" si="16"/>
        <v>217292.80999999971</v>
      </c>
      <c r="G66" s="47">
        <f t="shared" si="17"/>
        <v>190008.96999999971</v>
      </c>
    </row>
    <row r="67" spans="1:7" x14ac:dyDescent="0.25">
      <c r="A67" s="70">
        <v>43074</v>
      </c>
      <c r="B67" s="84">
        <f t="shared" si="9"/>
        <v>30</v>
      </c>
      <c r="C67" s="47">
        <f t="shared" si="13"/>
        <v>30000</v>
      </c>
      <c r="D67" s="48">
        <f t="shared" si="14"/>
        <v>27624.89</v>
      </c>
      <c r="E67" s="68">
        <f t="shared" si="15"/>
        <v>2375.11</v>
      </c>
      <c r="F67" s="47">
        <f t="shared" si="16"/>
        <v>190008.96999999971</v>
      </c>
      <c r="G67" s="47">
        <f t="shared" si="17"/>
        <v>162384.07999999973</v>
      </c>
    </row>
    <row r="68" spans="1:7" x14ac:dyDescent="0.25">
      <c r="A68" s="70">
        <v>43105</v>
      </c>
      <c r="B68" s="84">
        <f t="shared" si="9"/>
        <v>30</v>
      </c>
      <c r="C68" s="47">
        <f t="shared" si="13"/>
        <v>30000</v>
      </c>
      <c r="D68" s="48">
        <f t="shared" si="14"/>
        <v>27970.2</v>
      </c>
      <c r="E68" s="68">
        <f t="shared" si="15"/>
        <v>2029.8</v>
      </c>
      <c r="F68" s="47">
        <f t="shared" si="16"/>
        <v>162384.07999999973</v>
      </c>
      <c r="G68" s="47">
        <f t="shared" si="17"/>
        <v>134413.87999999971</v>
      </c>
    </row>
    <row r="69" spans="1:7" x14ac:dyDescent="0.25">
      <c r="A69" s="70">
        <v>43136</v>
      </c>
      <c r="B69" s="84">
        <f t="shared" si="9"/>
        <v>30</v>
      </c>
      <c r="C69" s="47">
        <f t="shared" si="13"/>
        <v>30000</v>
      </c>
      <c r="D69" s="48">
        <f t="shared" si="14"/>
        <v>28319.83</v>
      </c>
      <c r="E69" s="68">
        <f t="shared" si="15"/>
        <v>1680.17</v>
      </c>
      <c r="F69" s="47">
        <f t="shared" si="16"/>
        <v>134413.87999999971</v>
      </c>
      <c r="G69" s="47">
        <f t="shared" si="17"/>
        <v>106094.04999999971</v>
      </c>
    </row>
    <row r="70" spans="1:7" x14ac:dyDescent="0.25">
      <c r="A70" s="70">
        <v>43164</v>
      </c>
      <c r="B70" s="84">
        <f t="shared" si="9"/>
        <v>30</v>
      </c>
      <c r="C70" s="47">
        <f t="shared" si="13"/>
        <v>30000</v>
      </c>
      <c r="D70" s="48">
        <f t="shared" si="14"/>
        <v>28673.82</v>
      </c>
      <c r="E70" s="68">
        <f t="shared" si="15"/>
        <v>1326.18</v>
      </c>
      <c r="F70" s="47">
        <f t="shared" si="16"/>
        <v>106094.04999999971</v>
      </c>
      <c r="G70" s="47">
        <f t="shared" si="17"/>
        <v>77420.229999999719</v>
      </c>
    </row>
    <row r="71" spans="1:7" x14ac:dyDescent="0.25">
      <c r="A71" s="70">
        <v>43195</v>
      </c>
      <c r="B71" s="84">
        <f t="shared" si="9"/>
        <v>30</v>
      </c>
      <c r="C71" s="47">
        <f t="shared" si="13"/>
        <v>30000</v>
      </c>
      <c r="D71" s="48">
        <f t="shared" si="14"/>
        <v>29032.25</v>
      </c>
      <c r="E71" s="68">
        <f t="shared" si="15"/>
        <v>967.75</v>
      </c>
      <c r="F71" s="47">
        <f t="shared" si="16"/>
        <v>77420.229999999719</v>
      </c>
      <c r="G71" s="47">
        <f t="shared" si="17"/>
        <v>48387.979999999719</v>
      </c>
    </row>
    <row r="72" spans="1:7" x14ac:dyDescent="0.25">
      <c r="A72" s="70">
        <v>43225</v>
      </c>
      <c r="B72" s="84">
        <f t="shared" si="9"/>
        <v>30</v>
      </c>
      <c r="C72" s="47">
        <f t="shared" si="13"/>
        <v>30000</v>
      </c>
      <c r="D72" s="48">
        <f t="shared" si="14"/>
        <v>29395.15</v>
      </c>
      <c r="E72" s="68">
        <f t="shared" si="15"/>
        <v>604.85</v>
      </c>
      <c r="F72" s="47">
        <f t="shared" si="16"/>
        <v>48387.979999999719</v>
      </c>
      <c r="G72" s="47">
        <f t="shared" si="17"/>
        <v>18992.829999999718</v>
      </c>
    </row>
    <row r="73" spans="1:7" x14ac:dyDescent="0.25">
      <c r="A73" s="70">
        <v>43256</v>
      </c>
      <c r="B73" s="84">
        <f t="shared" si="9"/>
        <v>30</v>
      </c>
      <c r="C73" s="47">
        <f>ROUND(E73+F73,2)</f>
        <v>19230.240000000002</v>
      </c>
      <c r="D73" s="48">
        <f t="shared" si="14"/>
        <v>18992.830000000002</v>
      </c>
      <c r="E73" s="68">
        <f t="shared" si="15"/>
        <v>237.41</v>
      </c>
      <c r="F73" s="47">
        <f t="shared" si="16"/>
        <v>18992.829999999718</v>
      </c>
      <c r="G73" s="47">
        <f t="shared" si="17"/>
        <v>-2.8376234695315361E-10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A874DE-8009-4B28-9F3D-D9565907322B}">
  <dimension ref="A1:AA3"/>
  <sheetViews>
    <sheetView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6" width="16.85546875" customWidth="1"/>
    <col min="27" max="27" width="145.1406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172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167</v>
      </c>
      <c r="P2" s="20" t="s">
        <v>21</v>
      </c>
      <c r="Q2" s="20" t="s">
        <v>79</v>
      </c>
      <c r="R2" s="20" t="s">
        <v>168</v>
      </c>
      <c r="S2" s="20" t="s">
        <v>45</v>
      </c>
      <c r="T2" s="20" t="s">
        <v>142</v>
      </c>
      <c r="U2" s="20" t="s">
        <v>169</v>
      </c>
      <c r="V2" s="20" t="s">
        <v>141</v>
      </c>
      <c r="W2" s="20" t="s">
        <v>161</v>
      </c>
      <c r="X2" s="20" t="s">
        <v>170</v>
      </c>
      <c r="Y2" s="20" t="s">
        <v>104</v>
      </c>
      <c r="Z2" s="20" t="s">
        <v>171</v>
      </c>
      <c r="AA2" s="50" t="s">
        <v>162</v>
      </c>
    </row>
    <row r="3" spans="1:27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172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167</v>
      </c>
      <c r="P3" s="20" t="s">
        <v>21</v>
      </c>
      <c r="Q3" s="20" t="s">
        <v>79</v>
      </c>
      <c r="R3" s="20" t="s">
        <v>168</v>
      </c>
      <c r="S3" s="20" t="s">
        <v>45</v>
      </c>
      <c r="T3" s="20" t="s">
        <v>142</v>
      </c>
      <c r="U3" s="20" t="s">
        <v>169</v>
      </c>
      <c r="V3" s="20" t="s">
        <v>141</v>
      </c>
      <c r="W3" s="20" t="s">
        <v>161</v>
      </c>
      <c r="X3" s="20" t="s">
        <v>170</v>
      </c>
      <c r="Y3" s="20" t="s">
        <v>104</v>
      </c>
      <c r="Z3" s="20" t="s">
        <v>171</v>
      </c>
      <c r="AA3" s="50" t="s">
        <v>163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556F-C673-495D-88E1-032D7A4E79A6}">
  <dimension ref="A1:P131"/>
  <sheetViews>
    <sheetView zoomScale="80" zoomScaleNormal="80" workbookViewId="0">
      <pane ySplit="3" topLeftCell="A61" activePane="bottomLeft" state="frozen"/>
      <selection activeCell="A2" sqref="A2"/>
      <selection pane="bottomLeft" activeCell="A2" sqref="A2"/>
    </sheetView>
  </sheetViews>
  <sheetFormatPr defaultColWidth="13.42578125"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8.7109375" bestFit="1" customWidth="1"/>
    <col min="6" max="6" width="17" bestFit="1" customWidth="1"/>
    <col min="7" max="7" width="18.7109375" bestFit="1" customWidth="1"/>
    <col min="8" max="8" width="16.7109375" bestFit="1" customWidth="1"/>
    <col min="9" max="9" width="17.42578125" bestFit="1" customWidth="1"/>
    <col min="10" max="10" width="9.28515625" bestFit="1" customWidth="1"/>
    <col min="11" max="11" width="18.7109375" bestFit="1" customWidth="1"/>
    <col min="12" max="12" width="10.85546875" bestFit="1" customWidth="1"/>
    <col min="13" max="13" width="17.42578125" bestFit="1" customWidth="1"/>
    <col min="14" max="14" width="6.5703125" bestFit="1" customWidth="1"/>
    <col min="15" max="15" width="15.85546875" bestFit="1" customWidth="1"/>
    <col min="16" max="16" width="6.5703125" bestFit="1" customWidth="1"/>
  </cols>
  <sheetData>
    <row r="1" spans="1:16" x14ac:dyDescent="0.25">
      <c r="A1" s="17" t="s">
        <v>33</v>
      </c>
      <c r="B1" s="78">
        <v>41856</v>
      </c>
      <c r="C1" s="17" t="s">
        <v>37</v>
      </c>
      <c r="D1" s="79">
        <f>ROUNDUP(23797.2324459771,0)</f>
        <v>23798</v>
      </c>
      <c r="E1" s="73" t="s">
        <v>147</v>
      </c>
      <c r="F1" s="74">
        <v>42009</v>
      </c>
      <c r="G1" s="73" t="s">
        <v>150</v>
      </c>
      <c r="H1" s="79">
        <f>ROUNDUP(26303.509131071,0)</f>
        <v>26304</v>
      </c>
      <c r="I1" s="73" t="s">
        <v>175</v>
      </c>
      <c r="J1" s="87">
        <v>0.2</v>
      </c>
      <c r="K1" s="73" t="s">
        <v>148</v>
      </c>
      <c r="L1" s="74">
        <v>42129</v>
      </c>
      <c r="M1" s="73" t="s">
        <v>149</v>
      </c>
      <c r="N1" s="69">
        <f>ROUNDUP(24839.1092297972,0)</f>
        <v>24840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42495</v>
      </c>
      <c r="E2" s="73" t="s">
        <v>177</v>
      </c>
      <c r="F2" s="69">
        <v>30000</v>
      </c>
      <c r="G2" s="73" t="s">
        <v>173</v>
      </c>
      <c r="H2" s="74">
        <v>42860</v>
      </c>
      <c r="I2" s="73" t="s">
        <v>174</v>
      </c>
      <c r="J2" s="89">
        <f>ROUNDUP(16437.3579334102,0)</f>
        <v>16438</v>
      </c>
      <c r="K2" s="73" t="s">
        <v>178</v>
      </c>
      <c r="L2" s="88">
        <v>72</v>
      </c>
    </row>
    <row r="3" spans="1:16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6" x14ac:dyDescent="0.25">
      <c r="A4" s="54">
        <v>41887</v>
      </c>
      <c r="B4" s="46">
        <f>A4-B1</f>
        <v>31</v>
      </c>
      <c r="C4" s="47">
        <f>$D$1</f>
        <v>23798</v>
      </c>
      <c r="D4" s="48">
        <f t="shared" ref="D4:D35" si="0">C4-E4</f>
        <v>11058.27</v>
      </c>
      <c r="E4" s="68">
        <f t="shared" ref="E4:E35" si="1">ROUND(F4*$B$2*B4/365,2)</f>
        <v>12739.73</v>
      </c>
      <c r="F4" s="47">
        <v>1000000</v>
      </c>
      <c r="G4" s="47">
        <f t="shared" ref="G4:G35" si="2">F4-D4</f>
        <v>988941.73</v>
      </c>
    </row>
    <row r="5" spans="1:16" x14ac:dyDescent="0.25">
      <c r="A5" s="54">
        <v>41917</v>
      </c>
      <c r="B5" s="46">
        <f>A5-A4</f>
        <v>30</v>
      </c>
      <c r="C5" s="47">
        <f t="shared" ref="C5:C64" si="3">$D$1</f>
        <v>23798</v>
      </c>
      <c r="D5" s="48">
        <f t="shared" si="0"/>
        <v>11605.57</v>
      </c>
      <c r="E5" s="68">
        <f t="shared" si="1"/>
        <v>12192.43</v>
      </c>
      <c r="F5" s="47">
        <f>G4</f>
        <v>988941.73</v>
      </c>
      <c r="G5" s="47">
        <f t="shared" si="2"/>
        <v>977336.16</v>
      </c>
    </row>
    <row r="6" spans="1:16" x14ac:dyDescent="0.25">
      <c r="A6" s="54">
        <v>41948</v>
      </c>
      <c r="B6" s="46">
        <f t="shared" ref="B6:B69" si="4">A6-A5</f>
        <v>31</v>
      </c>
      <c r="C6" s="47">
        <f t="shared" si="3"/>
        <v>23798</v>
      </c>
      <c r="D6" s="48">
        <f t="shared" si="0"/>
        <v>11347.01</v>
      </c>
      <c r="E6" s="68">
        <f t="shared" si="1"/>
        <v>12450.99</v>
      </c>
      <c r="F6" s="47">
        <f t="shared" ref="F6:F68" si="5">G5</f>
        <v>977336.16</v>
      </c>
      <c r="G6" s="47">
        <f t="shared" si="2"/>
        <v>965989.15</v>
      </c>
    </row>
    <row r="7" spans="1:16" x14ac:dyDescent="0.25">
      <c r="A7" s="54">
        <v>41978</v>
      </c>
      <c r="B7" s="46">
        <f t="shared" si="4"/>
        <v>30</v>
      </c>
      <c r="C7" s="47">
        <f t="shared" si="3"/>
        <v>23798</v>
      </c>
      <c r="D7" s="48">
        <f t="shared" si="0"/>
        <v>11888.54</v>
      </c>
      <c r="E7" s="68">
        <f t="shared" si="1"/>
        <v>11909.46</v>
      </c>
      <c r="F7" s="47">
        <f t="shared" si="5"/>
        <v>965989.15</v>
      </c>
      <c r="G7" s="47">
        <f t="shared" si="2"/>
        <v>954100.61</v>
      </c>
    </row>
    <row r="8" spans="1:16" x14ac:dyDescent="0.25">
      <c r="A8" s="54">
        <v>42009</v>
      </c>
      <c r="B8" s="46">
        <f t="shared" si="4"/>
        <v>31</v>
      </c>
      <c r="C8" s="47">
        <f t="shared" si="3"/>
        <v>23798</v>
      </c>
      <c r="D8" s="48">
        <f t="shared" si="0"/>
        <v>11643.02</v>
      </c>
      <c r="E8" s="68">
        <f t="shared" si="1"/>
        <v>12154.98</v>
      </c>
      <c r="F8" s="47">
        <f t="shared" si="5"/>
        <v>954100.61</v>
      </c>
      <c r="G8" s="47">
        <f t="shared" si="2"/>
        <v>942457.59</v>
      </c>
    </row>
    <row r="9" spans="1:16" x14ac:dyDescent="0.25">
      <c r="A9" s="54">
        <v>42040</v>
      </c>
      <c r="B9" s="46">
        <f t="shared" si="4"/>
        <v>31</v>
      </c>
      <c r="C9" s="47">
        <f t="shared" si="3"/>
        <v>23798</v>
      </c>
      <c r="D9" s="48">
        <f t="shared" si="0"/>
        <v>11791.35</v>
      </c>
      <c r="E9" s="68">
        <f t="shared" si="1"/>
        <v>12006.65</v>
      </c>
      <c r="F9" s="47">
        <f t="shared" si="5"/>
        <v>942457.59</v>
      </c>
      <c r="G9" s="47">
        <f t="shared" si="2"/>
        <v>930666.24</v>
      </c>
    </row>
    <row r="10" spans="1:16" x14ac:dyDescent="0.25">
      <c r="A10" s="54">
        <v>42068</v>
      </c>
      <c r="B10" s="46">
        <f t="shared" si="4"/>
        <v>28</v>
      </c>
      <c r="C10" s="47">
        <f t="shared" si="3"/>
        <v>23798</v>
      </c>
      <c r="D10" s="48">
        <f t="shared" si="0"/>
        <v>13088.96</v>
      </c>
      <c r="E10" s="68">
        <f t="shared" si="1"/>
        <v>10709.04</v>
      </c>
      <c r="F10" s="47">
        <f t="shared" si="5"/>
        <v>930666.24</v>
      </c>
      <c r="G10" s="47">
        <f t="shared" si="2"/>
        <v>917577.28</v>
      </c>
    </row>
    <row r="11" spans="1:16" x14ac:dyDescent="0.25">
      <c r="A11" s="54">
        <v>42099</v>
      </c>
      <c r="B11" s="46">
        <f t="shared" si="4"/>
        <v>31</v>
      </c>
      <c r="C11" s="47">
        <f t="shared" si="3"/>
        <v>23798</v>
      </c>
      <c r="D11" s="48">
        <f t="shared" si="0"/>
        <v>12108.32</v>
      </c>
      <c r="E11" s="68">
        <f t="shared" si="1"/>
        <v>11689.68</v>
      </c>
      <c r="F11" s="47">
        <f t="shared" si="5"/>
        <v>917577.28</v>
      </c>
      <c r="G11" s="47">
        <f t="shared" si="2"/>
        <v>905468.96000000008</v>
      </c>
    </row>
    <row r="12" spans="1:16" x14ac:dyDescent="0.25">
      <c r="A12" s="54">
        <v>42129</v>
      </c>
      <c r="B12" s="46">
        <f t="shared" si="4"/>
        <v>30</v>
      </c>
      <c r="C12" s="47">
        <f t="shared" si="3"/>
        <v>23798</v>
      </c>
      <c r="D12" s="48">
        <f t="shared" si="0"/>
        <v>12634.68</v>
      </c>
      <c r="E12" s="68">
        <f t="shared" si="1"/>
        <v>11163.32</v>
      </c>
      <c r="F12" s="47">
        <f t="shared" si="5"/>
        <v>905468.96000000008</v>
      </c>
      <c r="G12" s="47">
        <f t="shared" si="2"/>
        <v>892834.28</v>
      </c>
    </row>
    <row r="13" spans="1:16" x14ac:dyDescent="0.25">
      <c r="A13" s="54">
        <v>42160</v>
      </c>
      <c r="B13" s="46">
        <f t="shared" si="4"/>
        <v>31</v>
      </c>
      <c r="C13" s="47">
        <f t="shared" si="3"/>
        <v>23798</v>
      </c>
      <c r="D13" s="48">
        <f t="shared" si="0"/>
        <v>12423.54</v>
      </c>
      <c r="E13" s="68">
        <f t="shared" si="1"/>
        <v>11374.46</v>
      </c>
      <c r="F13" s="47">
        <f t="shared" si="5"/>
        <v>892834.28</v>
      </c>
      <c r="G13" s="47">
        <f t="shared" si="2"/>
        <v>880410.74</v>
      </c>
    </row>
    <row r="14" spans="1:16" x14ac:dyDescent="0.25">
      <c r="A14" s="54">
        <v>42190</v>
      </c>
      <c r="B14" s="46">
        <f t="shared" si="4"/>
        <v>30</v>
      </c>
      <c r="C14" s="47">
        <f t="shared" si="3"/>
        <v>23798</v>
      </c>
      <c r="D14" s="48">
        <f t="shared" si="0"/>
        <v>12943.62</v>
      </c>
      <c r="E14" s="68">
        <f t="shared" si="1"/>
        <v>10854.38</v>
      </c>
      <c r="F14" s="47">
        <f t="shared" si="5"/>
        <v>880410.74</v>
      </c>
      <c r="G14" s="47">
        <f t="shared" si="2"/>
        <v>867467.12</v>
      </c>
    </row>
    <row r="15" spans="1:16" x14ac:dyDescent="0.25">
      <c r="A15" s="54">
        <v>42221</v>
      </c>
      <c r="B15" s="46">
        <f t="shared" si="4"/>
        <v>31</v>
      </c>
      <c r="C15" s="47">
        <f t="shared" si="3"/>
        <v>23798</v>
      </c>
      <c r="D15" s="48">
        <f t="shared" si="0"/>
        <v>12746.71</v>
      </c>
      <c r="E15" s="68">
        <f t="shared" si="1"/>
        <v>11051.29</v>
      </c>
      <c r="F15" s="47">
        <f t="shared" si="5"/>
        <v>867467.12</v>
      </c>
      <c r="G15" s="47">
        <f t="shared" si="2"/>
        <v>854720.41</v>
      </c>
    </row>
    <row r="16" spans="1:16" x14ac:dyDescent="0.25">
      <c r="A16" s="54">
        <v>42252</v>
      </c>
      <c r="B16" s="46">
        <f t="shared" si="4"/>
        <v>31</v>
      </c>
      <c r="C16" s="47">
        <f t="shared" si="3"/>
        <v>23798</v>
      </c>
      <c r="D16" s="48">
        <f t="shared" si="0"/>
        <v>12909.1</v>
      </c>
      <c r="E16" s="68">
        <f t="shared" si="1"/>
        <v>10888.9</v>
      </c>
      <c r="F16" s="47">
        <f t="shared" si="5"/>
        <v>854720.41</v>
      </c>
      <c r="G16" s="47">
        <f t="shared" si="2"/>
        <v>841811.31</v>
      </c>
    </row>
    <row r="17" spans="1:7" x14ac:dyDescent="0.25">
      <c r="A17" s="54">
        <v>42282</v>
      </c>
      <c r="B17" s="46">
        <f t="shared" si="4"/>
        <v>30</v>
      </c>
      <c r="C17" s="47">
        <f t="shared" si="3"/>
        <v>23798</v>
      </c>
      <c r="D17" s="48">
        <f t="shared" si="0"/>
        <v>13419.5</v>
      </c>
      <c r="E17" s="68">
        <f t="shared" si="1"/>
        <v>10378.5</v>
      </c>
      <c r="F17" s="47">
        <f t="shared" si="5"/>
        <v>841811.31</v>
      </c>
      <c r="G17" s="47">
        <f t="shared" si="2"/>
        <v>828391.81</v>
      </c>
    </row>
    <row r="18" spans="1:7" x14ac:dyDescent="0.25">
      <c r="A18" s="54">
        <v>42313</v>
      </c>
      <c r="B18" s="46">
        <f t="shared" si="4"/>
        <v>31</v>
      </c>
      <c r="C18" s="47">
        <f t="shared" si="3"/>
        <v>23798</v>
      </c>
      <c r="D18" s="48">
        <f t="shared" si="0"/>
        <v>13244.52</v>
      </c>
      <c r="E18" s="68">
        <f t="shared" si="1"/>
        <v>10553.48</v>
      </c>
      <c r="F18" s="47">
        <f t="shared" si="5"/>
        <v>828391.81</v>
      </c>
      <c r="G18" s="47">
        <f t="shared" si="2"/>
        <v>815147.29</v>
      </c>
    </row>
    <row r="19" spans="1:7" x14ac:dyDescent="0.25">
      <c r="A19" s="54">
        <v>42343</v>
      </c>
      <c r="B19" s="46">
        <f t="shared" si="4"/>
        <v>30</v>
      </c>
      <c r="C19" s="47">
        <f t="shared" si="3"/>
        <v>23798</v>
      </c>
      <c r="D19" s="48">
        <f t="shared" si="0"/>
        <v>13748.24</v>
      </c>
      <c r="E19" s="68">
        <f t="shared" si="1"/>
        <v>10049.76</v>
      </c>
      <c r="F19" s="47">
        <f t="shared" si="5"/>
        <v>815147.29</v>
      </c>
      <c r="G19" s="47">
        <f t="shared" si="2"/>
        <v>801399.05</v>
      </c>
    </row>
    <row r="20" spans="1:7" x14ac:dyDescent="0.25">
      <c r="A20" s="54">
        <v>42374</v>
      </c>
      <c r="B20" s="46">
        <f t="shared" si="4"/>
        <v>31</v>
      </c>
      <c r="C20" s="47">
        <f t="shared" si="3"/>
        <v>23798</v>
      </c>
      <c r="D20" s="48">
        <f t="shared" si="0"/>
        <v>13588.4</v>
      </c>
      <c r="E20" s="68">
        <f t="shared" si="1"/>
        <v>10209.6</v>
      </c>
      <c r="F20" s="47">
        <f t="shared" si="5"/>
        <v>801399.05</v>
      </c>
      <c r="G20" s="47">
        <f t="shared" si="2"/>
        <v>787810.65</v>
      </c>
    </row>
    <row r="21" spans="1:7" x14ac:dyDescent="0.25">
      <c r="A21" s="54">
        <v>42405</v>
      </c>
      <c r="B21" s="46">
        <f t="shared" si="4"/>
        <v>31</v>
      </c>
      <c r="C21" s="47">
        <f t="shared" si="3"/>
        <v>23798</v>
      </c>
      <c r="D21" s="48">
        <f t="shared" si="0"/>
        <v>13761.51</v>
      </c>
      <c r="E21" s="68">
        <f t="shared" si="1"/>
        <v>10036.49</v>
      </c>
      <c r="F21" s="47">
        <f t="shared" si="5"/>
        <v>787810.65</v>
      </c>
      <c r="G21" s="47">
        <f t="shared" si="2"/>
        <v>774049.14</v>
      </c>
    </row>
    <row r="22" spans="1:7" x14ac:dyDescent="0.25">
      <c r="A22" s="54">
        <v>42434</v>
      </c>
      <c r="B22" s="46">
        <f t="shared" si="4"/>
        <v>29</v>
      </c>
      <c r="C22" s="47">
        <f t="shared" si="3"/>
        <v>23798</v>
      </c>
      <c r="D22" s="48">
        <f t="shared" si="0"/>
        <v>14573.03</v>
      </c>
      <c r="E22" s="68">
        <f t="shared" si="1"/>
        <v>9224.9699999999993</v>
      </c>
      <c r="F22" s="47">
        <f t="shared" si="5"/>
        <v>774049.14</v>
      </c>
      <c r="G22" s="47">
        <f t="shared" si="2"/>
        <v>759476.11</v>
      </c>
    </row>
    <row r="23" spans="1:7" x14ac:dyDescent="0.25">
      <c r="A23" s="54">
        <v>42465</v>
      </c>
      <c r="B23" s="46">
        <f t="shared" si="4"/>
        <v>31</v>
      </c>
      <c r="C23" s="47">
        <f t="shared" si="3"/>
        <v>23798</v>
      </c>
      <c r="D23" s="48">
        <f t="shared" si="0"/>
        <v>14122.48</v>
      </c>
      <c r="E23" s="68">
        <f t="shared" si="1"/>
        <v>9675.52</v>
      </c>
      <c r="F23" s="47">
        <f t="shared" si="5"/>
        <v>759476.11</v>
      </c>
      <c r="G23" s="47">
        <f t="shared" si="2"/>
        <v>745353.63</v>
      </c>
    </row>
    <row r="24" spans="1:7" x14ac:dyDescent="0.25">
      <c r="A24" s="54">
        <v>42495</v>
      </c>
      <c r="B24" s="46">
        <f t="shared" si="4"/>
        <v>30</v>
      </c>
      <c r="C24" s="47">
        <f t="shared" si="3"/>
        <v>23798</v>
      </c>
      <c r="D24" s="48">
        <f t="shared" si="0"/>
        <v>14608.71</v>
      </c>
      <c r="E24" s="68">
        <f t="shared" si="1"/>
        <v>9189.2900000000009</v>
      </c>
      <c r="F24" s="47">
        <f t="shared" si="5"/>
        <v>745353.63</v>
      </c>
      <c r="G24" s="47">
        <f t="shared" si="2"/>
        <v>730744.92</v>
      </c>
    </row>
    <row r="25" spans="1:7" x14ac:dyDescent="0.25">
      <c r="A25" s="54">
        <v>42526</v>
      </c>
      <c r="B25" s="46">
        <f t="shared" si="4"/>
        <v>31</v>
      </c>
      <c r="C25" s="47">
        <f t="shared" si="3"/>
        <v>23798</v>
      </c>
      <c r="D25" s="48">
        <f t="shared" si="0"/>
        <v>14488.51</v>
      </c>
      <c r="E25" s="68">
        <f t="shared" si="1"/>
        <v>9309.49</v>
      </c>
      <c r="F25" s="47">
        <f t="shared" si="5"/>
        <v>730744.92</v>
      </c>
      <c r="G25" s="47">
        <f t="shared" si="2"/>
        <v>716256.41</v>
      </c>
    </row>
    <row r="26" spans="1:7" x14ac:dyDescent="0.25">
      <c r="A26" s="54">
        <v>42556</v>
      </c>
      <c r="B26" s="46">
        <f t="shared" si="4"/>
        <v>30</v>
      </c>
      <c r="C26" s="47">
        <f t="shared" si="3"/>
        <v>23798</v>
      </c>
      <c r="D26" s="48">
        <f t="shared" si="0"/>
        <v>14967.44</v>
      </c>
      <c r="E26" s="68">
        <f t="shared" si="1"/>
        <v>8830.56</v>
      </c>
      <c r="F26" s="47">
        <f t="shared" si="5"/>
        <v>716256.41</v>
      </c>
      <c r="G26" s="47">
        <f t="shared" si="2"/>
        <v>701288.97000000009</v>
      </c>
    </row>
    <row r="27" spans="1:7" x14ac:dyDescent="0.25">
      <c r="A27" s="54">
        <v>42587</v>
      </c>
      <c r="B27" s="46">
        <f t="shared" si="4"/>
        <v>31</v>
      </c>
      <c r="C27" s="47">
        <f t="shared" si="3"/>
        <v>23798</v>
      </c>
      <c r="D27" s="48">
        <f t="shared" si="0"/>
        <v>14863.77</v>
      </c>
      <c r="E27" s="68">
        <f t="shared" si="1"/>
        <v>8934.23</v>
      </c>
      <c r="F27" s="47">
        <f t="shared" si="5"/>
        <v>701288.97000000009</v>
      </c>
      <c r="G27" s="47">
        <f t="shared" si="2"/>
        <v>686425.20000000007</v>
      </c>
    </row>
    <row r="28" spans="1:7" x14ac:dyDescent="0.25">
      <c r="A28" s="54">
        <v>42618</v>
      </c>
      <c r="B28" s="46">
        <f t="shared" si="4"/>
        <v>31</v>
      </c>
      <c r="C28" s="47">
        <f t="shared" si="3"/>
        <v>23798</v>
      </c>
      <c r="D28" s="48">
        <f t="shared" si="0"/>
        <v>15053.13</v>
      </c>
      <c r="E28" s="68">
        <f t="shared" si="1"/>
        <v>8744.8700000000008</v>
      </c>
      <c r="F28" s="47">
        <f t="shared" si="5"/>
        <v>686425.20000000007</v>
      </c>
      <c r="G28" s="47">
        <f t="shared" si="2"/>
        <v>671372.07000000007</v>
      </c>
    </row>
    <row r="29" spans="1:7" x14ac:dyDescent="0.25">
      <c r="A29" s="54">
        <v>42648</v>
      </c>
      <c r="B29" s="46">
        <f t="shared" si="4"/>
        <v>30</v>
      </c>
      <c r="C29" s="47">
        <f t="shared" si="3"/>
        <v>23798</v>
      </c>
      <c r="D29" s="48">
        <f t="shared" si="0"/>
        <v>15520.81</v>
      </c>
      <c r="E29" s="68">
        <f t="shared" si="1"/>
        <v>8277.19</v>
      </c>
      <c r="F29" s="47">
        <f t="shared" si="5"/>
        <v>671372.07000000007</v>
      </c>
      <c r="G29" s="47">
        <f t="shared" si="2"/>
        <v>655851.26</v>
      </c>
    </row>
    <row r="30" spans="1:7" x14ac:dyDescent="0.25">
      <c r="A30" s="54">
        <v>42679</v>
      </c>
      <c r="B30" s="46">
        <f t="shared" si="4"/>
        <v>31</v>
      </c>
      <c r="C30" s="47">
        <f t="shared" si="3"/>
        <v>23798</v>
      </c>
      <c r="D30" s="48">
        <f t="shared" si="0"/>
        <v>15442.63</v>
      </c>
      <c r="E30" s="68">
        <f t="shared" si="1"/>
        <v>8355.3700000000008</v>
      </c>
      <c r="F30" s="47">
        <f t="shared" si="5"/>
        <v>655851.26</v>
      </c>
      <c r="G30" s="47">
        <f t="shared" si="2"/>
        <v>640408.63</v>
      </c>
    </row>
    <row r="31" spans="1:7" x14ac:dyDescent="0.25">
      <c r="A31" s="54">
        <v>42709</v>
      </c>
      <c r="B31" s="46">
        <f t="shared" si="4"/>
        <v>30</v>
      </c>
      <c r="C31" s="47">
        <f t="shared" si="3"/>
        <v>23798</v>
      </c>
      <c r="D31" s="48">
        <f t="shared" si="0"/>
        <v>15902.55</v>
      </c>
      <c r="E31" s="68">
        <f t="shared" si="1"/>
        <v>7895.45</v>
      </c>
      <c r="F31" s="47">
        <f t="shared" si="5"/>
        <v>640408.63</v>
      </c>
      <c r="G31" s="47">
        <f t="shared" si="2"/>
        <v>624506.07999999996</v>
      </c>
    </row>
    <row r="32" spans="1:7" x14ac:dyDescent="0.25">
      <c r="A32" s="54">
        <v>42740</v>
      </c>
      <c r="B32" s="46">
        <f t="shared" si="4"/>
        <v>31</v>
      </c>
      <c r="C32" s="47">
        <f t="shared" si="3"/>
        <v>23798</v>
      </c>
      <c r="D32" s="48">
        <f t="shared" si="0"/>
        <v>15841.96</v>
      </c>
      <c r="E32" s="68">
        <f t="shared" si="1"/>
        <v>7956.04</v>
      </c>
      <c r="F32" s="47">
        <f t="shared" si="5"/>
        <v>624506.07999999996</v>
      </c>
      <c r="G32" s="47">
        <f t="shared" si="2"/>
        <v>608664.12</v>
      </c>
    </row>
    <row r="33" spans="1:7" x14ac:dyDescent="0.25">
      <c r="A33" s="54">
        <v>42771</v>
      </c>
      <c r="B33" s="46">
        <f t="shared" si="4"/>
        <v>31</v>
      </c>
      <c r="C33" s="47">
        <f t="shared" si="3"/>
        <v>23798</v>
      </c>
      <c r="D33" s="48">
        <f t="shared" si="0"/>
        <v>16043.79</v>
      </c>
      <c r="E33" s="68">
        <f t="shared" si="1"/>
        <v>7754.21</v>
      </c>
      <c r="F33" s="47">
        <f t="shared" si="5"/>
        <v>608664.12</v>
      </c>
      <c r="G33" s="47">
        <f t="shared" si="2"/>
        <v>592620.32999999996</v>
      </c>
    </row>
    <row r="34" spans="1:7" x14ac:dyDescent="0.25">
      <c r="A34" s="54">
        <v>42799</v>
      </c>
      <c r="B34" s="46">
        <f t="shared" si="4"/>
        <v>28</v>
      </c>
      <c r="C34" s="47">
        <f t="shared" si="3"/>
        <v>23798</v>
      </c>
      <c r="D34" s="48">
        <f t="shared" si="0"/>
        <v>16978.810000000001</v>
      </c>
      <c r="E34" s="68">
        <f t="shared" si="1"/>
        <v>6819.19</v>
      </c>
      <c r="F34" s="47">
        <f t="shared" si="5"/>
        <v>592620.32999999996</v>
      </c>
      <c r="G34" s="47">
        <f t="shared" si="2"/>
        <v>575641.5199999999</v>
      </c>
    </row>
    <row r="35" spans="1:7" x14ac:dyDescent="0.25">
      <c r="A35" s="54">
        <v>42830</v>
      </c>
      <c r="B35" s="46">
        <f t="shared" si="4"/>
        <v>31</v>
      </c>
      <c r="C35" s="47">
        <f t="shared" si="3"/>
        <v>23798</v>
      </c>
      <c r="D35" s="48">
        <f t="shared" si="0"/>
        <v>16464.48</v>
      </c>
      <c r="E35" s="68">
        <f t="shared" si="1"/>
        <v>7333.52</v>
      </c>
      <c r="F35" s="47">
        <f t="shared" si="5"/>
        <v>575641.5199999999</v>
      </c>
      <c r="G35" s="47">
        <f t="shared" si="2"/>
        <v>559177.03999999992</v>
      </c>
    </row>
    <row r="36" spans="1:7" x14ac:dyDescent="0.25">
      <c r="A36" s="54">
        <v>42860</v>
      </c>
      <c r="B36" s="46">
        <f t="shared" si="4"/>
        <v>30</v>
      </c>
      <c r="C36" s="47">
        <f t="shared" si="3"/>
        <v>23798</v>
      </c>
      <c r="D36" s="48">
        <f t="shared" ref="D36:D63" si="6">C36-E36</f>
        <v>16904.04</v>
      </c>
      <c r="E36" s="68">
        <f t="shared" ref="E36:E62" si="7">ROUND(F36*$B$2*B36/365,2)</f>
        <v>6893.96</v>
      </c>
      <c r="F36" s="47">
        <f t="shared" si="5"/>
        <v>559177.03999999992</v>
      </c>
      <c r="G36" s="47">
        <f t="shared" ref="G36:G67" si="8">F36-D36</f>
        <v>542272.99999999988</v>
      </c>
    </row>
    <row r="37" spans="1:7" x14ac:dyDescent="0.25">
      <c r="A37" s="54">
        <v>42891</v>
      </c>
      <c r="B37" s="46">
        <f t="shared" si="4"/>
        <v>31</v>
      </c>
      <c r="C37" s="47">
        <f t="shared" si="3"/>
        <v>23798</v>
      </c>
      <c r="D37" s="48">
        <f t="shared" si="6"/>
        <v>16889.59</v>
      </c>
      <c r="E37" s="68">
        <f t="shared" si="7"/>
        <v>6908.41</v>
      </c>
      <c r="F37" s="47">
        <f t="shared" si="5"/>
        <v>542272.99999999988</v>
      </c>
      <c r="G37" s="47">
        <f t="shared" si="8"/>
        <v>525383.40999999992</v>
      </c>
    </row>
    <row r="38" spans="1:7" x14ac:dyDescent="0.25">
      <c r="A38" s="54">
        <v>42921</v>
      </c>
      <c r="B38" s="46">
        <f t="shared" si="4"/>
        <v>30</v>
      </c>
      <c r="C38" s="47">
        <f t="shared" si="3"/>
        <v>23798</v>
      </c>
      <c r="D38" s="48">
        <f t="shared" si="6"/>
        <v>17320.669999999998</v>
      </c>
      <c r="E38" s="68">
        <f t="shared" si="7"/>
        <v>6477.33</v>
      </c>
      <c r="F38" s="47">
        <f t="shared" si="5"/>
        <v>525383.40999999992</v>
      </c>
      <c r="G38" s="47">
        <f t="shared" si="8"/>
        <v>508062.73999999993</v>
      </c>
    </row>
    <row r="39" spans="1:7" x14ac:dyDescent="0.25">
      <c r="A39" s="54">
        <v>42952</v>
      </c>
      <c r="B39" s="46">
        <f t="shared" si="4"/>
        <v>31</v>
      </c>
      <c r="C39" s="47">
        <f t="shared" si="3"/>
        <v>23798</v>
      </c>
      <c r="D39" s="48">
        <f t="shared" si="6"/>
        <v>17325.419999999998</v>
      </c>
      <c r="E39" s="68">
        <f t="shared" si="7"/>
        <v>6472.58</v>
      </c>
      <c r="F39" s="47">
        <f t="shared" si="5"/>
        <v>508062.73999999993</v>
      </c>
      <c r="G39" s="47">
        <f t="shared" si="8"/>
        <v>490737.31999999995</v>
      </c>
    </row>
    <row r="40" spans="1:7" x14ac:dyDescent="0.25">
      <c r="A40" s="54">
        <v>42983</v>
      </c>
      <c r="B40" s="46">
        <f t="shared" si="4"/>
        <v>31</v>
      </c>
      <c r="C40" s="47">
        <f t="shared" si="3"/>
        <v>23798</v>
      </c>
      <c r="D40" s="48">
        <f t="shared" si="6"/>
        <v>17546.14</v>
      </c>
      <c r="E40" s="68">
        <f t="shared" si="7"/>
        <v>6251.86</v>
      </c>
      <c r="F40" s="47">
        <f t="shared" si="5"/>
        <v>490737.31999999995</v>
      </c>
      <c r="G40" s="47">
        <f t="shared" si="8"/>
        <v>473191.17999999993</v>
      </c>
    </row>
    <row r="41" spans="1:7" x14ac:dyDescent="0.25">
      <c r="A41" s="54">
        <v>43013</v>
      </c>
      <c r="B41" s="46">
        <f t="shared" si="4"/>
        <v>30</v>
      </c>
      <c r="C41" s="47">
        <f t="shared" si="3"/>
        <v>23798</v>
      </c>
      <c r="D41" s="48">
        <f t="shared" si="6"/>
        <v>17964.14</v>
      </c>
      <c r="E41" s="68">
        <f t="shared" si="7"/>
        <v>5833.86</v>
      </c>
      <c r="F41" s="47">
        <f t="shared" si="5"/>
        <v>473191.17999999993</v>
      </c>
      <c r="G41" s="47">
        <f t="shared" si="8"/>
        <v>455227.03999999992</v>
      </c>
    </row>
    <row r="42" spans="1:7" x14ac:dyDescent="0.25">
      <c r="A42" s="54">
        <v>43044</v>
      </c>
      <c r="B42" s="46">
        <f t="shared" si="4"/>
        <v>31</v>
      </c>
      <c r="C42" s="47">
        <f t="shared" si="3"/>
        <v>23798</v>
      </c>
      <c r="D42" s="48">
        <f t="shared" si="6"/>
        <v>17998.53</v>
      </c>
      <c r="E42" s="68">
        <f t="shared" si="7"/>
        <v>5799.47</v>
      </c>
      <c r="F42" s="47">
        <f t="shared" si="5"/>
        <v>455227.03999999992</v>
      </c>
      <c r="G42" s="47">
        <f t="shared" si="8"/>
        <v>437228.50999999989</v>
      </c>
    </row>
    <row r="43" spans="1:7" x14ac:dyDescent="0.25">
      <c r="A43" s="54">
        <v>43074</v>
      </c>
      <c r="B43" s="46">
        <f t="shared" si="4"/>
        <v>30</v>
      </c>
      <c r="C43" s="47">
        <f t="shared" si="3"/>
        <v>23798</v>
      </c>
      <c r="D43" s="48">
        <f t="shared" si="6"/>
        <v>18407.510000000002</v>
      </c>
      <c r="E43" s="68">
        <f t="shared" si="7"/>
        <v>5390.49</v>
      </c>
      <c r="F43" s="47">
        <f t="shared" si="5"/>
        <v>437228.50999999989</v>
      </c>
      <c r="G43" s="47">
        <f t="shared" si="8"/>
        <v>418820.99999999988</v>
      </c>
    </row>
    <row r="44" spans="1:7" x14ac:dyDescent="0.25">
      <c r="A44" s="54">
        <v>43105</v>
      </c>
      <c r="B44" s="46">
        <f t="shared" si="4"/>
        <v>31</v>
      </c>
      <c r="C44" s="47">
        <f t="shared" si="3"/>
        <v>23798</v>
      </c>
      <c r="D44" s="48">
        <f t="shared" si="6"/>
        <v>18462.34</v>
      </c>
      <c r="E44" s="68">
        <f t="shared" si="7"/>
        <v>5335.66</v>
      </c>
      <c r="F44" s="47">
        <f t="shared" si="5"/>
        <v>418820.99999999988</v>
      </c>
      <c r="G44" s="47">
        <f t="shared" si="8"/>
        <v>400358.65999999986</v>
      </c>
    </row>
    <row r="45" spans="1:7" x14ac:dyDescent="0.25">
      <c r="A45" s="54">
        <v>43136</v>
      </c>
      <c r="B45" s="46">
        <f t="shared" si="4"/>
        <v>31</v>
      </c>
      <c r="C45" s="47">
        <f t="shared" si="3"/>
        <v>23798</v>
      </c>
      <c r="D45" s="48">
        <f t="shared" si="6"/>
        <v>18697.54</v>
      </c>
      <c r="E45" s="68">
        <f t="shared" si="7"/>
        <v>5100.46</v>
      </c>
      <c r="F45" s="47">
        <f t="shared" si="5"/>
        <v>400358.65999999986</v>
      </c>
      <c r="G45" s="47">
        <f t="shared" si="8"/>
        <v>381661.11999999988</v>
      </c>
    </row>
    <row r="46" spans="1:7" x14ac:dyDescent="0.25">
      <c r="A46" s="54">
        <v>43164</v>
      </c>
      <c r="B46" s="46">
        <f t="shared" si="4"/>
        <v>28</v>
      </c>
      <c r="C46" s="47">
        <f t="shared" si="3"/>
        <v>23798</v>
      </c>
      <c r="D46" s="48">
        <f t="shared" si="6"/>
        <v>19406.28</v>
      </c>
      <c r="E46" s="68">
        <f t="shared" si="7"/>
        <v>4391.72</v>
      </c>
      <c r="F46" s="47">
        <f t="shared" si="5"/>
        <v>381661.11999999988</v>
      </c>
      <c r="G46" s="47">
        <f t="shared" si="8"/>
        <v>362254.83999999985</v>
      </c>
    </row>
    <row r="47" spans="1:7" x14ac:dyDescent="0.25">
      <c r="A47" s="54">
        <v>43195</v>
      </c>
      <c r="B47" s="46">
        <f t="shared" si="4"/>
        <v>31</v>
      </c>
      <c r="C47" s="47">
        <f t="shared" si="3"/>
        <v>23798</v>
      </c>
      <c r="D47" s="48">
        <f t="shared" si="6"/>
        <v>19182.97</v>
      </c>
      <c r="E47" s="68">
        <f t="shared" si="7"/>
        <v>4615.03</v>
      </c>
      <c r="F47" s="47">
        <f t="shared" si="5"/>
        <v>362254.83999999985</v>
      </c>
      <c r="G47" s="47">
        <f t="shared" si="8"/>
        <v>343071.86999999988</v>
      </c>
    </row>
    <row r="48" spans="1:7" x14ac:dyDescent="0.25">
      <c r="A48" s="54">
        <v>43225</v>
      </c>
      <c r="B48" s="46">
        <f t="shared" si="4"/>
        <v>30</v>
      </c>
      <c r="C48" s="47">
        <f t="shared" si="3"/>
        <v>23798</v>
      </c>
      <c r="D48" s="48">
        <f t="shared" si="6"/>
        <v>19568.349999999999</v>
      </c>
      <c r="E48" s="68">
        <f t="shared" si="7"/>
        <v>4229.6499999999996</v>
      </c>
      <c r="F48" s="47">
        <f t="shared" si="5"/>
        <v>343071.86999999988</v>
      </c>
      <c r="G48" s="47">
        <f t="shared" si="8"/>
        <v>323503.5199999999</v>
      </c>
    </row>
    <row r="49" spans="1:7" x14ac:dyDescent="0.25">
      <c r="A49" s="54">
        <v>43256</v>
      </c>
      <c r="B49" s="46">
        <f t="shared" si="4"/>
        <v>31</v>
      </c>
      <c r="C49" s="47">
        <f t="shared" si="3"/>
        <v>23798</v>
      </c>
      <c r="D49" s="48">
        <f t="shared" si="6"/>
        <v>19676.650000000001</v>
      </c>
      <c r="E49" s="68">
        <f t="shared" si="7"/>
        <v>4121.3500000000004</v>
      </c>
      <c r="F49" s="47">
        <f t="shared" si="5"/>
        <v>323503.5199999999</v>
      </c>
      <c r="G49" s="47">
        <f t="shared" si="8"/>
        <v>303826.86999999988</v>
      </c>
    </row>
    <row r="50" spans="1:7" x14ac:dyDescent="0.25">
      <c r="A50" s="54">
        <v>43286</v>
      </c>
      <c r="B50" s="46">
        <f t="shared" si="4"/>
        <v>30</v>
      </c>
      <c r="C50" s="47">
        <f t="shared" si="3"/>
        <v>23798</v>
      </c>
      <c r="D50" s="48">
        <f t="shared" si="6"/>
        <v>20052.189999999999</v>
      </c>
      <c r="E50" s="68">
        <f t="shared" si="7"/>
        <v>3745.81</v>
      </c>
      <c r="F50" s="47">
        <f t="shared" si="5"/>
        <v>303826.86999999988</v>
      </c>
      <c r="G50" s="47">
        <f t="shared" si="8"/>
        <v>283774.67999999988</v>
      </c>
    </row>
    <row r="51" spans="1:7" x14ac:dyDescent="0.25">
      <c r="A51" s="54">
        <v>43317</v>
      </c>
      <c r="B51" s="46">
        <f t="shared" si="4"/>
        <v>31</v>
      </c>
      <c r="C51" s="47">
        <f t="shared" si="3"/>
        <v>23798</v>
      </c>
      <c r="D51" s="48">
        <f t="shared" si="6"/>
        <v>20182.79</v>
      </c>
      <c r="E51" s="68">
        <f t="shared" si="7"/>
        <v>3615.21</v>
      </c>
      <c r="F51" s="47">
        <f t="shared" si="5"/>
        <v>283774.67999999988</v>
      </c>
      <c r="G51" s="47">
        <f t="shared" si="8"/>
        <v>263591.8899999999</v>
      </c>
    </row>
    <row r="52" spans="1:7" x14ac:dyDescent="0.25">
      <c r="A52" s="54">
        <v>43348</v>
      </c>
      <c r="B52" s="46">
        <f t="shared" si="4"/>
        <v>31</v>
      </c>
      <c r="C52" s="47">
        <f t="shared" si="3"/>
        <v>23798</v>
      </c>
      <c r="D52" s="48">
        <f t="shared" si="6"/>
        <v>20439.91</v>
      </c>
      <c r="E52" s="68">
        <f t="shared" si="7"/>
        <v>3358.09</v>
      </c>
      <c r="F52" s="47">
        <f t="shared" si="5"/>
        <v>263591.8899999999</v>
      </c>
      <c r="G52" s="47">
        <f t="shared" si="8"/>
        <v>243151.97999999989</v>
      </c>
    </row>
    <row r="53" spans="1:7" x14ac:dyDescent="0.25">
      <c r="A53" s="54">
        <v>43378</v>
      </c>
      <c r="B53" s="46">
        <f t="shared" si="4"/>
        <v>30</v>
      </c>
      <c r="C53" s="47">
        <f t="shared" si="3"/>
        <v>23798</v>
      </c>
      <c r="D53" s="48">
        <f t="shared" si="6"/>
        <v>20800.239999999998</v>
      </c>
      <c r="E53" s="68">
        <f t="shared" si="7"/>
        <v>2997.76</v>
      </c>
      <c r="F53" s="47">
        <f t="shared" si="5"/>
        <v>243151.97999999989</v>
      </c>
      <c r="G53" s="47">
        <f t="shared" si="8"/>
        <v>222351.7399999999</v>
      </c>
    </row>
    <row r="54" spans="1:7" x14ac:dyDescent="0.25">
      <c r="A54" s="54">
        <v>43409</v>
      </c>
      <c r="B54" s="46">
        <f t="shared" si="4"/>
        <v>31</v>
      </c>
      <c r="C54" s="47">
        <f t="shared" si="3"/>
        <v>23798</v>
      </c>
      <c r="D54" s="48">
        <f t="shared" si="6"/>
        <v>20965.3</v>
      </c>
      <c r="E54" s="68">
        <f t="shared" si="7"/>
        <v>2832.7</v>
      </c>
      <c r="F54" s="47">
        <f t="shared" si="5"/>
        <v>222351.7399999999</v>
      </c>
      <c r="G54" s="47">
        <f t="shared" si="8"/>
        <v>201386.43999999992</v>
      </c>
    </row>
    <row r="55" spans="1:7" x14ac:dyDescent="0.25">
      <c r="A55" s="54">
        <v>43439</v>
      </c>
      <c r="B55" s="46">
        <f t="shared" si="4"/>
        <v>30</v>
      </c>
      <c r="C55" s="47">
        <f t="shared" si="3"/>
        <v>23798</v>
      </c>
      <c r="D55" s="48">
        <f t="shared" si="6"/>
        <v>21315.15</v>
      </c>
      <c r="E55" s="68">
        <f t="shared" si="7"/>
        <v>2482.85</v>
      </c>
      <c r="F55" s="47">
        <f t="shared" si="5"/>
        <v>201386.43999999992</v>
      </c>
      <c r="G55" s="47">
        <f t="shared" si="8"/>
        <v>180071.28999999992</v>
      </c>
    </row>
    <row r="56" spans="1:7" x14ac:dyDescent="0.25">
      <c r="A56" s="54">
        <v>43470</v>
      </c>
      <c r="B56" s="46">
        <f t="shared" si="4"/>
        <v>31</v>
      </c>
      <c r="C56" s="47">
        <f t="shared" si="3"/>
        <v>23798</v>
      </c>
      <c r="D56" s="48">
        <f t="shared" si="6"/>
        <v>21503.94</v>
      </c>
      <c r="E56" s="68">
        <f t="shared" si="7"/>
        <v>2294.06</v>
      </c>
      <c r="F56" s="47">
        <f t="shared" si="5"/>
        <v>180071.28999999992</v>
      </c>
      <c r="G56" s="47">
        <f t="shared" si="8"/>
        <v>158567.34999999992</v>
      </c>
    </row>
    <row r="57" spans="1:7" x14ac:dyDescent="0.25">
      <c r="A57" s="54">
        <v>43501</v>
      </c>
      <c r="B57" s="46">
        <f t="shared" si="4"/>
        <v>31</v>
      </c>
      <c r="C57" s="47">
        <f t="shared" si="3"/>
        <v>23798</v>
      </c>
      <c r="D57" s="48">
        <f t="shared" si="6"/>
        <v>21777.9</v>
      </c>
      <c r="E57" s="68">
        <f t="shared" si="7"/>
        <v>2020.1</v>
      </c>
      <c r="F57" s="47">
        <f t="shared" si="5"/>
        <v>158567.34999999992</v>
      </c>
      <c r="G57" s="47">
        <f t="shared" si="8"/>
        <v>136789.44999999992</v>
      </c>
    </row>
    <row r="58" spans="1:7" x14ac:dyDescent="0.25">
      <c r="A58" s="54">
        <v>43529</v>
      </c>
      <c r="B58" s="46">
        <f t="shared" si="4"/>
        <v>28</v>
      </c>
      <c r="C58" s="47">
        <f t="shared" si="3"/>
        <v>23798</v>
      </c>
      <c r="D58" s="48">
        <f t="shared" si="6"/>
        <v>22223.98</v>
      </c>
      <c r="E58" s="68">
        <f t="shared" si="7"/>
        <v>1574.02</v>
      </c>
      <c r="F58" s="47">
        <f t="shared" si="5"/>
        <v>136789.44999999992</v>
      </c>
      <c r="G58" s="47">
        <f t="shared" si="8"/>
        <v>114565.46999999993</v>
      </c>
    </row>
    <row r="59" spans="1:7" x14ac:dyDescent="0.25">
      <c r="A59" s="54">
        <v>43560</v>
      </c>
      <c r="B59" s="46">
        <f t="shared" si="4"/>
        <v>31</v>
      </c>
      <c r="C59" s="47">
        <f t="shared" si="3"/>
        <v>23798</v>
      </c>
      <c r="D59" s="48">
        <f t="shared" si="6"/>
        <v>22338.47</v>
      </c>
      <c r="E59" s="68">
        <f t="shared" si="7"/>
        <v>1459.53</v>
      </c>
      <c r="F59" s="47">
        <f t="shared" si="5"/>
        <v>114565.46999999993</v>
      </c>
      <c r="G59" s="47">
        <f t="shared" si="8"/>
        <v>92226.999999999927</v>
      </c>
    </row>
    <row r="60" spans="1:7" x14ac:dyDescent="0.25">
      <c r="A60" s="54">
        <v>43590</v>
      </c>
      <c r="B60" s="46">
        <f t="shared" si="4"/>
        <v>30</v>
      </c>
      <c r="C60" s="47">
        <f t="shared" si="3"/>
        <v>23798</v>
      </c>
      <c r="D60" s="48">
        <f t="shared" si="6"/>
        <v>22660.95</v>
      </c>
      <c r="E60" s="68">
        <f t="shared" si="7"/>
        <v>1137.05</v>
      </c>
      <c r="F60" s="47">
        <f t="shared" si="5"/>
        <v>92226.999999999927</v>
      </c>
      <c r="G60" s="47">
        <f t="shared" si="8"/>
        <v>69566.04999999993</v>
      </c>
    </row>
    <row r="61" spans="1:7" x14ac:dyDescent="0.25">
      <c r="A61" s="54">
        <v>43621</v>
      </c>
      <c r="B61" s="46">
        <f t="shared" si="4"/>
        <v>31</v>
      </c>
      <c r="C61" s="47">
        <f t="shared" si="3"/>
        <v>23798</v>
      </c>
      <c r="D61" s="48">
        <f t="shared" si="6"/>
        <v>22911.75</v>
      </c>
      <c r="E61" s="68">
        <f t="shared" si="7"/>
        <v>886.25</v>
      </c>
      <c r="F61" s="47">
        <f t="shared" si="5"/>
        <v>69566.04999999993</v>
      </c>
      <c r="G61" s="47">
        <f t="shared" si="8"/>
        <v>46654.29999999993</v>
      </c>
    </row>
    <row r="62" spans="1:7" x14ac:dyDescent="0.25">
      <c r="A62" s="54">
        <v>43651</v>
      </c>
      <c r="B62" s="46">
        <f t="shared" si="4"/>
        <v>30</v>
      </c>
      <c r="C62" s="47">
        <f t="shared" si="3"/>
        <v>23798</v>
      </c>
      <c r="D62" s="48">
        <f t="shared" si="6"/>
        <v>23222.81</v>
      </c>
      <c r="E62" s="68">
        <f t="shared" si="7"/>
        <v>575.19000000000005</v>
      </c>
      <c r="F62" s="47">
        <f t="shared" si="5"/>
        <v>46654.29999999993</v>
      </c>
      <c r="G62" s="47">
        <f t="shared" si="8"/>
        <v>23431.489999999929</v>
      </c>
    </row>
    <row r="63" spans="1:7" x14ac:dyDescent="0.25">
      <c r="A63" s="54">
        <v>43682</v>
      </c>
      <c r="B63" s="46">
        <f t="shared" si="4"/>
        <v>31</v>
      </c>
      <c r="C63" s="47">
        <f t="shared" si="3"/>
        <v>23798</v>
      </c>
      <c r="D63" s="48">
        <f t="shared" si="6"/>
        <v>23431.489999999929</v>
      </c>
      <c r="E63" s="68">
        <v>366.51000000007275</v>
      </c>
      <c r="F63" s="47">
        <f t="shared" si="5"/>
        <v>23431.489999999929</v>
      </c>
      <c r="G63" s="47">
        <f t="shared" si="8"/>
        <v>0</v>
      </c>
    </row>
    <row r="64" spans="1:7" x14ac:dyDescent="0.25">
      <c r="A64" s="70">
        <v>42009</v>
      </c>
      <c r="B64" s="46">
        <f>A8-A7</f>
        <v>31</v>
      </c>
      <c r="C64" s="47">
        <f t="shared" si="3"/>
        <v>23798</v>
      </c>
      <c r="D64" s="48">
        <f>C8-E8</f>
        <v>11643.02</v>
      </c>
      <c r="E64" s="68">
        <f>ROUND(F8*$B$2*B8/365,2)</f>
        <v>12154.98</v>
      </c>
      <c r="F64" s="47">
        <f>G7</f>
        <v>954100.61</v>
      </c>
      <c r="G64" s="47">
        <f t="shared" si="8"/>
        <v>942457.59</v>
      </c>
    </row>
    <row r="65" spans="1:7" x14ac:dyDescent="0.25">
      <c r="A65" s="70">
        <v>42040</v>
      </c>
      <c r="B65" s="84">
        <f t="shared" si="4"/>
        <v>31</v>
      </c>
      <c r="C65" s="90">
        <f t="shared" ref="C65:C68" si="9">$H$1</f>
        <v>26304</v>
      </c>
      <c r="D65" s="91">
        <f t="shared" ref="D65:D96" si="10">C65-E65</f>
        <v>10295.129999999999</v>
      </c>
      <c r="E65" s="90">
        <f>ROUND(F65*$J$1*B65/365,2)</f>
        <v>16008.87</v>
      </c>
      <c r="F65" s="90">
        <f t="shared" si="5"/>
        <v>942457.59</v>
      </c>
      <c r="G65" s="90">
        <f t="shared" si="8"/>
        <v>932162.46</v>
      </c>
    </row>
    <row r="66" spans="1:7" x14ac:dyDescent="0.25">
      <c r="A66" s="70">
        <v>42068</v>
      </c>
      <c r="B66" s="46">
        <f t="shared" si="4"/>
        <v>28</v>
      </c>
      <c r="C66" s="47">
        <f t="shared" si="9"/>
        <v>26304</v>
      </c>
      <c r="D66" s="48">
        <f t="shared" si="10"/>
        <v>12002.33</v>
      </c>
      <c r="E66" s="68">
        <f t="shared" ref="E66:E119" si="11">ROUND(F66*$J$1*B66/365,2)</f>
        <v>14301.67</v>
      </c>
      <c r="F66" s="47">
        <f t="shared" si="5"/>
        <v>932162.46</v>
      </c>
      <c r="G66" s="47">
        <f t="shared" si="8"/>
        <v>920160.13</v>
      </c>
    </row>
    <row r="67" spans="1:7" x14ac:dyDescent="0.25">
      <c r="A67" s="70">
        <v>42099</v>
      </c>
      <c r="B67" s="46">
        <f t="shared" si="4"/>
        <v>31</v>
      </c>
      <c r="C67" s="47">
        <f t="shared" si="9"/>
        <v>26304</v>
      </c>
      <c r="D67" s="48">
        <f t="shared" si="10"/>
        <v>10673.88</v>
      </c>
      <c r="E67" s="68">
        <f t="shared" si="11"/>
        <v>15630.12</v>
      </c>
      <c r="F67" s="47">
        <f t="shared" si="5"/>
        <v>920160.13</v>
      </c>
      <c r="G67" s="47">
        <f t="shared" si="8"/>
        <v>909486.25</v>
      </c>
    </row>
    <row r="68" spans="1:7" x14ac:dyDescent="0.25">
      <c r="A68" s="70">
        <v>42129</v>
      </c>
      <c r="B68" s="46">
        <f t="shared" si="4"/>
        <v>30</v>
      </c>
      <c r="C68" s="47">
        <f t="shared" si="9"/>
        <v>26304</v>
      </c>
      <c r="D68" s="48">
        <f t="shared" si="10"/>
        <v>11353.54</v>
      </c>
      <c r="E68" s="68">
        <f t="shared" si="11"/>
        <v>14950.46</v>
      </c>
      <c r="F68" s="47">
        <f t="shared" si="5"/>
        <v>909486.25</v>
      </c>
      <c r="G68" s="47">
        <f t="shared" ref="G68:G99" si="12">F68-D68</f>
        <v>898132.71</v>
      </c>
    </row>
    <row r="69" spans="1:7" x14ac:dyDescent="0.25">
      <c r="A69" s="70">
        <v>42160</v>
      </c>
      <c r="B69" s="84">
        <f t="shared" si="4"/>
        <v>31</v>
      </c>
      <c r="C69" s="90">
        <f>$N$1</f>
        <v>24840</v>
      </c>
      <c r="D69" s="91">
        <f t="shared" si="10"/>
        <v>10433.36</v>
      </c>
      <c r="E69" s="90">
        <f t="shared" si="11"/>
        <v>14406.64</v>
      </c>
      <c r="F69" s="90">
        <f>G68-P1</f>
        <v>848132.71</v>
      </c>
      <c r="G69" s="90">
        <f t="shared" si="12"/>
        <v>837699.35</v>
      </c>
    </row>
    <row r="70" spans="1:7" x14ac:dyDescent="0.25">
      <c r="A70" s="70">
        <v>42190</v>
      </c>
      <c r="B70" s="46">
        <f t="shared" ref="B70:B131" si="13">A70-A69</f>
        <v>30</v>
      </c>
      <c r="C70" s="68">
        <f t="shared" ref="C70:C80" si="14">$N$1</f>
        <v>24840</v>
      </c>
      <c r="D70" s="48">
        <f t="shared" si="10"/>
        <v>11069.6</v>
      </c>
      <c r="E70" s="68">
        <f t="shared" si="11"/>
        <v>13770.4</v>
      </c>
      <c r="F70" s="47">
        <f t="shared" ref="F70:F131" si="15">G69</f>
        <v>837699.35</v>
      </c>
      <c r="G70" s="47">
        <f t="shared" si="12"/>
        <v>826629.75</v>
      </c>
    </row>
    <row r="71" spans="1:7" x14ac:dyDescent="0.25">
      <c r="A71" s="70">
        <v>42221</v>
      </c>
      <c r="B71" s="46">
        <f t="shared" si="13"/>
        <v>31</v>
      </c>
      <c r="C71" s="68">
        <f t="shared" si="14"/>
        <v>24840</v>
      </c>
      <c r="D71" s="48">
        <f t="shared" si="10"/>
        <v>10798.62</v>
      </c>
      <c r="E71" s="68">
        <f t="shared" si="11"/>
        <v>14041.38</v>
      </c>
      <c r="F71" s="47">
        <f t="shared" si="15"/>
        <v>826629.75</v>
      </c>
      <c r="G71" s="47">
        <f t="shared" si="12"/>
        <v>815831.13</v>
      </c>
    </row>
    <row r="72" spans="1:7" x14ac:dyDescent="0.25">
      <c r="A72" s="70">
        <v>42252</v>
      </c>
      <c r="B72" s="46">
        <f t="shared" si="13"/>
        <v>31</v>
      </c>
      <c r="C72" s="68">
        <f t="shared" si="14"/>
        <v>24840</v>
      </c>
      <c r="D72" s="48">
        <f t="shared" si="10"/>
        <v>10982.05</v>
      </c>
      <c r="E72" s="68">
        <f t="shared" si="11"/>
        <v>13857.95</v>
      </c>
      <c r="F72" s="47">
        <f t="shared" si="15"/>
        <v>815831.13</v>
      </c>
      <c r="G72" s="47">
        <f t="shared" si="12"/>
        <v>804849.08</v>
      </c>
    </row>
    <row r="73" spans="1:7" x14ac:dyDescent="0.25">
      <c r="A73" s="70">
        <v>42282</v>
      </c>
      <c r="B73" s="46">
        <f t="shared" si="13"/>
        <v>30</v>
      </c>
      <c r="C73" s="68">
        <f t="shared" si="14"/>
        <v>24840</v>
      </c>
      <c r="D73" s="48">
        <f t="shared" si="10"/>
        <v>11609.6</v>
      </c>
      <c r="E73" s="68">
        <f t="shared" si="11"/>
        <v>13230.4</v>
      </c>
      <c r="F73" s="47">
        <f t="shared" si="15"/>
        <v>804849.08</v>
      </c>
      <c r="G73" s="47">
        <f t="shared" si="12"/>
        <v>793239.48</v>
      </c>
    </row>
    <row r="74" spans="1:7" x14ac:dyDescent="0.25">
      <c r="A74" s="70">
        <v>42313</v>
      </c>
      <c r="B74" s="46">
        <f t="shared" si="13"/>
        <v>31</v>
      </c>
      <c r="C74" s="68">
        <f t="shared" si="14"/>
        <v>24840</v>
      </c>
      <c r="D74" s="48">
        <f t="shared" si="10"/>
        <v>11365.8</v>
      </c>
      <c r="E74" s="68">
        <f t="shared" si="11"/>
        <v>13474.2</v>
      </c>
      <c r="F74" s="47">
        <f t="shared" si="15"/>
        <v>793239.48</v>
      </c>
      <c r="G74" s="47">
        <f t="shared" si="12"/>
        <v>781873.67999999993</v>
      </c>
    </row>
    <row r="75" spans="1:7" x14ac:dyDescent="0.25">
      <c r="A75" s="70">
        <v>42343</v>
      </c>
      <c r="B75" s="46">
        <f t="shared" si="13"/>
        <v>30</v>
      </c>
      <c r="C75" s="68">
        <f t="shared" si="14"/>
        <v>24840</v>
      </c>
      <c r="D75" s="48">
        <f t="shared" si="10"/>
        <v>11987.28</v>
      </c>
      <c r="E75" s="68">
        <f t="shared" si="11"/>
        <v>12852.72</v>
      </c>
      <c r="F75" s="47">
        <f t="shared" si="15"/>
        <v>781873.67999999993</v>
      </c>
      <c r="G75" s="47">
        <f t="shared" si="12"/>
        <v>769886.39999999991</v>
      </c>
    </row>
    <row r="76" spans="1:7" x14ac:dyDescent="0.25">
      <c r="A76" s="70">
        <v>42374</v>
      </c>
      <c r="B76" s="46">
        <f t="shared" si="13"/>
        <v>31</v>
      </c>
      <c r="C76" s="68">
        <f t="shared" si="14"/>
        <v>24840</v>
      </c>
      <c r="D76" s="48">
        <f t="shared" si="10"/>
        <v>11762.48</v>
      </c>
      <c r="E76" s="68">
        <f t="shared" si="11"/>
        <v>13077.52</v>
      </c>
      <c r="F76" s="47">
        <f t="shared" si="15"/>
        <v>769886.39999999991</v>
      </c>
      <c r="G76" s="47">
        <f t="shared" si="12"/>
        <v>758123.91999999993</v>
      </c>
    </row>
    <row r="77" spans="1:7" x14ac:dyDescent="0.25">
      <c r="A77" s="70">
        <v>42405</v>
      </c>
      <c r="B77" s="46">
        <f t="shared" si="13"/>
        <v>31</v>
      </c>
      <c r="C77" s="68">
        <f t="shared" si="14"/>
        <v>24840</v>
      </c>
      <c r="D77" s="48">
        <f t="shared" si="10"/>
        <v>11962.28</v>
      </c>
      <c r="E77" s="68">
        <f t="shared" si="11"/>
        <v>12877.72</v>
      </c>
      <c r="F77" s="47">
        <f t="shared" si="15"/>
        <v>758123.91999999993</v>
      </c>
      <c r="G77" s="47">
        <f t="shared" si="12"/>
        <v>746161.6399999999</v>
      </c>
    </row>
    <row r="78" spans="1:7" x14ac:dyDescent="0.25">
      <c r="A78" s="70">
        <v>42434</v>
      </c>
      <c r="B78" s="46">
        <f t="shared" si="13"/>
        <v>29</v>
      </c>
      <c r="C78" s="68">
        <f t="shared" si="14"/>
        <v>24840</v>
      </c>
      <c r="D78" s="48">
        <f t="shared" si="10"/>
        <v>12983.18</v>
      </c>
      <c r="E78" s="68">
        <f t="shared" si="11"/>
        <v>11856.82</v>
      </c>
      <c r="F78" s="47">
        <f t="shared" si="15"/>
        <v>746161.6399999999</v>
      </c>
      <c r="G78" s="47">
        <f t="shared" si="12"/>
        <v>733178.45999999985</v>
      </c>
    </row>
    <row r="79" spans="1:7" x14ac:dyDescent="0.25">
      <c r="A79" s="70">
        <v>42465</v>
      </c>
      <c r="B79" s="46">
        <f t="shared" si="13"/>
        <v>31</v>
      </c>
      <c r="C79" s="68">
        <f t="shared" si="14"/>
        <v>24840</v>
      </c>
      <c r="D79" s="48">
        <f t="shared" si="10"/>
        <v>12386.01</v>
      </c>
      <c r="E79" s="68">
        <f t="shared" si="11"/>
        <v>12453.99</v>
      </c>
      <c r="F79" s="47">
        <f t="shared" si="15"/>
        <v>733178.45999999985</v>
      </c>
      <c r="G79" s="47">
        <f t="shared" si="12"/>
        <v>720792.44999999984</v>
      </c>
    </row>
    <row r="80" spans="1:7" x14ac:dyDescent="0.25">
      <c r="A80" s="70">
        <v>42495</v>
      </c>
      <c r="B80" s="46">
        <f t="shared" si="13"/>
        <v>30</v>
      </c>
      <c r="C80" s="68">
        <f t="shared" si="14"/>
        <v>24840</v>
      </c>
      <c r="D80" s="48">
        <f t="shared" si="10"/>
        <v>12991.36</v>
      </c>
      <c r="E80" s="68">
        <f t="shared" si="11"/>
        <v>11848.64</v>
      </c>
      <c r="F80" s="47">
        <f t="shared" si="15"/>
        <v>720792.44999999984</v>
      </c>
      <c r="G80" s="47">
        <f t="shared" si="12"/>
        <v>707801.08999999985</v>
      </c>
    </row>
    <row r="81" spans="1:7" x14ac:dyDescent="0.25">
      <c r="A81" s="70">
        <v>42526</v>
      </c>
      <c r="B81" s="84">
        <f t="shared" si="13"/>
        <v>31</v>
      </c>
      <c r="C81" s="90">
        <f>$F$2</f>
        <v>30000</v>
      </c>
      <c r="D81" s="91">
        <f t="shared" si="10"/>
        <v>17977.080000000002</v>
      </c>
      <c r="E81" s="90">
        <f t="shared" si="11"/>
        <v>12022.92</v>
      </c>
      <c r="F81" s="90">
        <f t="shared" si="15"/>
        <v>707801.08999999985</v>
      </c>
      <c r="G81" s="90">
        <f t="shared" si="12"/>
        <v>689824.00999999989</v>
      </c>
    </row>
    <row r="82" spans="1:7" x14ac:dyDescent="0.25">
      <c r="A82" s="70">
        <v>42556</v>
      </c>
      <c r="B82" s="46">
        <f t="shared" si="13"/>
        <v>30</v>
      </c>
      <c r="C82" s="68">
        <f t="shared" ref="C82:C92" si="16">$F$2</f>
        <v>30000</v>
      </c>
      <c r="D82" s="48">
        <f t="shared" si="10"/>
        <v>18660.43</v>
      </c>
      <c r="E82" s="68">
        <f t="shared" si="11"/>
        <v>11339.57</v>
      </c>
      <c r="F82" s="47">
        <f t="shared" si="15"/>
        <v>689824.00999999989</v>
      </c>
      <c r="G82" s="47">
        <f t="shared" si="12"/>
        <v>671163.57999999984</v>
      </c>
    </row>
    <row r="83" spans="1:7" x14ac:dyDescent="0.25">
      <c r="A83" s="70">
        <v>42587</v>
      </c>
      <c r="B83" s="46">
        <f t="shared" si="13"/>
        <v>31</v>
      </c>
      <c r="C83" s="68">
        <f t="shared" si="16"/>
        <v>30000</v>
      </c>
      <c r="D83" s="48">
        <f t="shared" si="10"/>
        <v>18599.41</v>
      </c>
      <c r="E83" s="68">
        <f t="shared" si="11"/>
        <v>11400.59</v>
      </c>
      <c r="F83" s="47">
        <f t="shared" si="15"/>
        <v>671163.57999999984</v>
      </c>
      <c r="G83" s="47">
        <f t="shared" si="12"/>
        <v>652564.16999999981</v>
      </c>
    </row>
    <row r="84" spans="1:7" x14ac:dyDescent="0.25">
      <c r="A84" s="70">
        <v>42618</v>
      </c>
      <c r="B84" s="46">
        <f t="shared" si="13"/>
        <v>31</v>
      </c>
      <c r="C84" s="68">
        <f t="shared" si="16"/>
        <v>30000</v>
      </c>
      <c r="D84" s="48">
        <f t="shared" si="10"/>
        <v>18915.349999999999</v>
      </c>
      <c r="E84" s="68">
        <f t="shared" si="11"/>
        <v>11084.65</v>
      </c>
      <c r="F84" s="47">
        <f t="shared" si="15"/>
        <v>652564.16999999981</v>
      </c>
      <c r="G84" s="47">
        <f t="shared" si="12"/>
        <v>633648.81999999983</v>
      </c>
    </row>
    <row r="85" spans="1:7" x14ac:dyDescent="0.25">
      <c r="A85" s="70">
        <v>42648</v>
      </c>
      <c r="B85" s="46">
        <f t="shared" si="13"/>
        <v>30</v>
      </c>
      <c r="C85" s="68">
        <f t="shared" si="16"/>
        <v>30000</v>
      </c>
      <c r="D85" s="48">
        <f t="shared" si="10"/>
        <v>19583.86</v>
      </c>
      <c r="E85" s="68">
        <f t="shared" si="11"/>
        <v>10416.14</v>
      </c>
      <c r="F85" s="47">
        <f t="shared" si="15"/>
        <v>633648.81999999983</v>
      </c>
      <c r="G85" s="47">
        <f t="shared" si="12"/>
        <v>614064.95999999985</v>
      </c>
    </row>
    <row r="86" spans="1:7" x14ac:dyDescent="0.25">
      <c r="A86" s="70">
        <v>42679</v>
      </c>
      <c r="B86" s="46">
        <f t="shared" si="13"/>
        <v>31</v>
      </c>
      <c r="C86" s="68">
        <f t="shared" si="16"/>
        <v>30000</v>
      </c>
      <c r="D86" s="48">
        <f t="shared" si="10"/>
        <v>19569.309999999998</v>
      </c>
      <c r="E86" s="68">
        <f t="shared" si="11"/>
        <v>10430.69</v>
      </c>
      <c r="F86" s="47">
        <f t="shared" si="15"/>
        <v>614064.95999999985</v>
      </c>
      <c r="G86" s="47">
        <f t="shared" si="12"/>
        <v>594495.64999999991</v>
      </c>
    </row>
    <row r="87" spans="1:7" x14ac:dyDescent="0.25">
      <c r="A87" s="70">
        <v>42709</v>
      </c>
      <c r="B87" s="46">
        <f t="shared" si="13"/>
        <v>30</v>
      </c>
      <c r="C87" s="68">
        <f t="shared" si="16"/>
        <v>30000</v>
      </c>
      <c r="D87" s="48">
        <f t="shared" si="10"/>
        <v>20227.47</v>
      </c>
      <c r="E87" s="68">
        <f t="shared" si="11"/>
        <v>9772.5300000000007</v>
      </c>
      <c r="F87" s="47">
        <f t="shared" si="15"/>
        <v>594495.64999999991</v>
      </c>
      <c r="G87" s="47">
        <f t="shared" si="12"/>
        <v>574268.17999999993</v>
      </c>
    </row>
    <row r="88" spans="1:7" x14ac:dyDescent="0.25">
      <c r="A88" s="70">
        <v>42740</v>
      </c>
      <c r="B88" s="46">
        <f t="shared" si="13"/>
        <v>31</v>
      </c>
      <c r="C88" s="68">
        <f t="shared" si="16"/>
        <v>30000</v>
      </c>
      <c r="D88" s="48">
        <f t="shared" si="10"/>
        <v>20245.309999999998</v>
      </c>
      <c r="E88" s="68">
        <f t="shared" si="11"/>
        <v>9754.69</v>
      </c>
      <c r="F88" s="47">
        <f t="shared" si="15"/>
        <v>574268.17999999993</v>
      </c>
      <c r="G88" s="47">
        <f t="shared" si="12"/>
        <v>554022.86999999988</v>
      </c>
    </row>
    <row r="89" spans="1:7" x14ac:dyDescent="0.25">
      <c r="A89" s="70">
        <v>42771</v>
      </c>
      <c r="B89" s="46">
        <f t="shared" si="13"/>
        <v>31</v>
      </c>
      <c r="C89" s="68">
        <f t="shared" si="16"/>
        <v>30000</v>
      </c>
      <c r="D89" s="48">
        <f t="shared" si="10"/>
        <v>20589.2</v>
      </c>
      <c r="E89" s="68">
        <f t="shared" si="11"/>
        <v>9410.7999999999993</v>
      </c>
      <c r="F89" s="47">
        <f t="shared" si="15"/>
        <v>554022.86999999988</v>
      </c>
      <c r="G89" s="47">
        <f t="shared" si="12"/>
        <v>533433.66999999993</v>
      </c>
    </row>
    <row r="90" spans="1:7" x14ac:dyDescent="0.25">
      <c r="A90" s="70">
        <v>42799</v>
      </c>
      <c r="B90" s="46">
        <f t="shared" si="13"/>
        <v>28</v>
      </c>
      <c r="C90" s="68">
        <f t="shared" si="16"/>
        <v>30000</v>
      </c>
      <c r="D90" s="48">
        <f t="shared" si="10"/>
        <v>21815.81</v>
      </c>
      <c r="E90" s="68">
        <f t="shared" si="11"/>
        <v>8184.19</v>
      </c>
      <c r="F90" s="47">
        <f t="shared" si="15"/>
        <v>533433.66999999993</v>
      </c>
      <c r="G90" s="47">
        <f t="shared" si="12"/>
        <v>511617.85999999993</v>
      </c>
    </row>
    <row r="91" spans="1:7" x14ac:dyDescent="0.25">
      <c r="A91" s="70">
        <v>42830</v>
      </c>
      <c r="B91" s="46">
        <f t="shared" si="13"/>
        <v>31</v>
      </c>
      <c r="C91" s="68">
        <f t="shared" si="16"/>
        <v>30000</v>
      </c>
      <c r="D91" s="48">
        <f t="shared" si="10"/>
        <v>21309.5</v>
      </c>
      <c r="E91" s="68">
        <f t="shared" si="11"/>
        <v>8690.5</v>
      </c>
      <c r="F91" s="47">
        <f t="shared" si="15"/>
        <v>511617.85999999993</v>
      </c>
      <c r="G91" s="47">
        <f t="shared" si="12"/>
        <v>490308.35999999993</v>
      </c>
    </row>
    <row r="92" spans="1:7" x14ac:dyDescent="0.25">
      <c r="A92" s="70">
        <v>42860</v>
      </c>
      <c r="B92" s="46">
        <f t="shared" si="13"/>
        <v>30</v>
      </c>
      <c r="C92" s="68">
        <f t="shared" si="16"/>
        <v>30000</v>
      </c>
      <c r="D92" s="48">
        <f t="shared" si="10"/>
        <v>21940.14</v>
      </c>
      <c r="E92" s="68">
        <f t="shared" si="11"/>
        <v>8059.86</v>
      </c>
      <c r="F92" s="47">
        <f t="shared" si="15"/>
        <v>490308.35999999993</v>
      </c>
      <c r="G92" s="47">
        <f t="shared" si="12"/>
        <v>468368.21999999991</v>
      </c>
    </row>
    <row r="93" spans="1:7" x14ac:dyDescent="0.25">
      <c r="A93" s="70">
        <v>42891</v>
      </c>
      <c r="B93" s="46">
        <f t="shared" si="13"/>
        <v>31</v>
      </c>
      <c r="C93" s="47">
        <f>$J$2</f>
        <v>16438</v>
      </c>
      <c r="D93" s="48">
        <f t="shared" si="10"/>
        <v>8482.16</v>
      </c>
      <c r="E93" s="68">
        <f t="shared" si="11"/>
        <v>7955.84</v>
      </c>
      <c r="F93" s="47">
        <f t="shared" si="15"/>
        <v>468368.21999999991</v>
      </c>
      <c r="G93" s="47">
        <f t="shared" si="12"/>
        <v>459886.05999999994</v>
      </c>
    </row>
    <row r="94" spans="1:7" x14ac:dyDescent="0.25">
      <c r="A94" s="70">
        <v>42921</v>
      </c>
      <c r="B94" s="46">
        <f t="shared" si="13"/>
        <v>30</v>
      </c>
      <c r="C94" s="47">
        <f t="shared" ref="C94:C131" si="17">$J$2</f>
        <v>16438</v>
      </c>
      <c r="D94" s="48">
        <f t="shared" si="10"/>
        <v>8878.23</v>
      </c>
      <c r="E94" s="68">
        <f t="shared" si="11"/>
        <v>7559.77</v>
      </c>
      <c r="F94" s="47">
        <f t="shared" si="15"/>
        <v>459886.05999999994</v>
      </c>
      <c r="G94" s="47">
        <f t="shared" si="12"/>
        <v>451007.82999999996</v>
      </c>
    </row>
    <row r="95" spans="1:7" x14ac:dyDescent="0.25">
      <c r="A95" s="70">
        <v>42952</v>
      </c>
      <c r="B95" s="46">
        <f t="shared" si="13"/>
        <v>31</v>
      </c>
      <c r="C95" s="47">
        <f t="shared" si="17"/>
        <v>16438</v>
      </c>
      <c r="D95" s="48">
        <f t="shared" si="10"/>
        <v>8777.0499999999993</v>
      </c>
      <c r="E95" s="68">
        <f t="shared" si="11"/>
        <v>7660.95</v>
      </c>
      <c r="F95" s="47">
        <f t="shared" si="15"/>
        <v>451007.82999999996</v>
      </c>
      <c r="G95" s="47">
        <f t="shared" si="12"/>
        <v>442230.77999999997</v>
      </c>
    </row>
    <row r="96" spans="1:7" x14ac:dyDescent="0.25">
      <c r="A96" s="70">
        <v>42983</v>
      </c>
      <c r="B96" s="46">
        <f t="shared" si="13"/>
        <v>31</v>
      </c>
      <c r="C96" s="47">
        <f t="shared" si="17"/>
        <v>16438</v>
      </c>
      <c r="D96" s="48">
        <f t="shared" si="10"/>
        <v>8926.130000000001</v>
      </c>
      <c r="E96" s="68">
        <f t="shared" si="11"/>
        <v>7511.87</v>
      </c>
      <c r="F96" s="47">
        <f t="shared" si="15"/>
        <v>442230.77999999997</v>
      </c>
      <c r="G96" s="47">
        <f t="shared" si="12"/>
        <v>433304.64999999997</v>
      </c>
    </row>
    <row r="97" spans="1:7" x14ac:dyDescent="0.25">
      <c r="A97" s="70">
        <v>43013</v>
      </c>
      <c r="B97" s="46">
        <f t="shared" si="13"/>
        <v>30</v>
      </c>
      <c r="C97" s="47">
        <f t="shared" si="17"/>
        <v>16438</v>
      </c>
      <c r="D97" s="48">
        <f t="shared" ref="D97:D119" si="18">C97-E97</f>
        <v>9315.18</v>
      </c>
      <c r="E97" s="68">
        <f t="shared" si="11"/>
        <v>7122.82</v>
      </c>
      <c r="F97" s="47">
        <f t="shared" si="15"/>
        <v>433304.64999999997</v>
      </c>
      <c r="G97" s="47">
        <f t="shared" si="12"/>
        <v>423989.47</v>
      </c>
    </row>
    <row r="98" spans="1:7" x14ac:dyDescent="0.25">
      <c r="A98" s="70">
        <v>43044</v>
      </c>
      <c r="B98" s="46">
        <f t="shared" si="13"/>
        <v>31</v>
      </c>
      <c r="C98" s="47">
        <f t="shared" si="17"/>
        <v>16438</v>
      </c>
      <c r="D98" s="48">
        <f t="shared" si="18"/>
        <v>9235.99</v>
      </c>
      <c r="E98" s="68">
        <f t="shared" si="11"/>
        <v>7202.01</v>
      </c>
      <c r="F98" s="47">
        <f t="shared" si="15"/>
        <v>423989.47</v>
      </c>
      <c r="G98" s="47">
        <f t="shared" si="12"/>
        <v>414753.48</v>
      </c>
    </row>
    <row r="99" spans="1:7" x14ac:dyDescent="0.25">
      <c r="A99" s="70">
        <v>43074</v>
      </c>
      <c r="B99" s="46">
        <f t="shared" si="13"/>
        <v>30</v>
      </c>
      <c r="C99" s="47">
        <f t="shared" si="17"/>
        <v>16438</v>
      </c>
      <c r="D99" s="48">
        <f t="shared" si="18"/>
        <v>9620.130000000001</v>
      </c>
      <c r="E99" s="68">
        <f t="shared" si="11"/>
        <v>6817.87</v>
      </c>
      <c r="F99" s="47">
        <f t="shared" si="15"/>
        <v>414753.48</v>
      </c>
      <c r="G99" s="47">
        <f t="shared" si="12"/>
        <v>405133.35</v>
      </c>
    </row>
    <row r="100" spans="1:7" x14ac:dyDescent="0.25">
      <c r="A100" s="70">
        <v>43105</v>
      </c>
      <c r="B100" s="46">
        <f t="shared" si="13"/>
        <v>31</v>
      </c>
      <c r="C100" s="47">
        <f t="shared" si="17"/>
        <v>16438</v>
      </c>
      <c r="D100" s="48">
        <f t="shared" si="18"/>
        <v>9556.2799999999988</v>
      </c>
      <c r="E100" s="68">
        <f t="shared" si="11"/>
        <v>6881.72</v>
      </c>
      <c r="F100" s="47">
        <f t="shared" si="15"/>
        <v>405133.35</v>
      </c>
      <c r="G100" s="47">
        <f t="shared" ref="G100:G119" si="19">F100-D100</f>
        <v>395577.06999999995</v>
      </c>
    </row>
    <row r="101" spans="1:7" x14ac:dyDescent="0.25">
      <c r="A101" s="70">
        <v>43136</v>
      </c>
      <c r="B101" s="46">
        <f t="shared" si="13"/>
        <v>31</v>
      </c>
      <c r="C101" s="47">
        <f t="shared" si="17"/>
        <v>16438</v>
      </c>
      <c r="D101" s="48">
        <f t="shared" si="18"/>
        <v>9718.61</v>
      </c>
      <c r="E101" s="68">
        <f t="shared" si="11"/>
        <v>6719.39</v>
      </c>
      <c r="F101" s="47">
        <f t="shared" si="15"/>
        <v>395577.06999999995</v>
      </c>
      <c r="G101" s="47">
        <f t="shared" si="19"/>
        <v>385858.45999999996</v>
      </c>
    </row>
    <row r="102" spans="1:7" x14ac:dyDescent="0.25">
      <c r="A102" s="70">
        <v>43164</v>
      </c>
      <c r="B102" s="46">
        <f t="shared" si="13"/>
        <v>28</v>
      </c>
      <c r="C102" s="47">
        <f t="shared" si="17"/>
        <v>16438</v>
      </c>
      <c r="D102" s="48">
        <f t="shared" si="18"/>
        <v>10517.98</v>
      </c>
      <c r="E102" s="68">
        <f t="shared" si="11"/>
        <v>5920.02</v>
      </c>
      <c r="F102" s="47">
        <f t="shared" si="15"/>
        <v>385858.45999999996</v>
      </c>
      <c r="G102" s="47">
        <f t="shared" si="19"/>
        <v>375340.48</v>
      </c>
    </row>
    <row r="103" spans="1:7" x14ac:dyDescent="0.25">
      <c r="A103" s="70">
        <v>43195</v>
      </c>
      <c r="B103" s="46">
        <f t="shared" si="13"/>
        <v>31</v>
      </c>
      <c r="C103" s="47">
        <f t="shared" si="17"/>
        <v>16438</v>
      </c>
      <c r="D103" s="48">
        <f t="shared" si="18"/>
        <v>10062.35</v>
      </c>
      <c r="E103" s="68">
        <f t="shared" si="11"/>
        <v>6375.65</v>
      </c>
      <c r="F103" s="47">
        <f t="shared" si="15"/>
        <v>375340.48</v>
      </c>
      <c r="G103" s="47">
        <f t="shared" si="19"/>
        <v>365278.13</v>
      </c>
    </row>
    <row r="104" spans="1:7" x14ac:dyDescent="0.25">
      <c r="A104" s="70">
        <v>43225</v>
      </c>
      <c r="B104" s="46">
        <f t="shared" si="13"/>
        <v>30</v>
      </c>
      <c r="C104" s="47">
        <f t="shared" si="17"/>
        <v>16438</v>
      </c>
      <c r="D104" s="48">
        <f t="shared" si="18"/>
        <v>10433.43</v>
      </c>
      <c r="E104" s="68">
        <f t="shared" si="11"/>
        <v>6004.57</v>
      </c>
      <c r="F104" s="47">
        <f t="shared" si="15"/>
        <v>365278.13</v>
      </c>
      <c r="G104" s="47">
        <f t="shared" si="19"/>
        <v>354844.7</v>
      </c>
    </row>
    <row r="105" spans="1:7" x14ac:dyDescent="0.25">
      <c r="A105" s="70">
        <v>43256</v>
      </c>
      <c r="B105" s="46">
        <f t="shared" si="13"/>
        <v>31</v>
      </c>
      <c r="C105" s="47">
        <f t="shared" si="17"/>
        <v>16438</v>
      </c>
      <c r="D105" s="48">
        <f t="shared" si="18"/>
        <v>10410.5</v>
      </c>
      <c r="E105" s="68">
        <f t="shared" si="11"/>
        <v>6027.5</v>
      </c>
      <c r="F105" s="47">
        <f t="shared" si="15"/>
        <v>354844.7</v>
      </c>
      <c r="G105" s="47">
        <f t="shared" si="19"/>
        <v>344434.2</v>
      </c>
    </row>
    <row r="106" spans="1:7" x14ac:dyDescent="0.25">
      <c r="A106" s="70">
        <v>43286</v>
      </c>
      <c r="B106" s="46">
        <f t="shared" si="13"/>
        <v>30</v>
      </c>
      <c r="C106" s="47">
        <f t="shared" si="17"/>
        <v>16438</v>
      </c>
      <c r="D106" s="48">
        <f t="shared" si="18"/>
        <v>10776.07</v>
      </c>
      <c r="E106" s="68">
        <f t="shared" si="11"/>
        <v>5661.93</v>
      </c>
      <c r="F106" s="47">
        <f t="shared" si="15"/>
        <v>344434.2</v>
      </c>
      <c r="G106" s="47">
        <f t="shared" si="19"/>
        <v>333658.13</v>
      </c>
    </row>
    <row r="107" spans="1:7" x14ac:dyDescent="0.25">
      <c r="A107" s="70">
        <v>43317</v>
      </c>
      <c r="B107" s="46">
        <f t="shared" si="13"/>
        <v>31</v>
      </c>
      <c r="C107" s="47">
        <f t="shared" si="17"/>
        <v>16438</v>
      </c>
      <c r="D107" s="48">
        <f t="shared" si="18"/>
        <v>10770.380000000001</v>
      </c>
      <c r="E107" s="68">
        <f t="shared" si="11"/>
        <v>5667.62</v>
      </c>
      <c r="F107" s="47">
        <f t="shared" si="15"/>
        <v>333658.13</v>
      </c>
      <c r="G107" s="47">
        <f t="shared" si="19"/>
        <v>322887.75</v>
      </c>
    </row>
    <row r="108" spans="1:7" x14ac:dyDescent="0.25">
      <c r="A108" s="70">
        <v>43348</v>
      </c>
      <c r="B108" s="46">
        <f t="shared" si="13"/>
        <v>31</v>
      </c>
      <c r="C108" s="47">
        <f t="shared" si="17"/>
        <v>16438</v>
      </c>
      <c r="D108" s="48">
        <f t="shared" si="18"/>
        <v>10953.33</v>
      </c>
      <c r="E108" s="68">
        <f t="shared" si="11"/>
        <v>5484.67</v>
      </c>
      <c r="F108" s="47">
        <f t="shared" si="15"/>
        <v>322887.75</v>
      </c>
      <c r="G108" s="47">
        <f t="shared" si="19"/>
        <v>311934.42</v>
      </c>
    </row>
    <row r="109" spans="1:7" x14ac:dyDescent="0.25">
      <c r="A109" s="70">
        <v>43378</v>
      </c>
      <c r="B109" s="46">
        <f t="shared" si="13"/>
        <v>30</v>
      </c>
      <c r="C109" s="47">
        <f t="shared" si="17"/>
        <v>16438</v>
      </c>
      <c r="D109" s="48">
        <f t="shared" si="18"/>
        <v>11310.310000000001</v>
      </c>
      <c r="E109" s="68">
        <f t="shared" si="11"/>
        <v>5127.6899999999996</v>
      </c>
      <c r="F109" s="47">
        <f t="shared" si="15"/>
        <v>311934.42</v>
      </c>
      <c r="G109" s="47">
        <f t="shared" si="19"/>
        <v>300624.11</v>
      </c>
    </row>
    <row r="110" spans="1:7" x14ac:dyDescent="0.25">
      <c r="A110" s="70">
        <v>43409</v>
      </c>
      <c r="B110" s="46">
        <f t="shared" si="13"/>
        <v>31</v>
      </c>
      <c r="C110" s="47">
        <f t="shared" si="17"/>
        <v>16438</v>
      </c>
      <c r="D110" s="48">
        <f t="shared" si="18"/>
        <v>11331.51</v>
      </c>
      <c r="E110" s="68">
        <f t="shared" si="11"/>
        <v>5106.49</v>
      </c>
      <c r="F110" s="47">
        <f t="shared" si="15"/>
        <v>300624.11</v>
      </c>
      <c r="G110" s="47">
        <f t="shared" si="19"/>
        <v>289292.59999999998</v>
      </c>
    </row>
    <row r="111" spans="1:7" x14ac:dyDescent="0.25">
      <c r="A111" s="70">
        <v>43439</v>
      </c>
      <c r="B111" s="46">
        <f t="shared" si="13"/>
        <v>30</v>
      </c>
      <c r="C111" s="47">
        <f t="shared" si="17"/>
        <v>16438</v>
      </c>
      <c r="D111" s="48">
        <f t="shared" si="18"/>
        <v>11682.51</v>
      </c>
      <c r="E111" s="68">
        <f t="shared" si="11"/>
        <v>4755.49</v>
      </c>
      <c r="F111" s="47">
        <f t="shared" si="15"/>
        <v>289292.59999999998</v>
      </c>
      <c r="G111" s="47">
        <f t="shared" si="19"/>
        <v>277610.08999999997</v>
      </c>
    </row>
    <row r="112" spans="1:7" x14ac:dyDescent="0.25">
      <c r="A112" s="70">
        <v>43470</v>
      </c>
      <c r="B112" s="46">
        <f t="shared" si="13"/>
        <v>31</v>
      </c>
      <c r="C112" s="47">
        <f t="shared" si="17"/>
        <v>16438</v>
      </c>
      <c r="D112" s="48">
        <f t="shared" si="18"/>
        <v>11722.43</v>
      </c>
      <c r="E112" s="68">
        <f t="shared" si="11"/>
        <v>4715.57</v>
      </c>
      <c r="F112" s="47">
        <f t="shared" si="15"/>
        <v>277610.08999999997</v>
      </c>
      <c r="G112" s="47">
        <f t="shared" si="19"/>
        <v>265887.65999999997</v>
      </c>
    </row>
    <row r="113" spans="1:7" x14ac:dyDescent="0.25">
      <c r="A113" s="70">
        <v>43501</v>
      </c>
      <c r="B113" s="46">
        <f t="shared" si="13"/>
        <v>31</v>
      </c>
      <c r="C113" s="47">
        <f t="shared" si="17"/>
        <v>16438</v>
      </c>
      <c r="D113" s="48">
        <f t="shared" si="18"/>
        <v>11921.55</v>
      </c>
      <c r="E113" s="68">
        <f t="shared" si="11"/>
        <v>4516.45</v>
      </c>
      <c r="F113" s="47">
        <f t="shared" si="15"/>
        <v>265887.65999999997</v>
      </c>
      <c r="G113" s="47">
        <f t="shared" si="19"/>
        <v>253966.11</v>
      </c>
    </row>
    <row r="114" spans="1:7" x14ac:dyDescent="0.25">
      <c r="A114" s="70">
        <v>43529</v>
      </c>
      <c r="B114" s="46">
        <f t="shared" si="13"/>
        <v>28</v>
      </c>
      <c r="C114" s="47">
        <f t="shared" si="17"/>
        <v>16438</v>
      </c>
      <c r="D114" s="48">
        <f t="shared" si="18"/>
        <v>12541.53</v>
      </c>
      <c r="E114" s="68">
        <f t="shared" si="11"/>
        <v>3896.47</v>
      </c>
      <c r="F114" s="47">
        <f t="shared" si="15"/>
        <v>253966.11</v>
      </c>
      <c r="G114" s="47">
        <f t="shared" si="19"/>
        <v>241424.58</v>
      </c>
    </row>
    <row r="115" spans="1:7" x14ac:dyDescent="0.25">
      <c r="A115" s="70">
        <v>43560</v>
      </c>
      <c r="B115" s="46">
        <f t="shared" si="13"/>
        <v>31</v>
      </c>
      <c r="C115" s="47">
        <f t="shared" si="17"/>
        <v>16438</v>
      </c>
      <c r="D115" s="48">
        <f t="shared" si="18"/>
        <v>12337.09</v>
      </c>
      <c r="E115" s="68">
        <f t="shared" si="11"/>
        <v>4100.91</v>
      </c>
      <c r="F115" s="47">
        <f t="shared" si="15"/>
        <v>241424.58</v>
      </c>
      <c r="G115" s="47">
        <f t="shared" si="19"/>
        <v>229087.49</v>
      </c>
    </row>
    <row r="116" spans="1:7" x14ac:dyDescent="0.25">
      <c r="A116" s="70">
        <v>43590</v>
      </c>
      <c r="B116" s="46">
        <f t="shared" si="13"/>
        <v>30</v>
      </c>
      <c r="C116" s="47">
        <f t="shared" si="17"/>
        <v>16438</v>
      </c>
      <c r="D116" s="48">
        <f t="shared" si="18"/>
        <v>12672.18</v>
      </c>
      <c r="E116" s="68">
        <f t="shared" si="11"/>
        <v>3765.82</v>
      </c>
      <c r="F116" s="47">
        <f t="shared" si="15"/>
        <v>229087.49</v>
      </c>
      <c r="G116" s="47">
        <f t="shared" si="19"/>
        <v>216415.31</v>
      </c>
    </row>
    <row r="117" spans="1:7" x14ac:dyDescent="0.25">
      <c r="A117" s="70">
        <v>43621</v>
      </c>
      <c r="B117" s="46">
        <f t="shared" si="13"/>
        <v>31</v>
      </c>
      <c r="C117" s="47">
        <f t="shared" si="17"/>
        <v>16438</v>
      </c>
      <c r="D117" s="48">
        <f t="shared" si="18"/>
        <v>12761.9</v>
      </c>
      <c r="E117" s="68">
        <f t="shared" si="11"/>
        <v>3676.1</v>
      </c>
      <c r="F117" s="47">
        <f t="shared" si="15"/>
        <v>216415.31</v>
      </c>
      <c r="G117" s="47">
        <f t="shared" si="19"/>
        <v>203653.41</v>
      </c>
    </row>
    <row r="118" spans="1:7" x14ac:dyDescent="0.25">
      <c r="A118" s="70">
        <v>43651</v>
      </c>
      <c r="B118" s="46">
        <f t="shared" si="13"/>
        <v>30</v>
      </c>
      <c r="C118" s="47">
        <f t="shared" si="17"/>
        <v>16438</v>
      </c>
      <c r="D118" s="48">
        <f t="shared" si="18"/>
        <v>13090.27</v>
      </c>
      <c r="E118" s="68">
        <f t="shared" si="11"/>
        <v>3347.73</v>
      </c>
      <c r="F118" s="47">
        <f t="shared" si="15"/>
        <v>203653.41</v>
      </c>
      <c r="G118" s="47">
        <f t="shared" si="19"/>
        <v>190563.14</v>
      </c>
    </row>
    <row r="119" spans="1:7" x14ac:dyDescent="0.25">
      <c r="A119" s="70">
        <v>43682</v>
      </c>
      <c r="B119" s="46">
        <f t="shared" si="13"/>
        <v>31</v>
      </c>
      <c r="C119" s="47">
        <f t="shared" si="17"/>
        <v>16438</v>
      </c>
      <c r="D119" s="48">
        <f t="shared" si="18"/>
        <v>13201.04</v>
      </c>
      <c r="E119" s="68">
        <f t="shared" si="11"/>
        <v>3236.96</v>
      </c>
      <c r="F119" s="47">
        <f t="shared" si="15"/>
        <v>190563.14</v>
      </c>
      <c r="G119" s="47">
        <f t="shared" si="19"/>
        <v>177362.1</v>
      </c>
    </row>
    <row r="120" spans="1:7" x14ac:dyDescent="0.25">
      <c r="A120" s="70">
        <v>43713</v>
      </c>
      <c r="B120" s="46">
        <f t="shared" si="13"/>
        <v>31</v>
      </c>
      <c r="C120" s="47">
        <f t="shared" si="17"/>
        <v>16438</v>
      </c>
      <c r="D120" s="48">
        <f t="shared" ref="D120:D131" si="20">C120-E120</f>
        <v>13425.27</v>
      </c>
      <c r="E120" s="68">
        <f t="shared" ref="E120:E130" si="21">ROUND(F120*$J$1*B120/365,2)</f>
        <v>3012.73</v>
      </c>
      <c r="F120" s="47">
        <f t="shared" si="15"/>
        <v>177362.1</v>
      </c>
      <c r="G120" s="47">
        <f t="shared" ref="G120:G131" si="22">F120-D120</f>
        <v>163936.83000000002</v>
      </c>
    </row>
    <row r="121" spans="1:7" x14ac:dyDescent="0.25">
      <c r="A121" s="70">
        <v>43743</v>
      </c>
      <c r="B121" s="46">
        <f t="shared" si="13"/>
        <v>30</v>
      </c>
      <c r="C121" s="47">
        <f t="shared" si="17"/>
        <v>16438</v>
      </c>
      <c r="D121" s="48">
        <f t="shared" si="20"/>
        <v>13743.15</v>
      </c>
      <c r="E121" s="68">
        <f t="shared" si="21"/>
        <v>2694.85</v>
      </c>
      <c r="F121" s="47">
        <f t="shared" si="15"/>
        <v>163936.83000000002</v>
      </c>
      <c r="G121" s="47">
        <f t="shared" si="22"/>
        <v>150193.68000000002</v>
      </c>
    </row>
    <row r="122" spans="1:7" x14ac:dyDescent="0.25">
      <c r="A122" s="70">
        <v>43774</v>
      </c>
      <c r="B122" s="46">
        <f t="shared" si="13"/>
        <v>31</v>
      </c>
      <c r="C122" s="47">
        <f t="shared" si="17"/>
        <v>16438</v>
      </c>
      <c r="D122" s="48">
        <f t="shared" si="20"/>
        <v>13886.76</v>
      </c>
      <c r="E122" s="68">
        <f t="shared" si="21"/>
        <v>2551.2399999999998</v>
      </c>
      <c r="F122" s="47">
        <f t="shared" si="15"/>
        <v>150193.68000000002</v>
      </c>
      <c r="G122" s="47">
        <f t="shared" si="22"/>
        <v>136306.92000000001</v>
      </c>
    </row>
    <row r="123" spans="1:7" x14ac:dyDescent="0.25">
      <c r="A123" s="70">
        <v>43804</v>
      </c>
      <c r="B123" s="46">
        <f t="shared" si="13"/>
        <v>30</v>
      </c>
      <c r="C123" s="47">
        <f t="shared" si="17"/>
        <v>16438</v>
      </c>
      <c r="D123" s="48">
        <f t="shared" si="20"/>
        <v>14197.34</v>
      </c>
      <c r="E123" s="68">
        <f t="shared" si="21"/>
        <v>2240.66</v>
      </c>
      <c r="F123" s="47">
        <f t="shared" si="15"/>
        <v>136306.92000000001</v>
      </c>
      <c r="G123" s="47">
        <f t="shared" si="22"/>
        <v>122109.58000000002</v>
      </c>
    </row>
    <row r="124" spans="1:7" x14ac:dyDescent="0.25">
      <c r="A124" s="70">
        <v>43835</v>
      </c>
      <c r="B124" s="46">
        <f t="shared" si="13"/>
        <v>31</v>
      </c>
      <c r="C124" s="47">
        <f t="shared" si="17"/>
        <v>16438</v>
      </c>
      <c r="D124" s="48">
        <f t="shared" si="20"/>
        <v>14363.81</v>
      </c>
      <c r="E124" s="68">
        <f t="shared" si="21"/>
        <v>2074.19</v>
      </c>
      <c r="F124" s="47">
        <f t="shared" si="15"/>
        <v>122109.58000000002</v>
      </c>
      <c r="G124" s="47">
        <f t="shared" si="22"/>
        <v>107745.77000000002</v>
      </c>
    </row>
    <row r="125" spans="1:7" x14ac:dyDescent="0.25">
      <c r="A125" s="70">
        <v>43866</v>
      </c>
      <c r="B125" s="46">
        <f t="shared" si="13"/>
        <v>31</v>
      </c>
      <c r="C125" s="47">
        <f t="shared" si="17"/>
        <v>16438</v>
      </c>
      <c r="D125" s="48">
        <f t="shared" si="20"/>
        <v>14607.8</v>
      </c>
      <c r="E125" s="68">
        <f t="shared" si="21"/>
        <v>1830.2</v>
      </c>
      <c r="F125" s="47">
        <f t="shared" si="15"/>
        <v>107745.77000000002</v>
      </c>
      <c r="G125" s="47">
        <f t="shared" si="22"/>
        <v>93137.970000000016</v>
      </c>
    </row>
    <row r="126" spans="1:7" x14ac:dyDescent="0.25">
      <c r="A126" s="70">
        <v>43895</v>
      </c>
      <c r="B126" s="46">
        <f t="shared" si="13"/>
        <v>29</v>
      </c>
      <c r="C126" s="47">
        <f t="shared" si="17"/>
        <v>16438</v>
      </c>
      <c r="D126" s="48">
        <f t="shared" si="20"/>
        <v>14958</v>
      </c>
      <c r="E126" s="68">
        <f t="shared" si="21"/>
        <v>1480</v>
      </c>
      <c r="F126" s="47">
        <f t="shared" si="15"/>
        <v>93137.970000000016</v>
      </c>
      <c r="G126" s="47">
        <f t="shared" si="22"/>
        <v>78179.970000000016</v>
      </c>
    </row>
    <row r="127" spans="1:7" x14ac:dyDescent="0.25">
      <c r="A127" s="70">
        <v>43926</v>
      </c>
      <c r="B127" s="46">
        <f t="shared" si="13"/>
        <v>31</v>
      </c>
      <c r="C127" s="47">
        <f t="shared" si="17"/>
        <v>16438</v>
      </c>
      <c r="D127" s="48">
        <f t="shared" si="20"/>
        <v>15110.01</v>
      </c>
      <c r="E127" s="68">
        <f t="shared" si="21"/>
        <v>1327.99</v>
      </c>
      <c r="F127" s="47">
        <f t="shared" si="15"/>
        <v>78179.970000000016</v>
      </c>
      <c r="G127" s="47">
        <f t="shared" si="22"/>
        <v>63069.960000000014</v>
      </c>
    </row>
    <row r="128" spans="1:7" x14ac:dyDescent="0.25">
      <c r="A128" s="70">
        <v>43956</v>
      </c>
      <c r="B128" s="46">
        <f t="shared" si="13"/>
        <v>30</v>
      </c>
      <c r="C128" s="47">
        <f t="shared" si="17"/>
        <v>16438</v>
      </c>
      <c r="D128" s="48">
        <f t="shared" si="20"/>
        <v>15401.23</v>
      </c>
      <c r="E128" s="68">
        <f t="shared" si="21"/>
        <v>1036.77</v>
      </c>
      <c r="F128" s="47">
        <f t="shared" si="15"/>
        <v>63069.960000000014</v>
      </c>
      <c r="G128" s="47">
        <f t="shared" si="22"/>
        <v>47668.73000000001</v>
      </c>
    </row>
    <row r="129" spans="1:7" x14ac:dyDescent="0.25">
      <c r="A129" s="70">
        <v>43987</v>
      </c>
      <c r="B129" s="46">
        <f t="shared" si="13"/>
        <v>31</v>
      </c>
      <c r="C129" s="47">
        <f t="shared" si="17"/>
        <v>16438</v>
      </c>
      <c r="D129" s="48">
        <f t="shared" si="20"/>
        <v>15628.28</v>
      </c>
      <c r="E129" s="68">
        <f t="shared" si="21"/>
        <v>809.72</v>
      </c>
      <c r="F129" s="47">
        <f t="shared" si="15"/>
        <v>47668.73000000001</v>
      </c>
      <c r="G129" s="47">
        <f t="shared" si="22"/>
        <v>32040.450000000012</v>
      </c>
    </row>
    <row r="130" spans="1:7" x14ac:dyDescent="0.25">
      <c r="A130" s="70">
        <v>44017</v>
      </c>
      <c r="B130" s="46">
        <f t="shared" si="13"/>
        <v>30</v>
      </c>
      <c r="C130" s="47">
        <f t="shared" si="17"/>
        <v>16438</v>
      </c>
      <c r="D130" s="48">
        <f t="shared" si="20"/>
        <v>15911.31</v>
      </c>
      <c r="E130" s="68">
        <f t="shared" si="21"/>
        <v>526.69000000000005</v>
      </c>
      <c r="F130" s="47">
        <f t="shared" si="15"/>
        <v>32040.450000000012</v>
      </c>
      <c r="G130" s="47">
        <f t="shared" si="22"/>
        <v>16129.140000000012</v>
      </c>
    </row>
    <row r="131" spans="1:7" x14ac:dyDescent="0.25">
      <c r="A131" s="70">
        <v>44048</v>
      </c>
      <c r="B131" s="46">
        <f t="shared" si="13"/>
        <v>31</v>
      </c>
      <c r="C131" s="47">
        <f t="shared" si="17"/>
        <v>16438</v>
      </c>
      <c r="D131" s="48">
        <f t="shared" si="20"/>
        <v>16129.140000000012</v>
      </c>
      <c r="E131" s="68">
        <v>308.85999999998853</v>
      </c>
      <c r="F131" s="47">
        <f t="shared" si="15"/>
        <v>16129.140000000012</v>
      </c>
      <c r="G131" s="47">
        <f t="shared" si="22"/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A4BA1D-2ACD-4202-A2EF-E0F4E9B69191}">
  <dimension ref="A1:P131"/>
  <sheetViews>
    <sheetView zoomScale="85" zoomScaleNormal="85" workbookViewId="0">
      <pane ySplit="3" topLeftCell="A115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5.7109375" bestFit="1" customWidth="1"/>
    <col min="2" max="2" width="12.7109375" bestFit="1" customWidth="1"/>
    <col min="3" max="3" width="23.7109375" bestFit="1" customWidth="1"/>
    <col min="4" max="4" width="10.7109375" bestFit="1" customWidth="1"/>
    <col min="5" max="5" width="17.5703125" bestFit="1" customWidth="1"/>
    <col min="6" max="6" width="16" bestFit="1" customWidth="1"/>
    <col min="7" max="7" width="17.5703125" bestFit="1" customWidth="1"/>
    <col min="8" max="8" width="15.7109375" bestFit="1" customWidth="1"/>
    <col min="9" max="9" width="16.42578125" bestFit="1" customWidth="1"/>
    <col min="10" max="10" width="8.7109375" bestFit="1" customWidth="1"/>
    <col min="11" max="11" width="17.5703125" bestFit="1" customWidth="1"/>
    <col min="12" max="12" width="10.28515625" bestFit="1" customWidth="1"/>
    <col min="13" max="13" width="16.42578125" bestFit="1" customWidth="1"/>
    <col min="14" max="14" width="6.140625" bestFit="1" customWidth="1"/>
    <col min="15" max="15" width="15" bestFit="1" customWidth="1"/>
    <col min="16" max="16" width="6.140625" bestFit="1" customWidth="1"/>
  </cols>
  <sheetData>
    <row r="1" spans="1:16" x14ac:dyDescent="0.25">
      <c r="A1" s="17" t="s">
        <v>33</v>
      </c>
      <c r="B1" s="78">
        <v>41856</v>
      </c>
      <c r="C1" s="17" t="s">
        <v>37</v>
      </c>
      <c r="D1" s="79">
        <f>ROUNDUP(23789.5343079289,0)</f>
        <v>23790</v>
      </c>
      <c r="E1" s="73" t="s">
        <v>147</v>
      </c>
      <c r="F1" s="74">
        <v>42009</v>
      </c>
      <c r="G1" s="73" t="s">
        <v>150</v>
      </c>
      <c r="H1" s="79">
        <f>ROUNDUP(26296.509131071,0)</f>
        <v>26297</v>
      </c>
      <c r="I1" s="73" t="s">
        <v>175</v>
      </c>
      <c r="J1" s="87">
        <v>0.2</v>
      </c>
      <c r="K1" s="73" t="s">
        <v>148</v>
      </c>
      <c r="L1" s="74">
        <v>42129</v>
      </c>
      <c r="M1" s="73" t="s">
        <v>149</v>
      </c>
      <c r="N1" s="69">
        <f>ROUNDUP(24833.1092297972,0)</f>
        <v>24834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42495</v>
      </c>
      <c r="E2" s="73" t="s">
        <v>177</v>
      </c>
      <c r="F2" s="69">
        <v>30000</v>
      </c>
      <c r="G2" s="73" t="s">
        <v>173</v>
      </c>
      <c r="H2" s="74">
        <v>42860</v>
      </c>
      <c r="I2" s="73" t="s">
        <v>174</v>
      </c>
      <c r="J2" s="89">
        <f>ROUNDUP(16429.3579334102,0)</f>
        <v>16430</v>
      </c>
      <c r="K2" s="73" t="s">
        <v>178</v>
      </c>
      <c r="L2" s="88">
        <v>72</v>
      </c>
    </row>
    <row r="3" spans="1:16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6" x14ac:dyDescent="0.25">
      <c r="A4" s="36">
        <v>41887</v>
      </c>
      <c r="B4" s="46">
        <f>DAYS360(B1,A4,TRUE)</f>
        <v>30</v>
      </c>
      <c r="C4" s="47">
        <f>$D$1</f>
        <v>23790</v>
      </c>
      <c r="D4" s="48">
        <f t="shared" ref="D4:D38" si="0">C4-E4</f>
        <v>11290</v>
      </c>
      <c r="E4" s="68">
        <f>ROUND(F4*$B$2*B4/360,2)</f>
        <v>12500</v>
      </c>
      <c r="F4" s="47">
        <v>1000000</v>
      </c>
      <c r="G4" s="47">
        <f t="shared" ref="G4" si="1">F4-D4</f>
        <v>988710</v>
      </c>
    </row>
    <row r="5" spans="1:16" x14ac:dyDescent="0.25">
      <c r="A5" s="36">
        <v>41917</v>
      </c>
      <c r="B5" s="46">
        <f>DAYS360(A4,A5,TRUE)</f>
        <v>30</v>
      </c>
      <c r="C5" s="47">
        <f>$D$1</f>
        <v>23790</v>
      </c>
      <c r="D5" s="48">
        <f t="shared" si="0"/>
        <v>11431.12</v>
      </c>
      <c r="E5" s="68">
        <f>ROUND(F5*$B$2*B5/360,2)</f>
        <v>12358.88</v>
      </c>
      <c r="F5" s="47">
        <f>G4</f>
        <v>988710</v>
      </c>
      <c r="G5" s="47">
        <f>F5-D5</f>
        <v>977278.88</v>
      </c>
    </row>
    <row r="6" spans="1:16" x14ac:dyDescent="0.25">
      <c r="A6" s="36">
        <v>41948</v>
      </c>
      <c r="B6" s="46">
        <f t="shared" ref="B6:B69" si="2">DAYS360(A5,A6,TRUE)</f>
        <v>30</v>
      </c>
      <c r="C6" s="47">
        <f t="shared" ref="C6:C64" si="3">$D$1</f>
        <v>23790</v>
      </c>
      <c r="D6" s="48">
        <f t="shared" si="0"/>
        <v>11574.01</v>
      </c>
      <c r="E6" s="68">
        <f t="shared" ref="E6:E38" si="4">ROUND(F6*$B$2*B6/360,2)</f>
        <v>12215.99</v>
      </c>
      <c r="F6" s="47">
        <f t="shared" ref="F6:F38" si="5">G5</f>
        <v>977278.88</v>
      </c>
      <c r="G6" s="47">
        <f t="shared" ref="G6:G38" si="6">F6-D6</f>
        <v>965704.87</v>
      </c>
    </row>
    <row r="7" spans="1:16" x14ac:dyDescent="0.25">
      <c r="A7" s="36">
        <v>41978</v>
      </c>
      <c r="B7" s="46">
        <f t="shared" si="2"/>
        <v>30</v>
      </c>
      <c r="C7" s="47">
        <f t="shared" si="3"/>
        <v>23790</v>
      </c>
      <c r="D7" s="48">
        <f t="shared" si="0"/>
        <v>11718.69</v>
      </c>
      <c r="E7" s="68">
        <f t="shared" si="4"/>
        <v>12071.31</v>
      </c>
      <c r="F7" s="47">
        <f t="shared" si="5"/>
        <v>965704.87</v>
      </c>
      <c r="G7" s="47">
        <f t="shared" si="6"/>
        <v>953986.18</v>
      </c>
    </row>
    <row r="8" spans="1:16" x14ac:dyDescent="0.25">
      <c r="A8" s="36">
        <v>42009</v>
      </c>
      <c r="B8" s="46">
        <f t="shared" si="2"/>
        <v>30</v>
      </c>
      <c r="C8" s="47">
        <f t="shared" si="3"/>
        <v>23790</v>
      </c>
      <c r="D8" s="48">
        <f t="shared" si="0"/>
        <v>11865.17</v>
      </c>
      <c r="E8" s="68">
        <f t="shared" si="4"/>
        <v>11924.83</v>
      </c>
      <c r="F8" s="47">
        <f t="shared" si="5"/>
        <v>953986.18</v>
      </c>
      <c r="G8" s="47">
        <f t="shared" si="6"/>
        <v>942121.01</v>
      </c>
    </row>
    <row r="9" spans="1:16" x14ac:dyDescent="0.25">
      <c r="A9" s="36">
        <v>42040</v>
      </c>
      <c r="B9" s="46">
        <f t="shared" si="2"/>
        <v>30</v>
      </c>
      <c r="C9" s="47">
        <f t="shared" si="3"/>
        <v>23790</v>
      </c>
      <c r="D9" s="48">
        <f t="shared" si="0"/>
        <v>12013.49</v>
      </c>
      <c r="E9" s="68">
        <f t="shared" si="4"/>
        <v>11776.51</v>
      </c>
      <c r="F9" s="47">
        <f t="shared" si="5"/>
        <v>942121.01</v>
      </c>
      <c r="G9" s="47">
        <f t="shared" si="6"/>
        <v>930107.52</v>
      </c>
    </row>
    <row r="10" spans="1:16" x14ac:dyDescent="0.25">
      <c r="A10" s="36">
        <v>42068</v>
      </c>
      <c r="B10" s="46">
        <f t="shared" si="2"/>
        <v>30</v>
      </c>
      <c r="C10" s="47">
        <f t="shared" si="3"/>
        <v>23790</v>
      </c>
      <c r="D10" s="48">
        <f t="shared" si="0"/>
        <v>12163.66</v>
      </c>
      <c r="E10" s="68">
        <f t="shared" si="4"/>
        <v>11626.34</v>
      </c>
      <c r="F10" s="47">
        <f t="shared" si="5"/>
        <v>930107.52</v>
      </c>
      <c r="G10" s="47">
        <f t="shared" si="6"/>
        <v>917943.86</v>
      </c>
    </row>
    <row r="11" spans="1:16" x14ac:dyDescent="0.25">
      <c r="A11" s="36">
        <v>42099</v>
      </c>
      <c r="B11" s="46">
        <f t="shared" si="2"/>
        <v>30</v>
      </c>
      <c r="C11" s="47">
        <f t="shared" si="3"/>
        <v>23790</v>
      </c>
      <c r="D11" s="48">
        <f t="shared" si="0"/>
        <v>12315.7</v>
      </c>
      <c r="E11" s="68">
        <f t="shared" si="4"/>
        <v>11474.3</v>
      </c>
      <c r="F11" s="47">
        <f t="shared" si="5"/>
        <v>917943.86</v>
      </c>
      <c r="G11" s="47">
        <f t="shared" si="6"/>
        <v>905628.16000000003</v>
      </c>
    </row>
    <row r="12" spans="1:16" x14ac:dyDescent="0.25">
      <c r="A12" s="36">
        <v>42129</v>
      </c>
      <c r="B12" s="46">
        <f t="shared" si="2"/>
        <v>30</v>
      </c>
      <c r="C12" s="47">
        <f t="shared" si="3"/>
        <v>23790</v>
      </c>
      <c r="D12" s="48">
        <f t="shared" si="0"/>
        <v>12469.65</v>
      </c>
      <c r="E12" s="68">
        <f t="shared" si="4"/>
        <v>11320.35</v>
      </c>
      <c r="F12" s="47">
        <f t="shared" si="5"/>
        <v>905628.16000000003</v>
      </c>
      <c r="G12" s="47">
        <f t="shared" si="6"/>
        <v>893158.51</v>
      </c>
    </row>
    <row r="13" spans="1:16" x14ac:dyDescent="0.25">
      <c r="A13" s="36">
        <v>42160</v>
      </c>
      <c r="B13" s="46">
        <f t="shared" si="2"/>
        <v>30</v>
      </c>
      <c r="C13" s="47">
        <f t="shared" si="3"/>
        <v>23790</v>
      </c>
      <c r="D13" s="48">
        <f t="shared" si="0"/>
        <v>12625.52</v>
      </c>
      <c r="E13" s="68">
        <f t="shared" si="4"/>
        <v>11164.48</v>
      </c>
      <c r="F13" s="47">
        <f t="shared" si="5"/>
        <v>893158.51</v>
      </c>
      <c r="G13" s="47">
        <f t="shared" si="6"/>
        <v>880532.99</v>
      </c>
    </row>
    <row r="14" spans="1:16" x14ac:dyDescent="0.25">
      <c r="A14" s="36">
        <v>42190</v>
      </c>
      <c r="B14" s="46">
        <f t="shared" si="2"/>
        <v>30</v>
      </c>
      <c r="C14" s="47">
        <f t="shared" si="3"/>
        <v>23790</v>
      </c>
      <c r="D14" s="48">
        <f t="shared" si="0"/>
        <v>12783.34</v>
      </c>
      <c r="E14" s="68">
        <f t="shared" si="4"/>
        <v>11006.66</v>
      </c>
      <c r="F14" s="47">
        <f t="shared" si="5"/>
        <v>880532.99</v>
      </c>
      <c r="G14" s="47">
        <f t="shared" si="6"/>
        <v>867749.65</v>
      </c>
    </row>
    <row r="15" spans="1:16" x14ac:dyDescent="0.25">
      <c r="A15" s="36">
        <v>42221</v>
      </c>
      <c r="B15" s="46">
        <f t="shared" si="2"/>
        <v>30</v>
      </c>
      <c r="C15" s="47">
        <f t="shared" si="3"/>
        <v>23790</v>
      </c>
      <c r="D15" s="48">
        <f t="shared" si="0"/>
        <v>12943.13</v>
      </c>
      <c r="E15" s="68">
        <f t="shared" si="4"/>
        <v>10846.87</v>
      </c>
      <c r="F15" s="47">
        <f t="shared" si="5"/>
        <v>867749.65</v>
      </c>
      <c r="G15" s="47">
        <f t="shared" si="6"/>
        <v>854806.52</v>
      </c>
    </row>
    <row r="16" spans="1:16" x14ac:dyDescent="0.25">
      <c r="A16" s="36">
        <v>42252</v>
      </c>
      <c r="B16" s="46">
        <f t="shared" si="2"/>
        <v>30</v>
      </c>
      <c r="C16" s="47">
        <f t="shared" si="3"/>
        <v>23790</v>
      </c>
      <c r="D16" s="48">
        <f t="shared" si="0"/>
        <v>13104.92</v>
      </c>
      <c r="E16" s="68">
        <f t="shared" si="4"/>
        <v>10685.08</v>
      </c>
      <c r="F16" s="47">
        <f t="shared" si="5"/>
        <v>854806.52</v>
      </c>
      <c r="G16" s="47">
        <f t="shared" si="6"/>
        <v>841701.6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23790</v>
      </c>
      <c r="D17" s="48">
        <f t="shared" si="0"/>
        <v>13268.73</v>
      </c>
      <c r="E17" s="68">
        <f t="shared" si="4"/>
        <v>10521.27</v>
      </c>
      <c r="F17" s="47">
        <f t="shared" si="5"/>
        <v>841701.6</v>
      </c>
      <c r="G17" s="47">
        <f t="shared" si="6"/>
        <v>828432.87</v>
      </c>
    </row>
    <row r="18" spans="1:7" x14ac:dyDescent="0.25">
      <c r="A18" s="36">
        <v>42313</v>
      </c>
      <c r="B18" s="46">
        <f t="shared" si="2"/>
        <v>30</v>
      </c>
      <c r="C18" s="47">
        <f t="shared" si="3"/>
        <v>23790</v>
      </c>
      <c r="D18" s="48">
        <f t="shared" si="0"/>
        <v>13434.59</v>
      </c>
      <c r="E18" s="68">
        <f t="shared" si="4"/>
        <v>10355.41</v>
      </c>
      <c r="F18" s="47">
        <f t="shared" si="5"/>
        <v>828432.87</v>
      </c>
      <c r="G18" s="47">
        <f t="shared" si="6"/>
        <v>814998.28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23790</v>
      </c>
      <c r="D19" s="48">
        <f t="shared" si="0"/>
        <v>13602.52</v>
      </c>
      <c r="E19" s="68">
        <f t="shared" si="4"/>
        <v>10187.48</v>
      </c>
      <c r="F19" s="47">
        <f t="shared" si="5"/>
        <v>814998.28</v>
      </c>
      <c r="G19" s="47">
        <f t="shared" si="6"/>
        <v>801395.76</v>
      </c>
    </row>
    <row r="20" spans="1:7" x14ac:dyDescent="0.25">
      <c r="A20" s="36">
        <v>42374</v>
      </c>
      <c r="B20" s="46">
        <f t="shared" si="2"/>
        <v>30</v>
      </c>
      <c r="C20" s="47">
        <f t="shared" si="3"/>
        <v>23790</v>
      </c>
      <c r="D20" s="48">
        <f t="shared" si="0"/>
        <v>13772.55</v>
      </c>
      <c r="E20" s="68">
        <f t="shared" si="4"/>
        <v>10017.450000000001</v>
      </c>
      <c r="F20" s="47">
        <f t="shared" si="5"/>
        <v>801395.76</v>
      </c>
      <c r="G20" s="47">
        <f t="shared" si="6"/>
        <v>787623.21</v>
      </c>
    </row>
    <row r="21" spans="1:7" x14ac:dyDescent="0.25">
      <c r="A21" s="36">
        <v>42405</v>
      </c>
      <c r="B21" s="46">
        <f t="shared" si="2"/>
        <v>30</v>
      </c>
      <c r="C21" s="47">
        <f t="shared" si="3"/>
        <v>23790</v>
      </c>
      <c r="D21" s="48">
        <f t="shared" si="0"/>
        <v>13944.71</v>
      </c>
      <c r="E21" s="68">
        <f t="shared" si="4"/>
        <v>9845.2900000000009</v>
      </c>
      <c r="F21" s="47">
        <f t="shared" si="5"/>
        <v>787623.21</v>
      </c>
      <c r="G21" s="47">
        <f t="shared" si="6"/>
        <v>773678.5</v>
      </c>
    </row>
    <row r="22" spans="1:7" x14ac:dyDescent="0.25">
      <c r="A22" s="36">
        <v>42434</v>
      </c>
      <c r="B22" s="46">
        <f t="shared" si="2"/>
        <v>30</v>
      </c>
      <c r="C22" s="47">
        <f t="shared" si="3"/>
        <v>23790</v>
      </c>
      <c r="D22" s="48">
        <f t="shared" si="0"/>
        <v>14119.02</v>
      </c>
      <c r="E22" s="68">
        <f t="shared" si="4"/>
        <v>9670.98</v>
      </c>
      <c r="F22" s="47">
        <f t="shared" si="5"/>
        <v>773678.5</v>
      </c>
      <c r="G22" s="47">
        <f t="shared" si="6"/>
        <v>759559.48</v>
      </c>
    </row>
    <row r="23" spans="1:7" x14ac:dyDescent="0.25">
      <c r="A23" s="36">
        <v>42465</v>
      </c>
      <c r="B23" s="46">
        <f t="shared" si="2"/>
        <v>30</v>
      </c>
      <c r="C23" s="47">
        <f t="shared" si="3"/>
        <v>23790</v>
      </c>
      <c r="D23" s="48">
        <f t="shared" si="0"/>
        <v>14295.51</v>
      </c>
      <c r="E23" s="68">
        <f t="shared" si="4"/>
        <v>9494.49</v>
      </c>
      <c r="F23" s="47">
        <f t="shared" si="5"/>
        <v>759559.48</v>
      </c>
      <c r="G23" s="47">
        <f t="shared" si="6"/>
        <v>745263.97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23790</v>
      </c>
      <c r="D24" s="48">
        <f t="shared" si="0"/>
        <v>14474.2</v>
      </c>
      <c r="E24" s="68">
        <f t="shared" si="4"/>
        <v>9315.7999999999993</v>
      </c>
      <c r="F24" s="47">
        <f t="shared" si="5"/>
        <v>745263.97</v>
      </c>
      <c r="G24" s="47">
        <f t="shared" si="6"/>
        <v>730789.77</v>
      </c>
    </row>
    <row r="25" spans="1:7" x14ac:dyDescent="0.25">
      <c r="A25" s="36">
        <v>42526</v>
      </c>
      <c r="B25" s="46">
        <f t="shared" si="2"/>
        <v>30</v>
      </c>
      <c r="C25" s="47">
        <f t="shared" si="3"/>
        <v>23790</v>
      </c>
      <c r="D25" s="48">
        <f t="shared" si="0"/>
        <v>14655.13</v>
      </c>
      <c r="E25" s="68">
        <f t="shared" si="4"/>
        <v>9134.8700000000008</v>
      </c>
      <c r="F25" s="47">
        <f t="shared" si="5"/>
        <v>730789.77</v>
      </c>
      <c r="G25" s="47">
        <f t="shared" si="6"/>
        <v>716134.64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23790</v>
      </c>
      <c r="D26" s="48">
        <f t="shared" si="0"/>
        <v>14838.32</v>
      </c>
      <c r="E26" s="68">
        <f t="shared" si="4"/>
        <v>8951.68</v>
      </c>
      <c r="F26" s="47">
        <f t="shared" si="5"/>
        <v>716134.64</v>
      </c>
      <c r="G26" s="47">
        <f t="shared" si="6"/>
        <v>701296.32000000007</v>
      </c>
    </row>
    <row r="27" spans="1:7" x14ac:dyDescent="0.25">
      <c r="A27" s="36">
        <v>42587</v>
      </c>
      <c r="B27" s="46">
        <f t="shared" si="2"/>
        <v>30</v>
      </c>
      <c r="C27" s="47">
        <f t="shared" si="3"/>
        <v>23790</v>
      </c>
      <c r="D27" s="48">
        <f t="shared" si="0"/>
        <v>15023.8</v>
      </c>
      <c r="E27" s="68">
        <f t="shared" si="4"/>
        <v>8766.2000000000007</v>
      </c>
      <c r="F27" s="47">
        <f t="shared" si="5"/>
        <v>701296.32000000007</v>
      </c>
      <c r="G27" s="47">
        <f t="shared" si="6"/>
        <v>686272.52</v>
      </c>
    </row>
    <row r="28" spans="1:7" x14ac:dyDescent="0.25">
      <c r="A28" s="36">
        <v>42618</v>
      </c>
      <c r="B28" s="46">
        <f t="shared" si="2"/>
        <v>30</v>
      </c>
      <c r="C28" s="47">
        <f t="shared" si="3"/>
        <v>23790</v>
      </c>
      <c r="D28" s="48">
        <f t="shared" si="0"/>
        <v>15211.59</v>
      </c>
      <c r="E28" s="68">
        <f t="shared" si="4"/>
        <v>8578.41</v>
      </c>
      <c r="F28" s="47">
        <f t="shared" si="5"/>
        <v>686272.52</v>
      </c>
      <c r="G28" s="47">
        <f t="shared" si="6"/>
        <v>671060.93000000005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23790</v>
      </c>
      <c r="D29" s="48">
        <f t="shared" si="0"/>
        <v>15401.74</v>
      </c>
      <c r="E29" s="68">
        <f t="shared" si="4"/>
        <v>8388.26</v>
      </c>
      <c r="F29" s="47">
        <f t="shared" si="5"/>
        <v>671060.93000000005</v>
      </c>
      <c r="G29" s="47">
        <f t="shared" si="6"/>
        <v>655659.19000000006</v>
      </c>
    </row>
    <row r="30" spans="1:7" x14ac:dyDescent="0.25">
      <c r="A30" s="36">
        <v>42679</v>
      </c>
      <c r="B30" s="46">
        <f t="shared" si="2"/>
        <v>30</v>
      </c>
      <c r="C30" s="47">
        <f t="shared" si="3"/>
        <v>23790</v>
      </c>
      <c r="D30" s="48">
        <f t="shared" si="0"/>
        <v>15594.26</v>
      </c>
      <c r="E30" s="68">
        <f t="shared" si="4"/>
        <v>8195.74</v>
      </c>
      <c r="F30" s="47">
        <f t="shared" si="5"/>
        <v>655659.19000000006</v>
      </c>
      <c r="G30" s="47">
        <f t="shared" si="6"/>
        <v>640064.93000000005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23790</v>
      </c>
      <c r="D31" s="48">
        <f t="shared" si="0"/>
        <v>15789.189999999999</v>
      </c>
      <c r="E31" s="68">
        <f t="shared" si="4"/>
        <v>8000.81</v>
      </c>
      <c r="F31" s="47">
        <f t="shared" si="5"/>
        <v>640064.93000000005</v>
      </c>
      <c r="G31" s="47">
        <f t="shared" si="6"/>
        <v>624275.74000000011</v>
      </c>
    </row>
    <row r="32" spans="1:7" x14ac:dyDescent="0.25">
      <c r="A32" s="36">
        <v>42740</v>
      </c>
      <c r="B32" s="46">
        <f t="shared" si="2"/>
        <v>30</v>
      </c>
      <c r="C32" s="47">
        <f t="shared" si="3"/>
        <v>23790</v>
      </c>
      <c r="D32" s="48">
        <f t="shared" si="0"/>
        <v>15986.55</v>
      </c>
      <c r="E32" s="68">
        <f t="shared" si="4"/>
        <v>7803.45</v>
      </c>
      <c r="F32" s="47">
        <f t="shared" si="5"/>
        <v>624275.74000000011</v>
      </c>
      <c r="G32" s="47">
        <f t="shared" si="6"/>
        <v>608289.19000000006</v>
      </c>
    </row>
    <row r="33" spans="1:7" x14ac:dyDescent="0.25">
      <c r="A33" s="36">
        <v>42771</v>
      </c>
      <c r="B33" s="46">
        <f t="shared" si="2"/>
        <v>30</v>
      </c>
      <c r="C33" s="47">
        <f t="shared" si="3"/>
        <v>23790</v>
      </c>
      <c r="D33" s="48">
        <f t="shared" si="0"/>
        <v>16186.39</v>
      </c>
      <c r="E33" s="68">
        <f t="shared" si="4"/>
        <v>7603.61</v>
      </c>
      <c r="F33" s="47">
        <f t="shared" si="5"/>
        <v>608289.19000000006</v>
      </c>
      <c r="G33" s="47">
        <f t="shared" si="6"/>
        <v>592102.80000000005</v>
      </c>
    </row>
    <row r="34" spans="1:7" x14ac:dyDescent="0.25">
      <c r="A34" s="36">
        <v>42799</v>
      </c>
      <c r="B34" s="46">
        <f t="shared" si="2"/>
        <v>30</v>
      </c>
      <c r="C34" s="47">
        <f t="shared" si="3"/>
        <v>23790</v>
      </c>
      <c r="D34" s="48">
        <f t="shared" si="0"/>
        <v>16388.71</v>
      </c>
      <c r="E34" s="68">
        <f t="shared" si="4"/>
        <v>7401.29</v>
      </c>
      <c r="F34" s="47">
        <f t="shared" si="5"/>
        <v>592102.80000000005</v>
      </c>
      <c r="G34" s="47">
        <f t="shared" si="6"/>
        <v>575714.09000000008</v>
      </c>
    </row>
    <row r="35" spans="1:7" x14ac:dyDescent="0.25">
      <c r="A35" s="36">
        <v>42830</v>
      </c>
      <c r="B35" s="46">
        <f t="shared" si="2"/>
        <v>30</v>
      </c>
      <c r="C35" s="47">
        <f t="shared" si="3"/>
        <v>23790</v>
      </c>
      <c r="D35" s="48">
        <f t="shared" si="0"/>
        <v>16593.57</v>
      </c>
      <c r="E35" s="68">
        <f t="shared" si="4"/>
        <v>7196.43</v>
      </c>
      <c r="F35" s="47">
        <f t="shared" si="5"/>
        <v>575714.09000000008</v>
      </c>
      <c r="G35" s="47">
        <f t="shared" si="6"/>
        <v>559120.52000000014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23790</v>
      </c>
      <c r="D36" s="48">
        <f t="shared" si="0"/>
        <v>16800.989999999998</v>
      </c>
      <c r="E36" s="68">
        <f t="shared" si="4"/>
        <v>6989.01</v>
      </c>
      <c r="F36" s="47">
        <f t="shared" si="5"/>
        <v>559120.52000000014</v>
      </c>
      <c r="G36" s="47">
        <f t="shared" si="6"/>
        <v>542319.53000000014</v>
      </c>
    </row>
    <row r="37" spans="1:7" x14ac:dyDescent="0.25">
      <c r="A37" s="36">
        <v>42891</v>
      </c>
      <c r="B37" s="46">
        <f t="shared" si="2"/>
        <v>30</v>
      </c>
      <c r="C37" s="47">
        <f t="shared" si="3"/>
        <v>23790</v>
      </c>
      <c r="D37" s="48">
        <f t="shared" si="0"/>
        <v>17011.010000000002</v>
      </c>
      <c r="E37" s="68">
        <f t="shared" si="4"/>
        <v>6778.99</v>
      </c>
      <c r="F37" s="47">
        <f t="shared" si="5"/>
        <v>542319.53000000014</v>
      </c>
      <c r="G37" s="47">
        <f t="shared" si="6"/>
        <v>525308.52000000014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23790</v>
      </c>
      <c r="D38" s="48">
        <f t="shared" si="0"/>
        <v>17223.64</v>
      </c>
      <c r="E38" s="68">
        <f t="shared" si="4"/>
        <v>6566.36</v>
      </c>
      <c r="F38" s="47">
        <f t="shared" si="5"/>
        <v>525308.52000000014</v>
      </c>
      <c r="G38" s="47">
        <f t="shared" si="6"/>
        <v>508084.88000000012</v>
      </c>
    </row>
    <row r="39" spans="1:7" x14ac:dyDescent="0.25">
      <c r="A39" s="36">
        <v>42952</v>
      </c>
      <c r="B39" s="46">
        <f t="shared" si="2"/>
        <v>30</v>
      </c>
      <c r="C39" s="47">
        <f t="shared" si="3"/>
        <v>23790</v>
      </c>
      <c r="D39" s="48">
        <f t="shared" ref="D39:D40" si="7">C39-E39</f>
        <v>17438.939999999999</v>
      </c>
      <c r="E39" s="68">
        <f t="shared" ref="E39:E40" si="8">ROUND(F39*$B$2*B39/360,2)</f>
        <v>6351.06</v>
      </c>
      <c r="F39" s="47">
        <f t="shared" ref="F39:F40" si="9">G38</f>
        <v>508084.88000000012</v>
      </c>
      <c r="G39" s="47">
        <f t="shared" ref="G39:G40" si="10">F39-D39</f>
        <v>490645.94000000012</v>
      </c>
    </row>
    <row r="40" spans="1:7" x14ac:dyDescent="0.25">
      <c r="A40" s="54">
        <v>42983</v>
      </c>
      <c r="B40" s="46">
        <f t="shared" si="2"/>
        <v>30</v>
      </c>
      <c r="C40" s="47">
        <f t="shared" si="3"/>
        <v>23790</v>
      </c>
      <c r="D40" s="48">
        <f t="shared" si="7"/>
        <v>17656.93</v>
      </c>
      <c r="E40" s="68">
        <f t="shared" si="8"/>
        <v>6133.07</v>
      </c>
      <c r="F40" s="47">
        <f t="shared" si="9"/>
        <v>490645.94000000012</v>
      </c>
      <c r="G40" s="47">
        <f t="shared" si="10"/>
        <v>472989.01000000013</v>
      </c>
    </row>
    <row r="41" spans="1:7" x14ac:dyDescent="0.25">
      <c r="A41" s="54">
        <v>43013</v>
      </c>
      <c r="B41" s="46">
        <f t="shared" si="2"/>
        <v>30</v>
      </c>
      <c r="C41" s="47">
        <f t="shared" si="3"/>
        <v>23790</v>
      </c>
      <c r="D41" s="48">
        <f t="shared" ref="D41:D63" si="11">C41-E41</f>
        <v>17877.64</v>
      </c>
      <c r="E41" s="68">
        <f t="shared" ref="E41:E62" si="12">ROUND(F41*$B$2*B41/360,2)</f>
        <v>5912.36</v>
      </c>
      <c r="F41" s="47">
        <f t="shared" ref="F41:F63" si="13">G40</f>
        <v>472989.01000000013</v>
      </c>
      <c r="G41" s="47">
        <f t="shared" ref="G41:G63" si="14">F41-D41</f>
        <v>455111.37000000011</v>
      </c>
    </row>
    <row r="42" spans="1:7" x14ac:dyDescent="0.25">
      <c r="A42" s="54">
        <v>43044</v>
      </c>
      <c r="B42" s="46">
        <f t="shared" si="2"/>
        <v>30</v>
      </c>
      <c r="C42" s="47">
        <f t="shared" si="3"/>
        <v>23790</v>
      </c>
      <c r="D42" s="48">
        <f t="shared" si="11"/>
        <v>18101.11</v>
      </c>
      <c r="E42" s="68">
        <f t="shared" si="12"/>
        <v>5688.89</v>
      </c>
      <c r="F42" s="47">
        <f t="shared" si="13"/>
        <v>455111.37000000011</v>
      </c>
      <c r="G42" s="47">
        <f t="shared" si="14"/>
        <v>437010.26000000013</v>
      </c>
    </row>
    <row r="43" spans="1:7" x14ac:dyDescent="0.25">
      <c r="A43" s="54">
        <v>43074</v>
      </c>
      <c r="B43" s="46">
        <f t="shared" si="2"/>
        <v>30</v>
      </c>
      <c r="C43" s="47">
        <f t="shared" si="3"/>
        <v>23790</v>
      </c>
      <c r="D43" s="48">
        <f t="shared" si="11"/>
        <v>18327.37</v>
      </c>
      <c r="E43" s="68">
        <f t="shared" si="12"/>
        <v>5462.63</v>
      </c>
      <c r="F43" s="47">
        <f t="shared" si="13"/>
        <v>437010.26000000013</v>
      </c>
      <c r="G43" s="47">
        <f t="shared" si="14"/>
        <v>418682.89000000013</v>
      </c>
    </row>
    <row r="44" spans="1:7" x14ac:dyDescent="0.25">
      <c r="A44" s="54">
        <v>43105</v>
      </c>
      <c r="B44" s="46">
        <f t="shared" si="2"/>
        <v>30</v>
      </c>
      <c r="C44" s="47">
        <f t="shared" si="3"/>
        <v>23790</v>
      </c>
      <c r="D44" s="48">
        <f t="shared" si="11"/>
        <v>18556.46</v>
      </c>
      <c r="E44" s="68">
        <f t="shared" si="12"/>
        <v>5233.54</v>
      </c>
      <c r="F44" s="47">
        <f t="shared" si="13"/>
        <v>418682.89000000013</v>
      </c>
      <c r="G44" s="47">
        <f t="shared" si="14"/>
        <v>400126.43000000011</v>
      </c>
    </row>
    <row r="45" spans="1:7" x14ac:dyDescent="0.25">
      <c r="A45" s="54">
        <v>43136</v>
      </c>
      <c r="B45" s="46">
        <f t="shared" si="2"/>
        <v>30</v>
      </c>
      <c r="C45" s="47">
        <f t="shared" si="3"/>
        <v>23790</v>
      </c>
      <c r="D45" s="48">
        <f t="shared" si="11"/>
        <v>18788.419999999998</v>
      </c>
      <c r="E45" s="68">
        <f t="shared" si="12"/>
        <v>5001.58</v>
      </c>
      <c r="F45" s="47">
        <f t="shared" si="13"/>
        <v>400126.43000000011</v>
      </c>
      <c r="G45" s="47">
        <f t="shared" si="14"/>
        <v>381338.01000000013</v>
      </c>
    </row>
    <row r="46" spans="1:7" x14ac:dyDescent="0.25">
      <c r="A46" s="54">
        <v>43164</v>
      </c>
      <c r="B46" s="46">
        <f t="shared" si="2"/>
        <v>30</v>
      </c>
      <c r="C46" s="47">
        <f t="shared" si="3"/>
        <v>23790</v>
      </c>
      <c r="D46" s="48">
        <f t="shared" si="11"/>
        <v>19023.27</v>
      </c>
      <c r="E46" s="68">
        <f t="shared" si="12"/>
        <v>4766.7299999999996</v>
      </c>
      <c r="F46" s="47">
        <f t="shared" si="13"/>
        <v>381338.01000000013</v>
      </c>
      <c r="G46" s="47">
        <f t="shared" si="14"/>
        <v>362314.74000000011</v>
      </c>
    </row>
    <row r="47" spans="1:7" x14ac:dyDescent="0.25">
      <c r="A47" s="54">
        <v>43195</v>
      </c>
      <c r="B47" s="46">
        <f t="shared" si="2"/>
        <v>30</v>
      </c>
      <c r="C47" s="47">
        <f t="shared" si="3"/>
        <v>23790</v>
      </c>
      <c r="D47" s="48">
        <f t="shared" si="11"/>
        <v>19261.07</v>
      </c>
      <c r="E47" s="68">
        <f t="shared" si="12"/>
        <v>4528.93</v>
      </c>
      <c r="F47" s="47">
        <f t="shared" si="13"/>
        <v>362314.74000000011</v>
      </c>
      <c r="G47" s="47">
        <f t="shared" si="14"/>
        <v>343053.6700000001</v>
      </c>
    </row>
    <row r="48" spans="1:7" x14ac:dyDescent="0.25">
      <c r="A48" s="54">
        <v>43225</v>
      </c>
      <c r="B48" s="46">
        <f t="shared" si="2"/>
        <v>30</v>
      </c>
      <c r="C48" s="47">
        <f t="shared" si="3"/>
        <v>23790</v>
      </c>
      <c r="D48" s="48">
        <f t="shared" si="11"/>
        <v>19501.830000000002</v>
      </c>
      <c r="E48" s="68">
        <f t="shared" si="12"/>
        <v>4288.17</v>
      </c>
      <c r="F48" s="47">
        <f t="shared" si="13"/>
        <v>343053.6700000001</v>
      </c>
      <c r="G48" s="47">
        <f t="shared" si="14"/>
        <v>323551.84000000008</v>
      </c>
    </row>
    <row r="49" spans="1:7" x14ac:dyDescent="0.25">
      <c r="A49" s="54">
        <v>43256</v>
      </c>
      <c r="B49" s="46">
        <f t="shared" si="2"/>
        <v>30</v>
      </c>
      <c r="C49" s="47">
        <f t="shared" si="3"/>
        <v>23790</v>
      </c>
      <c r="D49" s="48">
        <f t="shared" si="11"/>
        <v>19745.599999999999</v>
      </c>
      <c r="E49" s="68">
        <f t="shared" si="12"/>
        <v>4044.4</v>
      </c>
      <c r="F49" s="47">
        <f t="shared" si="13"/>
        <v>323551.84000000008</v>
      </c>
      <c r="G49" s="47">
        <f t="shared" si="14"/>
        <v>303806.24000000011</v>
      </c>
    </row>
    <row r="50" spans="1:7" x14ac:dyDescent="0.25">
      <c r="A50" s="54">
        <v>43286</v>
      </c>
      <c r="B50" s="46">
        <f t="shared" si="2"/>
        <v>30</v>
      </c>
      <c r="C50" s="47">
        <f t="shared" si="3"/>
        <v>23790</v>
      </c>
      <c r="D50" s="48">
        <f t="shared" si="11"/>
        <v>19992.419999999998</v>
      </c>
      <c r="E50" s="68">
        <f t="shared" si="12"/>
        <v>3797.58</v>
      </c>
      <c r="F50" s="47">
        <f t="shared" si="13"/>
        <v>303806.24000000011</v>
      </c>
      <c r="G50" s="47">
        <f t="shared" si="14"/>
        <v>283813.82000000012</v>
      </c>
    </row>
    <row r="51" spans="1:7" x14ac:dyDescent="0.25">
      <c r="A51" s="54">
        <v>43317</v>
      </c>
      <c r="B51" s="46">
        <f t="shared" si="2"/>
        <v>30</v>
      </c>
      <c r="C51" s="47">
        <f t="shared" si="3"/>
        <v>23790</v>
      </c>
      <c r="D51" s="48">
        <f t="shared" si="11"/>
        <v>20242.330000000002</v>
      </c>
      <c r="E51" s="68">
        <f t="shared" si="12"/>
        <v>3547.67</v>
      </c>
      <c r="F51" s="47">
        <f t="shared" si="13"/>
        <v>283813.82000000012</v>
      </c>
      <c r="G51" s="47">
        <f t="shared" si="14"/>
        <v>263571.49000000011</v>
      </c>
    </row>
    <row r="52" spans="1:7" x14ac:dyDescent="0.25">
      <c r="A52" s="54">
        <v>43348</v>
      </c>
      <c r="B52" s="46">
        <f t="shared" si="2"/>
        <v>30</v>
      </c>
      <c r="C52" s="47">
        <f t="shared" si="3"/>
        <v>23790</v>
      </c>
      <c r="D52" s="48">
        <f t="shared" si="11"/>
        <v>20495.36</v>
      </c>
      <c r="E52" s="68">
        <f t="shared" si="12"/>
        <v>3294.64</v>
      </c>
      <c r="F52" s="47">
        <f t="shared" si="13"/>
        <v>263571.49000000011</v>
      </c>
      <c r="G52" s="47">
        <f t="shared" si="14"/>
        <v>243076.13000000012</v>
      </c>
    </row>
    <row r="53" spans="1:7" x14ac:dyDescent="0.25">
      <c r="A53" s="54">
        <v>43378</v>
      </c>
      <c r="B53" s="46">
        <f t="shared" si="2"/>
        <v>30</v>
      </c>
      <c r="C53" s="47">
        <f t="shared" si="3"/>
        <v>23790</v>
      </c>
      <c r="D53" s="48">
        <f t="shared" si="11"/>
        <v>20751.55</v>
      </c>
      <c r="E53" s="68">
        <f t="shared" si="12"/>
        <v>3038.45</v>
      </c>
      <c r="F53" s="47">
        <f t="shared" si="13"/>
        <v>243076.13000000012</v>
      </c>
      <c r="G53" s="47">
        <f t="shared" si="14"/>
        <v>222324.58000000013</v>
      </c>
    </row>
    <row r="54" spans="1:7" x14ac:dyDescent="0.25">
      <c r="A54" s="54">
        <v>43409</v>
      </c>
      <c r="B54" s="46">
        <f t="shared" si="2"/>
        <v>30</v>
      </c>
      <c r="C54" s="47">
        <f t="shared" si="3"/>
        <v>23790</v>
      </c>
      <c r="D54" s="48">
        <f t="shared" si="11"/>
        <v>21010.94</v>
      </c>
      <c r="E54" s="68">
        <f t="shared" si="12"/>
        <v>2779.06</v>
      </c>
      <c r="F54" s="47">
        <f t="shared" si="13"/>
        <v>222324.58000000013</v>
      </c>
      <c r="G54" s="47">
        <f t="shared" si="14"/>
        <v>201313.64000000013</v>
      </c>
    </row>
    <row r="55" spans="1:7" x14ac:dyDescent="0.25">
      <c r="A55" s="54">
        <v>43439</v>
      </c>
      <c r="B55" s="46">
        <f t="shared" si="2"/>
        <v>30</v>
      </c>
      <c r="C55" s="47">
        <f t="shared" si="3"/>
        <v>23790</v>
      </c>
      <c r="D55" s="48">
        <f t="shared" si="11"/>
        <v>21273.58</v>
      </c>
      <c r="E55" s="68">
        <f t="shared" si="12"/>
        <v>2516.42</v>
      </c>
      <c r="F55" s="47">
        <f t="shared" si="13"/>
        <v>201313.64000000013</v>
      </c>
      <c r="G55" s="47">
        <f t="shared" si="14"/>
        <v>180040.06000000011</v>
      </c>
    </row>
    <row r="56" spans="1:7" x14ac:dyDescent="0.25">
      <c r="A56" s="54">
        <v>43470</v>
      </c>
      <c r="B56" s="46">
        <f t="shared" si="2"/>
        <v>30</v>
      </c>
      <c r="C56" s="47">
        <f t="shared" si="3"/>
        <v>23790</v>
      </c>
      <c r="D56" s="48">
        <f t="shared" si="11"/>
        <v>21539.5</v>
      </c>
      <c r="E56" s="68">
        <f t="shared" si="12"/>
        <v>2250.5</v>
      </c>
      <c r="F56" s="47">
        <f t="shared" si="13"/>
        <v>180040.06000000011</v>
      </c>
      <c r="G56" s="47">
        <f t="shared" si="14"/>
        <v>158500.56000000011</v>
      </c>
    </row>
    <row r="57" spans="1:7" x14ac:dyDescent="0.25">
      <c r="A57" s="54">
        <v>43501</v>
      </c>
      <c r="B57" s="46">
        <f t="shared" si="2"/>
        <v>30</v>
      </c>
      <c r="C57" s="47">
        <f t="shared" si="3"/>
        <v>23790</v>
      </c>
      <c r="D57" s="48">
        <f t="shared" si="11"/>
        <v>21808.74</v>
      </c>
      <c r="E57" s="68">
        <f t="shared" si="12"/>
        <v>1981.26</v>
      </c>
      <c r="F57" s="47">
        <f t="shared" si="13"/>
        <v>158500.56000000011</v>
      </c>
      <c r="G57" s="47">
        <f t="shared" si="14"/>
        <v>136691.82000000012</v>
      </c>
    </row>
    <row r="58" spans="1:7" x14ac:dyDescent="0.25">
      <c r="A58" s="54">
        <v>43529</v>
      </c>
      <c r="B58" s="46">
        <f t="shared" si="2"/>
        <v>30</v>
      </c>
      <c r="C58" s="47">
        <f t="shared" si="3"/>
        <v>23790</v>
      </c>
      <c r="D58" s="48">
        <f t="shared" si="11"/>
        <v>22081.35</v>
      </c>
      <c r="E58" s="68">
        <f t="shared" si="12"/>
        <v>1708.65</v>
      </c>
      <c r="F58" s="47">
        <f t="shared" si="13"/>
        <v>136691.82000000012</v>
      </c>
      <c r="G58" s="47">
        <f t="shared" si="14"/>
        <v>114610.47000000012</v>
      </c>
    </row>
    <row r="59" spans="1:7" x14ac:dyDescent="0.25">
      <c r="A59" s="54">
        <v>43560</v>
      </c>
      <c r="B59" s="46">
        <f t="shared" si="2"/>
        <v>30</v>
      </c>
      <c r="C59" s="47">
        <f t="shared" si="3"/>
        <v>23790</v>
      </c>
      <c r="D59" s="48">
        <f t="shared" si="11"/>
        <v>22357.37</v>
      </c>
      <c r="E59" s="68">
        <f t="shared" si="12"/>
        <v>1432.63</v>
      </c>
      <c r="F59" s="47">
        <f t="shared" si="13"/>
        <v>114610.47000000012</v>
      </c>
      <c r="G59" s="47">
        <f t="shared" si="14"/>
        <v>92253.100000000122</v>
      </c>
    </row>
    <row r="60" spans="1:7" x14ac:dyDescent="0.25">
      <c r="A60" s="54">
        <v>43590</v>
      </c>
      <c r="B60" s="46">
        <f t="shared" si="2"/>
        <v>30</v>
      </c>
      <c r="C60" s="47">
        <f t="shared" si="3"/>
        <v>23790</v>
      </c>
      <c r="D60" s="48">
        <f t="shared" si="11"/>
        <v>22636.84</v>
      </c>
      <c r="E60" s="68">
        <f t="shared" si="12"/>
        <v>1153.1600000000001</v>
      </c>
      <c r="F60" s="47">
        <f t="shared" si="13"/>
        <v>92253.100000000122</v>
      </c>
      <c r="G60" s="47">
        <f t="shared" si="14"/>
        <v>69616.260000000126</v>
      </c>
    </row>
    <row r="61" spans="1:7" x14ac:dyDescent="0.25">
      <c r="A61" s="54">
        <v>43621</v>
      </c>
      <c r="B61" s="46">
        <f t="shared" si="2"/>
        <v>30</v>
      </c>
      <c r="C61" s="47">
        <f t="shared" si="3"/>
        <v>23790</v>
      </c>
      <c r="D61" s="48">
        <f t="shared" si="11"/>
        <v>22919.8</v>
      </c>
      <c r="E61" s="68">
        <f t="shared" si="12"/>
        <v>870.2</v>
      </c>
      <c r="F61" s="47">
        <f t="shared" si="13"/>
        <v>69616.260000000126</v>
      </c>
      <c r="G61" s="47">
        <f t="shared" si="14"/>
        <v>46696.460000000123</v>
      </c>
    </row>
    <row r="62" spans="1:7" x14ac:dyDescent="0.25">
      <c r="A62" s="54">
        <v>43651</v>
      </c>
      <c r="B62" s="46">
        <f t="shared" si="2"/>
        <v>30</v>
      </c>
      <c r="C62" s="47">
        <f t="shared" si="3"/>
        <v>23790</v>
      </c>
      <c r="D62" s="48">
        <f t="shared" si="11"/>
        <v>23206.29</v>
      </c>
      <c r="E62" s="68">
        <f t="shared" si="12"/>
        <v>583.71</v>
      </c>
      <c r="F62" s="47">
        <f t="shared" si="13"/>
        <v>46696.460000000123</v>
      </c>
      <c r="G62" s="47">
        <f t="shared" si="14"/>
        <v>23490.170000000122</v>
      </c>
    </row>
    <row r="63" spans="1:7" x14ac:dyDescent="0.25">
      <c r="A63" s="54">
        <v>43682</v>
      </c>
      <c r="B63" s="46">
        <f t="shared" si="2"/>
        <v>30</v>
      </c>
      <c r="C63" s="47">
        <f t="shared" si="3"/>
        <v>23790</v>
      </c>
      <c r="D63" s="48">
        <f t="shared" si="11"/>
        <v>23490.170000000122</v>
      </c>
      <c r="E63" s="68">
        <v>299.82999999987703</v>
      </c>
      <c r="F63" s="47">
        <f t="shared" si="13"/>
        <v>23490.170000000122</v>
      </c>
      <c r="G63" s="47">
        <f t="shared" si="14"/>
        <v>0</v>
      </c>
    </row>
    <row r="64" spans="1:7" x14ac:dyDescent="0.25">
      <c r="A64" s="70">
        <v>42009</v>
      </c>
      <c r="B64" s="46">
        <f>DAYS360(A7,A8,TRUE)</f>
        <v>30</v>
      </c>
      <c r="C64" s="47">
        <f t="shared" si="3"/>
        <v>23790</v>
      </c>
      <c r="D64" s="48">
        <f>C8-E8</f>
        <v>11865.17</v>
      </c>
      <c r="E64" s="68">
        <f>ROUND(F8*$B$2*B8/360,2)</f>
        <v>11924.83</v>
      </c>
      <c r="F64" s="47">
        <f>G7</f>
        <v>953986.18</v>
      </c>
      <c r="G64" s="47">
        <f>F64-D64</f>
        <v>942121.01</v>
      </c>
    </row>
    <row r="65" spans="1:7" x14ac:dyDescent="0.25">
      <c r="A65" s="70">
        <v>42040</v>
      </c>
      <c r="B65" s="84">
        <f t="shared" si="2"/>
        <v>30</v>
      </c>
      <c r="C65" s="90">
        <f>$H$1</f>
        <v>26297</v>
      </c>
      <c r="D65" s="91">
        <f t="shared" ref="D65" si="15">C65-E65</f>
        <v>10594.98</v>
      </c>
      <c r="E65" s="90">
        <f>ROUND(F65*$J$1*B65/360,2)</f>
        <v>15702.02</v>
      </c>
      <c r="F65" s="90">
        <f t="shared" ref="F65" si="16">G64</f>
        <v>942121.01</v>
      </c>
      <c r="G65" s="90">
        <f t="shared" ref="G65" si="17">F65-D65</f>
        <v>931526.03</v>
      </c>
    </row>
    <row r="66" spans="1:7" x14ac:dyDescent="0.25">
      <c r="A66" s="70">
        <v>42068</v>
      </c>
      <c r="B66" s="46">
        <f t="shared" si="2"/>
        <v>30</v>
      </c>
      <c r="C66" s="47">
        <f t="shared" ref="C66:C68" si="18">$H$1</f>
        <v>26297</v>
      </c>
      <c r="D66" s="48">
        <f t="shared" ref="D66:D129" si="19">C66-E66</f>
        <v>10771.57</v>
      </c>
      <c r="E66" s="68">
        <f t="shared" ref="E66:E129" si="20">ROUND(F66*$J$1*B66/360,2)</f>
        <v>15525.43</v>
      </c>
      <c r="F66" s="47">
        <f t="shared" ref="F66:F129" si="21">G65</f>
        <v>931526.03</v>
      </c>
      <c r="G66" s="47">
        <f t="shared" ref="G66:G129" si="22">F66-D66</f>
        <v>920754.46000000008</v>
      </c>
    </row>
    <row r="67" spans="1:7" x14ac:dyDescent="0.25">
      <c r="A67" s="70">
        <v>42099</v>
      </c>
      <c r="B67" s="46">
        <f t="shared" si="2"/>
        <v>30</v>
      </c>
      <c r="C67" s="47">
        <f t="shared" si="18"/>
        <v>26297</v>
      </c>
      <c r="D67" s="48">
        <f t="shared" si="19"/>
        <v>10951.09</v>
      </c>
      <c r="E67" s="68">
        <f t="shared" si="20"/>
        <v>15345.91</v>
      </c>
      <c r="F67" s="47">
        <f t="shared" si="21"/>
        <v>920754.46000000008</v>
      </c>
      <c r="G67" s="47">
        <f t="shared" si="22"/>
        <v>909803.37000000011</v>
      </c>
    </row>
    <row r="68" spans="1:7" x14ac:dyDescent="0.25">
      <c r="A68" s="70">
        <v>42129</v>
      </c>
      <c r="B68" s="46">
        <f t="shared" si="2"/>
        <v>30</v>
      </c>
      <c r="C68" s="47">
        <f t="shared" si="18"/>
        <v>26297</v>
      </c>
      <c r="D68" s="48">
        <f t="shared" si="19"/>
        <v>11133.61</v>
      </c>
      <c r="E68" s="68">
        <f t="shared" si="20"/>
        <v>15163.39</v>
      </c>
      <c r="F68" s="47">
        <f t="shared" si="21"/>
        <v>909803.37000000011</v>
      </c>
      <c r="G68" s="47">
        <f t="shared" si="22"/>
        <v>898669.76000000013</v>
      </c>
    </row>
    <row r="69" spans="1:7" x14ac:dyDescent="0.25">
      <c r="A69" s="70">
        <v>42160</v>
      </c>
      <c r="B69" s="84">
        <f t="shared" si="2"/>
        <v>30</v>
      </c>
      <c r="C69" s="90">
        <f>$N$1</f>
        <v>24834</v>
      </c>
      <c r="D69" s="91">
        <f t="shared" si="19"/>
        <v>10689.5</v>
      </c>
      <c r="E69" s="90">
        <f t="shared" si="20"/>
        <v>14144.5</v>
      </c>
      <c r="F69" s="90">
        <f>G68-P1</f>
        <v>848669.76000000013</v>
      </c>
      <c r="G69" s="90">
        <f t="shared" si="22"/>
        <v>837980.26000000013</v>
      </c>
    </row>
    <row r="70" spans="1:7" x14ac:dyDescent="0.25">
      <c r="A70" s="70">
        <v>42190</v>
      </c>
      <c r="B70" s="46">
        <f t="shared" ref="B70:B131" si="23">DAYS360(A69,A70,TRUE)</f>
        <v>30</v>
      </c>
      <c r="C70" s="47">
        <f t="shared" ref="C70:C80" si="24">$N$1</f>
        <v>24834</v>
      </c>
      <c r="D70" s="48">
        <f t="shared" si="19"/>
        <v>10867.66</v>
      </c>
      <c r="E70" s="68">
        <f t="shared" si="20"/>
        <v>13966.34</v>
      </c>
      <c r="F70" s="47">
        <f t="shared" si="21"/>
        <v>837980.26000000013</v>
      </c>
      <c r="G70" s="47">
        <f t="shared" si="22"/>
        <v>827112.60000000009</v>
      </c>
    </row>
    <row r="71" spans="1:7" x14ac:dyDescent="0.25">
      <c r="A71" s="70">
        <v>42221</v>
      </c>
      <c r="B71" s="46">
        <f t="shared" si="23"/>
        <v>30</v>
      </c>
      <c r="C71" s="47">
        <f t="shared" si="24"/>
        <v>24834</v>
      </c>
      <c r="D71" s="48">
        <f t="shared" si="19"/>
        <v>11048.79</v>
      </c>
      <c r="E71" s="68">
        <f t="shared" si="20"/>
        <v>13785.21</v>
      </c>
      <c r="F71" s="47">
        <f t="shared" si="21"/>
        <v>827112.60000000009</v>
      </c>
      <c r="G71" s="47">
        <f t="shared" si="22"/>
        <v>816063.81</v>
      </c>
    </row>
    <row r="72" spans="1:7" x14ac:dyDescent="0.25">
      <c r="A72" s="70">
        <v>42252</v>
      </c>
      <c r="B72" s="46">
        <f t="shared" si="23"/>
        <v>30</v>
      </c>
      <c r="C72" s="47">
        <f t="shared" si="24"/>
        <v>24834</v>
      </c>
      <c r="D72" s="48">
        <f t="shared" si="19"/>
        <v>11232.94</v>
      </c>
      <c r="E72" s="68">
        <f t="shared" si="20"/>
        <v>13601.06</v>
      </c>
      <c r="F72" s="47">
        <f t="shared" si="21"/>
        <v>816063.81</v>
      </c>
      <c r="G72" s="47">
        <f t="shared" si="22"/>
        <v>804830.87000000011</v>
      </c>
    </row>
    <row r="73" spans="1:7" x14ac:dyDescent="0.25">
      <c r="A73" s="70">
        <v>42282</v>
      </c>
      <c r="B73" s="46">
        <f t="shared" si="23"/>
        <v>30</v>
      </c>
      <c r="C73" s="47">
        <f t="shared" si="24"/>
        <v>24834</v>
      </c>
      <c r="D73" s="48">
        <f t="shared" si="19"/>
        <v>11420.15</v>
      </c>
      <c r="E73" s="68">
        <f t="shared" si="20"/>
        <v>13413.85</v>
      </c>
      <c r="F73" s="47">
        <f t="shared" si="21"/>
        <v>804830.87000000011</v>
      </c>
      <c r="G73" s="47">
        <f t="shared" si="22"/>
        <v>793410.72000000009</v>
      </c>
    </row>
    <row r="74" spans="1:7" x14ac:dyDescent="0.25">
      <c r="A74" s="70">
        <v>42313</v>
      </c>
      <c r="B74" s="46">
        <f t="shared" si="23"/>
        <v>30</v>
      </c>
      <c r="C74" s="47">
        <f t="shared" si="24"/>
        <v>24834</v>
      </c>
      <c r="D74" s="48">
        <f t="shared" si="19"/>
        <v>11610.49</v>
      </c>
      <c r="E74" s="68">
        <f t="shared" si="20"/>
        <v>13223.51</v>
      </c>
      <c r="F74" s="47">
        <f t="shared" si="21"/>
        <v>793410.72000000009</v>
      </c>
      <c r="G74" s="47">
        <f t="shared" si="22"/>
        <v>781800.2300000001</v>
      </c>
    </row>
    <row r="75" spans="1:7" x14ac:dyDescent="0.25">
      <c r="A75" s="70">
        <v>42343</v>
      </c>
      <c r="B75" s="46">
        <f t="shared" si="23"/>
        <v>30</v>
      </c>
      <c r="C75" s="47">
        <f t="shared" si="24"/>
        <v>24834</v>
      </c>
      <c r="D75" s="48">
        <f t="shared" si="19"/>
        <v>11804</v>
      </c>
      <c r="E75" s="68">
        <f t="shared" si="20"/>
        <v>13030</v>
      </c>
      <c r="F75" s="47">
        <f t="shared" si="21"/>
        <v>781800.2300000001</v>
      </c>
      <c r="G75" s="47">
        <f t="shared" si="22"/>
        <v>769996.2300000001</v>
      </c>
    </row>
    <row r="76" spans="1:7" x14ac:dyDescent="0.25">
      <c r="A76" s="70">
        <v>42374</v>
      </c>
      <c r="B76" s="46">
        <f t="shared" si="23"/>
        <v>30</v>
      </c>
      <c r="C76" s="47">
        <f t="shared" si="24"/>
        <v>24834</v>
      </c>
      <c r="D76" s="48">
        <f t="shared" si="19"/>
        <v>12000.73</v>
      </c>
      <c r="E76" s="68">
        <f t="shared" si="20"/>
        <v>12833.27</v>
      </c>
      <c r="F76" s="47">
        <f t="shared" si="21"/>
        <v>769996.2300000001</v>
      </c>
      <c r="G76" s="47">
        <f t="shared" si="22"/>
        <v>757995.50000000012</v>
      </c>
    </row>
    <row r="77" spans="1:7" x14ac:dyDescent="0.25">
      <c r="A77" s="70">
        <v>42405</v>
      </c>
      <c r="B77" s="46">
        <f t="shared" si="23"/>
        <v>30</v>
      </c>
      <c r="C77" s="47">
        <f t="shared" si="24"/>
        <v>24834</v>
      </c>
      <c r="D77" s="48">
        <f t="shared" si="19"/>
        <v>12200.74</v>
      </c>
      <c r="E77" s="68">
        <f t="shared" si="20"/>
        <v>12633.26</v>
      </c>
      <c r="F77" s="47">
        <f t="shared" si="21"/>
        <v>757995.50000000012</v>
      </c>
      <c r="G77" s="47">
        <f t="shared" si="22"/>
        <v>745794.76000000013</v>
      </c>
    </row>
    <row r="78" spans="1:7" x14ac:dyDescent="0.25">
      <c r="A78" s="70">
        <v>42434</v>
      </c>
      <c r="B78" s="46">
        <f t="shared" si="23"/>
        <v>30</v>
      </c>
      <c r="C78" s="47">
        <f t="shared" si="24"/>
        <v>24834</v>
      </c>
      <c r="D78" s="48">
        <f t="shared" si="19"/>
        <v>12404.09</v>
      </c>
      <c r="E78" s="68">
        <f t="shared" si="20"/>
        <v>12429.91</v>
      </c>
      <c r="F78" s="47">
        <f t="shared" si="21"/>
        <v>745794.76000000013</v>
      </c>
      <c r="G78" s="47">
        <f t="shared" si="22"/>
        <v>733390.67000000016</v>
      </c>
    </row>
    <row r="79" spans="1:7" x14ac:dyDescent="0.25">
      <c r="A79" s="70">
        <v>42465</v>
      </c>
      <c r="B79" s="46">
        <f t="shared" si="23"/>
        <v>30</v>
      </c>
      <c r="C79" s="47">
        <f t="shared" si="24"/>
        <v>24834</v>
      </c>
      <c r="D79" s="48">
        <f t="shared" si="19"/>
        <v>12610.82</v>
      </c>
      <c r="E79" s="68">
        <f t="shared" si="20"/>
        <v>12223.18</v>
      </c>
      <c r="F79" s="47">
        <f t="shared" si="21"/>
        <v>733390.67000000016</v>
      </c>
      <c r="G79" s="47">
        <f t="shared" si="22"/>
        <v>720779.85000000021</v>
      </c>
    </row>
    <row r="80" spans="1:7" x14ac:dyDescent="0.25">
      <c r="A80" s="70">
        <v>42495</v>
      </c>
      <c r="B80" s="46">
        <f t="shared" si="23"/>
        <v>30</v>
      </c>
      <c r="C80" s="47">
        <f t="shared" si="24"/>
        <v>24834</v>
      </c>
      <c r="D80" s="48">
        <f t="shared" si="19"/>
        <v>12821</v>
      </c>
      <c r="E80" s="68">
        <f t="shared" si="20"/>
        <v>12013</v>
      </c>
      <c r="F80" s="47">
        <f t="shared" si="21"/>
        <v>720779.85000000021</v>
      </c>
      <c r="G80" s="47">
        <f t="shared" si="22"/>
        <v>707958.85000000021</v>
      </c>
    </row>
    <row r="81" spans="1:7" x14ac:dyDescent="0.25">
      <c r="A81" s="70">
        <v>42526</v>
      </c>
      <c r="B81" s="84">
        <f t="shared" si="23"/>
        <v>30</v>
      </c>
      <c r="C81" s="90">
        <f>$F$2</f>
        <v>30000</v>
      </c>
      <c r="D81" s="91">
        <f t="shared" si="19"/>
        <v>18200.690000000002</v>
      </c>
      <c r="E81" s="90">
        <f t="shared" si="20"/>
        <v>11799.31</v>
      </c>
      <c r="F81" s="90">
        <f t="shared" si="21"/>
        <v>707958.85000000021</v>
      </c>
      <c r="G81" s="90">
        <f t="shared" si="22"/>
        <v>689758.16000000015</v>
      </c>
    </row>
    <row r="82" spans="1:7" x14ac:dyDescent="0.25">
      <c r="A82" s="70">
        <v>42556</v>
      </c>
      <c r="B82" s="46">
        <f t="shared" si="23"/>
        <v>30</v>
      </c>
      <c r="C82" s="47">
        <f>$F$2</f>
        <v>30000</v>
      </c>
      <c r="D82" s="48">
        <f t="shared" si="19"/>
        <v>18504.03</v>
      </c>
      <c r="E82" s="68">
        <f t="shared" si="20"/>
        <v>11495.97</v>
      </c>
      <c r="F82" s="47">
        <f t="shared" si="21"/>
        <v>689758.16000000015</v>
      </c>
      <c r="G82" s="47">
        <f t="shared" si="22"/>
        <v>671254.13000000012</v>
      </c>
    </row>
    <row r="83" spans="1:7" x14ac:dyDescent="0.25">
      <c r="A83" s="70">
        <v>42587</v>
      </c>
      <c r="B83" s="46">
        <f t="shared" si="23"/>
        <v>30</v>
      </c>
      <c r="C83" s="47">
        <f>$F$2</f>
        <v>30000</v>
      </c>
      <c r="D83" s="48">
        <f t="shared" si="19"/>
        <v>18812.43</v>
      </c>
      <c r="E83" s="68">
        <f t="shared" si="20"/>
        <v>11187.57</v>
      </c>
      <c r="F83" s="47">
        <f t="shared" si="21"/>
        <v>671254.13000000012</v>
      </c>
      <c r="G83" s="47">
        <f t="shared" si="22"/>
        <v>652441.70000000007</v>
      </c>
    </row>
    <row r="84" spans="1:7" x14ac:dyDescent="0.25">
      <c r="A84" s="70">
        <v>42618</v>
      </c>
      <c r="B84" s="46">
        <f t="shared" si="23"/>
        <v>30</v>
      </c>
      <c r="C84" s="47">
        <f t="shared" ref="C84:C92" si="25">$F$2</f>
        <v>30000</v>
      </c>
      <c r="D84" s="48">
        <f t="shared" si="19"/>
        <v>19125.97</v>
      </c>
      <c r="E84" s="68">
        <f t="shared" si="20"/>
        <v>10874.03</v>
      </c>
      <c r="F84" s="47">
        <f t="shared" si="21"/>
        <v>652441.70000000007</v>
      </c>
      <c r="G84" s="47">
        <f t="shared" si="22"/>
        <v>633315.7300000001</v>
      </c>
    </row>
    <row r="85" spans="1:7" x14ac:dyDescent="0.25">
      <c r="A85" s="70">
        <v>42648</v>
      </c>
      <c r="B85" s="46">
        <f t="shared" si="23"/>
        <v>30</v>
      </c>
      <c r="C85" s="47">
        <f t="shared" si="25"/>
        <v>30000</v>
      </c>
      <c r="D85" s="48">
        <f t="shared" si="19"/>
        <v>19444.739999999998</v>
      </c>
      <c r="E85" s="68">
        <f t="shared" si="20"/>
        <v>10555.26</v>
      </c>
      <c r="F85" s="47">
        <f t="shared" si="21"/>
        <v>633315.7300000001</v>
      </c>
      <c r="G85" s="47">
        <f t="shared" si="22"/>
        <v>613870.99000000011</v>
      </c>
    </row>
    <row r="86" spans="1:7" x14ac:dyDescent="0.25">
      <c r="A86" s="70">
        <v>42679</v>
      </c>
      <c r="B86" s="46">
        <f t="shared" si="23"/>
        <v>30</v>
      </c>
      <c r="C86" s="47">
        <f t="shared" si="25"/>
        <v>30000</v>
      </c>
      <c r="D86" s="48">
        <f t="shared" si="19"/>
        <v>19768.82</v>
      </c>
      <c r="E86" s="68">
        <f t="shared" si="20"/>
        <v>10231.18</v>
      </c>
      <c r="F86" s="47">
        <f t="shared" si="21"/>
        <v>613870.99000000011</v>
      </c>
      <c r="G86" s="47">
        <f t="shared" si="22"/>
        <v>594102.17000000016</v>
      </c>
    </row>
    <row r="87" spans="1:7" x14ac:dyDescent="0.25">
      <c r="A87" s="70">
        <v>42709</v>
      </c>
      <c r="B87" s="46">
        <f t="shared" si="23"/>
        <v>30</v>
      </c>
      <c r="C87" s="47">
        <f t="shared" si="25"/>
        <v>30000</v>
      </c>
      <c r="D87" s="48">
        <f t="shared" si="19"/>
        <v>20098.3</v>
      </c>
      <c r="E87" s="68">
        <f t="shared" si="20"/>
        <v>9901.7000000000007</v>
      </c>
      <c r="F87" s="47">
        <f t="shared" si="21"/>
        <v>594102.17000000016</v>
      </c>
      <c r="G87" s="47">
        <f t="shared" si="22"/>
        <v>574003.87000000011</v>
      </c>
    </row>
    <row r="88" spans="1:7" x14ac:dyDescent="0.25">
      <c r="A88" s="70">
        <v>42740</v>
      </c>
      <c r="B88" s="46">
        <f t="shared" si="23"/>
        <v>30</v>
      </c>
      <c r="C88" s="47">
        <f t="shared" si="25"/>
        <v>30000</v>
      </c>
      <c r="D88" s="48">
        <f t="shared" si="19"/>
        <v>20433.27</v>
      </c>
      <c r="E88" s="68">
        <f t="shared" si="20"/>
        <v>9566.73</v>
      </c>
      <c r="F88" s="47">
        <f t="shared" si="21"/>
        <v>574003.87000000011</v>
      </c>
      <c r="G88" s="47">
        <f t="shared" si="22"/>
        <v>553570.60000000009</v>
      </c>
    </row>
    <row r="89" spans="1:7" x14ac:dyDescent="0.25">
      <c r="A89" s="70">
        <v>42771</v>
      </c>
      <c r="B89" s="46">
        <f t="shared" si="23"/>
        <v>30</v>
      </c>
      <c r="C89" s="47">
        <f t="shared" si="25"/>
        <v>30000</v>
      </c>
      <c r="D89" s="48">
        <f t="shared" si="19"/>
        <v>20773.82</v>
      </c>
      <c r="E89" s="68">
        <f t="shared" si="20"/>
        <v>9226.18</v>
      </c>
      <c r="F89" s="47">
        <f t="shared" si="21"/>
        <v>553570.60000000009</v>
      </c>
      <c r="G89" s="47">
        <f t="shared" si="22"/>
        <v>532796.78000000014</v>
      </c>
    </row>
    <row r="90" spans="1:7" x14ac:dyDescent="0.25">
      <c r="A90" s="70">
        <v>42799</v>
      </c>
      <c r="B90" s="46">
        <f t="shared" si="23"/>
        <v>30</v>
      </c>
      <c r="C90" s="47">
        <f t="shared" si="25"/>
        <v>30000</v>
      </c>
      <c r="D90" s="48">
        <f t="shared" si="19"/>
        <v>21120.05</v>
      </c>
      <c r="E90" s="68">
        <f t="shared" si="20"/>
        <v>8879.9500000000007</v>
      </c>
      <c r="F90" s="47">
        <f t="shared" si="21"/>
        <v>532796.78000000014</v>
      </c>
      <c r="G90" s="47">
        <f t="shared" si="22"/>
        <v>511676.73000000016</v>
      </c>
    </row>
    <row r="91" spans="1:7" x14ac:dyDescent="0.25">
      <c r="A91" s="70">
        <v>42830</v>
      </c>
      <c r="B91" s="46">
        <f t="shared" si="23"/>
        <v>30</v>
      </c>
      <c r="C91" s="47">
        <f t="shared" si="25"/>
        <v>30000</v>
      </c>
      <c r="D91" s="48">
        <f t="shared" si="19"/>
        <v>21472.05</v>
      </c>
      <c r="E91" s="68">
        <f t="shared" si="20"/>
        <v>8527.9500000000007</v>
      </c>
      <c r="F91" s="47">
        <f t="shared" si="21"/>
        <v>511676.73000000016</v>
      </c>
      <c r="G91" s="47">
        <f t="shared" si="22"/>
        <v>490204.68000000017</v>
      </c>
    </row>
    <row r="92" spans="1:7" x14ac:dyDescent="0.25">
      <c r="A92" s="70">
        <v>42860</v>
      </c>
      <c r="B92" s="46">
        <f t="shared" si="23"/>
        <v>30</v>
      </c>
      <c r="C92" s="47">
        <f t="shared" si="25"/>
        <v>30000</v>
      </c>
      <c r="D92" s="48">
        <f t="shared" si="19"/>
        <v>21829.919999999998</v>
      </c>
      <c r="E92" s="68">
        <f t="shared" si="20"/>
        <v>8170.08</v>
      </c>
      <c r="F92" s="47">
        <f t="shared" si="21"/>
        <v>490204.68000000017</v>
      </c>
      <c r="G92" s="47">
        <f t="shared" si="22"/>
        <v>468374.76000000018</v>
      </c>
    </row>
    <row r="93" spans="1:7" x14ac:dyDescent="0.25">
      <c r="A93" s="70">
        <v>42891</v>
      </c>
      <c r="B93" s="84">
        <f t="shared" si="23"/>
        <v>30</v>
      </c>
      <c r="C93" s="90">
        <f>$J$2</f>
        <v>16430</v>
      </c>
      <c r="D93" s="91">
        <f t="shared" si="19"/>
        <v>8623.75</v>
      </c>
      <c r="E93" s="90">
        <f t="shared" si="20"/>
        <v>7806.25</v>
      </c>
      <c r="F93" s="90">
        <f t="shared" si="21"/>
        <v>468374.76000000018</v>
      </c>
      <c r="G93" s="90">
        <f t="shared" si="22"/>
        <v>459751.01000000018</v>
      </c>
    </row>
    <row r="94" spans="1:7" x14ac:dyDescent="0.25">
      <c r="A94" s="70">
        <v>42921</v>
      </c>
      <c r="B94" s="46">
        <f t="shared" si="23"/>
        <v>30</v>
      </c>
      <c r="C94" s="68">
        <f>$J$2</f>
        <v>16430</v>
      </c>
      <c r="D94" s="48">
        <f t="shared" si="19"/>
        <v>8767.48</v>
      </c>
      <c r="E94" s="68">
        <f t="shared" si="20"/>
        <v>7662.52</v>
      </c>
      <c r="F94" s="47">
        <f t="shared" si="21"/>
        <v>459751.01000000018</v>
      </c>
      <c r="G94" s="47">
        <f t="shared" si="22"/>
        <v>450983.5300000002</v>
      </c>
    </row>
    <row r="95" spans="1:7" x14ac:dyDescent="0.25">
      <c r="A95" s="70">
        <v>42952</v>
      </c>
      <c r="B95" s="46">
        <f t="shared" si="23"/>
        <v>30</v>
      </c>
      <c r="C95" s="68">
        <f t="shared" ref="C95:C131" si="26">$J$2</f>
        <v>16430</v>
      </c>
      <c r="D95" s="48">
        <f t="shared" si="19"/>
        <v>8913.61</v>
      </c>
      <c r="E95" s="68">
        <f t="shared" si="20"/>
        <v>7516.39</v>
      </c>
      <c r="F95" s="47">
        <f t="shared" si="21"/>
        <v>450983.5300000002</v>
      </c>
      <c r="G95" s="47">
        <f t="shared" si="22"/>
        <v>442069.92000000022</v>
      </c>
    </row>
    <row r="96" spans="1:7" x14ac:dyDescent="0.25">
      <c r="A96" s="70">
        <v>42983</v>
      </c>
      <c r="B96" s="46">
        <f t="shared" si="23"/>
        <v>30</v>
      </c>
      <c r="C96" s="68">
        <f t="shared" si="26"/>
        <v>16430</v>
      </c>
      <c r="D96" s="48">
        <f t="shared" si="19"/>
        <v>9062.17</v>
      </c>
      <c r="E96" s="68">
        <f t="shared" si="20"/>
        <v>7367.83</v>
      </c>
      <c r="F96" s="47">
        <f t="shared" si="21"/>
        <v>442069.92000000022</v>
      </c>
      <c r="G96" s="47">
        <f t="shared" si="22"/>
        <v>433007.75000000023</v>
      </c>
    </row>
    <row r="97" spans="1:7" x14ac:dyDescent="0.25">
      <c r="A97" s="70">
        <v>43013</v>
      </c>
      <c r="B97" s="46">
        <f t="shared" si="23"/>
        <v>30</v>
      </c>
      <c r="C97" s="68">
        <f t="shared" si="26"/>
        <v>16430</v>
      </c>
      <c r="D97" s="48">
        <f t="shared" si="19"/>
        <v>9213.2000000000007</v>
      </c>
      <c r="E97" s="68">
        <f t="shared" si="20"/>
        <v>7216.8</v>
      </c>
      <c r="F97" s="47">
        <f t="shared" si="21"/>
        <v>433007.75000000023</v>
      </c>
      <c r="G97" s="47">
        <f t="shared" si="22"/>
        <v>423794.55000000022</v>
      </c>
    </row>
    <row r="98" spans="1:7" x14ac:dyDescent="0.25">
      <c r="A98" s="70">
        <v>43044</v>
      </c>
      <c r="B98" s="46">
        <f t="shared" si="23"/>
        <v>30</v>
      </c>
      <c r="C98" s="68">
        <f t="shared" si="26"/>
        <v>16430</v>
      </c>
      <c r="D98" s="48">
        <f t="shared" si="19"/>
        <v>9366.76</v>
      </c>
      <c r="E98" s="68">
        <f t="shared" si="20"/>
        <v>7063.24</v>
      </c>
      <c r="F98" s="47">
        <f t="shared" si="21"/>
        <v>423794.55000000022</v>
      </c>
      <c r="G98" s="47">
        <f t="shared" si="22"/>
        <v>414427.79000000021</v>
      </c>
    </row>
    <row r="99" spans="1:7" x14ac:dyDescent="0.25">
      <c r="A99" s="70">
        <v>43074</v>
      </c>
      <c r="B99" s="46">
        <f t="shared" si="23"/>
        <v>30</v>
      </c>
      <c r="C99" s="68">
        <f t="shared" si="26"/>
        <v>16430</v>
      </c>
      <c r="D99" s="48">
        <f t="shared" si="19"/>
        <v>9522.869999999999</v>
      </c>
      <c r="E99" s="68">
        <f t="shared" si="20"/>
        <v>6907.13</v>
      </c>
      <c r="F99" s="47">
        <f t="shared" si="21"/>
        <v>414427.79000000021</v>
      </c>
      <c r="G99" s="47">
        <f t="shared" si="22"/>
        <v>404904.92000000022</v>
      </c>
    </row>
    <row r="100" spans="1:7" x14ac:dyDescent="0.25">
      <c r="A100" s="70">
        <v>43105</v>
      </c>
      <c r="B100" s="46">
        <f t="shared" si="23"/>
        <v>30</v>
      </c>
      <c r="C100" s="68">
        <f t="shared" si="26"/>
        <v>16430</v>
      </c>
      <c r="D100" s="48">
        <f t="shared" si="19"/>
        <v>9681.58</v>
      </c>
      <c r="E100" s="68">
        <f t="shared" si="20"/>
        <v>6748.42</v>
      </c>
      <c r="F100" s="47">
        <f t="shared" si="21"/>
        <v>404904.92000000022</v>
      </c>
      <c r="G100" s="47">
        <f t="shared" si="22"/>
        <v>395223.3400000002</v>
      </c>
    </row>
    <row r="101" spans="1:7" x14ac:dyDescent="0.25">
      <c r="A101" s="70">
        <v>43136</v>
      </c>
      <c r="B101" s="46">
        <f t="shared" si="23"/>
        <v>30</v>
      </c>
      <c r="C101" s="68">
        <f t="shared" si="26"/>
        <v>16430</v>
      </c>
      <c r="D101" s="48">
        <f t="shared" si="19"/>
        <v>9842.9399999999987</v>
      </c>
      <c r="E101" s="68">
        <f t="shared" si="20"/>
        <v>6587.06</v>
      </c>
      <c r="F101" s="47">
        <f t="shared" si="21"/>
        <v>395223.3400000002</v>
      </c>
      <c r="G101" s="47">
        <f t="shared" si="22"/>
        <v>385380.4000000002</v>
      </c>
    </row>
    <row r="102" spans="1:7" x14ac:dyDescent="0.25">
      <c r="A102" s="70">
        <v>43164</v>
      </c>
      <c r="B102" s="46">
        <f t="shared" si="23"/>
        <v>30</v>
      </c>
      <c r="C102" s="68">
        <f t="shared" si="26"/>
        <v>16430</v>
      </c>
      <c r="D102" s="48">
        <f t="shared" si="19"/>
        <v>10006.99</v>
      </c>
      <c r="E102" s="68">
        <f t="shared" si="20"/>
        <v>6423.01</v>
      </c>
      <c r="F102" s="47">
        <f t="shared" si="21"/>
        <v>385380.4000000002</v>
      </c>
      <c r="G102" s="47">
        <f t="shared" si="22"/>
        <v>375373.41000000021</v>
      </c>
    </row>
    <row r="103" spans="1:7" x14ac:dyDescent="0.25">
      <c r="A103" s="70">
        <v>43195</v>
      </c>
      <c r="B103" s="46">
        <f t="shared" si="23"/>
        <v>30</v>
      </c>
      <c r="C103" s="68">
        <f t="shared" si="26"/>
        <v>16430</v>
      </c>
      <c r="D103" s="48">
        <f t="shared" si="19"/>
        <v>10173.779999999999</v>
      </c>
      <c r="E103" s="68">
        <f t="shared" si="20"/>
        <v>6256.22</v>
      </c>
      <c r="F103" s="47">
        <f t="shared" si="21"/>
        <v>375373.41000000021</v>
      </c>
      <c r="G103" s="47">
        <f t="shared" si="22"/>
        <v>365199.63000000024</v>
      </c>
    </row>
    <row r="104" spans="1:7" x14ac:dyDescent="0.25">
      <c r="A104" s="70">
        <v>43225</v>
      </c>
      <c r="B104" s="46">
        <f t="shared" si="23"/>
        <v>30</v>
      </c>
      <c r="C104" s="68">
        <f t="shared" si="26"/>
        <v>16430</v>
      </c>
      <c r="D104" s="48">
        <f t="shared" si="19"/>
        <v>10343.34</v>
      </c>
      <c r="E104" s="68">
        <f t="shared" si="20"/>
        <v>6086.66</v>
      </c>
      <c r="F104" s="47">
        <f t="shared" si="21"/>
        <v>365199.63000000024</v>
      </c>
      <c r="G104" s="47">
        <f t="shared" si="22"/>
        <v>354856.29000000021</v>
      </c>
    </row>
    <row r="105" spans="1:7" x14ac:dyDescent="0.25">
      <c r="A105" s="70">
        <v>43256</v>
      </c>
      <c r="B105" s="46">
        <f t="shared" si="23"/>
        <v>30</v>
      </c>
      <c r="C105" s="68">
        <f t="shared" si="26"/>
        <v>16430</v>
      </c>
      <c r="D105" s="48">
        <f t="shared" si="19"/>
        <v>10515.73</v>
      </c>
      <c r="E105" s="68">
        <f t="shared" si="20"/>
        <v>5914.27</v>
      </c>
      <c r="F105" s="47">
        <f t="shared" si="21"/>
        <v>354856.29000000021</v>
      </c>
      <c r="G105" s="47">
        <f t="shared" si="22"/>
        <v>344340.56000000023</v>
      </c>
    </row>
    <row r="106" spans="1:7" x14ac:dyDescent="0.25">
      <c r="A106" s="70">
        <v>43286</v>
      </c>
      <c r="B106" s="46">
        <f t="shared" si="23"/>
        <v>30</v>
      </c>
      <c r="C106" s="68">
        <f t="shared" si="26"/>
        <v>16430</v>
      </c>
      <c r="D106" s="48">
        <f t="shared" si="19"/>
        <v>10690.99</v>
      </c>
      <c r="E106" s="68">
        <f t="shared" si="20"/>
        <v>5739.01</v>
      </c>
      <c r="F106" s="47">
        <f t="shared" si="21"/>
        <v>344340.56000000023</v>
      </c>
      <c r="G106" s="47">
        <f t="shared" si="22"/>
        <v>333649.57000000024</v>
      </c>
    </row>
    <row r="107" spans="1:7" x14ac:dyDescent="0.25">
      <c r="A107" s="70">
        <v>43317</v>
      </c>
      <c r="B107" s="46">
        <f t="shared" si="23"/>
        <v>30</v>
      </c>
      <c r="C107" s="68">
        <f t="shared" si="26"/>
        <v>16430</v>
      </c>
      <c r="D107" s="48">
        <f t="shared" si="19"/>
        <v>10869.17</v>
      </c>
      <c r="E107" s="68">
        <f t="shared" si="20"/>
        <v>5560.83</v>
      </c>
      <c r="F107" s="47">
        <f t="shared" si="21"/>
        <v>333649.57000000024</v>
      </c>
      <c r="G107" s="47">
        <f t="shared" si="22"/>
        <v>322780.40000000026</v>
      </c>
    </row>
    <row r="108" spans="1:7" x14ac:dyDescent="0.25">
      <c r="A108" s="70">
        <v>43348</v>
      </c>
      <c r="B108" s="46">
        <f t="shared" si="23"/>
        <v>30</v>
      </c>
      <c r="C108" s="68">
        <f t="shared" si="26"/>
        <v>16430</v>
      </c>
      <c r="D108" s="48">
        <f t="shared" si="19"/>
        <v>11050.33</v>
      </c>
      <c r="E108" s="68">
        <f t="shared" si="20"/>
        <v>5379.67</v>
      </c>
      <c r="F108" s="47">
        <f t="shared" si="21"/>
        <v>322780.40000000026</v>
      </c>
      <c r="G108" s="47">
        <f t="shared" si="22"/>
        <v>311730.07000000024</v>
      </c>
    </row>
    <row r="109" spans="1:7" x14ac:dyDescent="0.25">
      <c r="A109" s="70">
        <v>43378</v>
      </c>
      <c r="B109" s="46">
        <f t="shared" si="23"/>
        <v>30</v>
      </c>
      <c r="C109" s="68">
        <f t="shared" si="26"/>
        <v>16430</v>
      </c>
      <c r="D109" s="48">
        <f t="shared" si="19"/>
        <v>11234.5</v>
      </c>
      <c r="E109" s="68">
        <f t="shared" si="20"/>
        <v>5195.5</v>
      </c>
      <c r="F109" s="47">
        <f t="shared" si="21"/>
        <v>311730.07000000024</v>
      </c>
      <c r="G109" s="47">
        <f t="shared" si="22"/>
        <v>300495.57000000024</v>
      </c>
    </row>
    <row r="110" spans="1:7" x14ac:dyDescent="0.25">
      <c r="A110" s="70">
        <v>43409</v>
      </c>
      <c r="B110" s="46">
        <f t="shared" si="23"/>
        <v>30</v>
      </c>
      <c r="C110" s="68">
        <f t="shared" si="26"/>
        <v>16430</v>
      </c>
      <c r="D110" s="48">
        <f t="shared" si="19"/>
        <v>11421.74</v>
      </c>
      <c r="E110" s="68">
        <f t="shared" si="20"/>
        <v>5008.26</v>
      </c>
      <c r="F110" s="47">
        <f t="shared" si="21"/>
        <v>300495.57000000024</v>
      </c>
      <c r="G110" s="47">
        <f t="shared" si="22"/>
        <v>289073.83000000025</v>
      </c>
    </row>
    <row r="111" spans="1:7" x14ac:dyDescent="0.25">
      <c r="A111" s="70">
        <v>43439</v>
      </c>
      <c r="B111" s="46">
        <f t="shared" si="23"/>
        <v>30</v>
      </c>
      <c r="C111" s="68">
        <f t="shared" si="26"/>
        <v>16430</v>
      </c>
      <c r="D111" s="48">
        <f t="shared" si="19"/>
        <v>11612.1</v>
      </c>
      <c r="E111" s="68">
        <f t="shared" si="20"/>
        <v>4817.8999999999996</v>
      </c>
      <c r="F111" s="47">
        <f t="shared" si="21"/>
        <v>289073.83000000025</v>
      </c>
      <c r="G111" s="47">
        <f t="shared" si="22"/>
        <v>277461.73000000027</v>
      </c>
    </row>
    <row r="112" spans="1:7" x14ac:dyDescent="0.25">
      <c r="A112" s="70">
        <v>43470</v>
      </c>
      <c r="B112" s="46">
        <f t="shared" si="23"/>
        <v>30</v>
      </c>
      <c r="C112" s="68">
        <f t="shared" si="26"/>
        <v>16430</v>
      </c>
      <c r="D112" s="48">
        <f t="shared" si="19"/>
        <v>11805.64</v>
      </c>
      <c r="E112" s="68">
        <f t="shared" si="20"/>
        <v>4624.3599999999997</v>
      </c>
      <c r="F112" s="47">
        <f t="shared" si="21"/>
        <v>277461.73000000027</v>
      </c>
      <c r="G112" s="47">
        <f t="shared" si="22"/>
        <v>265656.09000000026</v>
      </c>
    </row>
    <row r="113" spans="1:7" x14ac:dyDescent="0.25">
      <c r="A113" s="70">
        <v>43501</v>
      </c>
      <c r="B113" s="46">
        <f t="shared" si="23"/>
        <v>30</v>
      </c>
      <c r="C113" s="68">
        <f t="shared" si="26"/>
        <v>16430</v>
      </c>
      <c r="D113" s="48">
        <f t="shared" si="19"/>
        <v>12002.4</v>
      </c>
      <c r="E113" s="68">
        <f t="shared" si="20"/>
        <v>4427.6000000000004</v>
      </c>
      <c r="F113" s="47">
        <f t="shared" si="21"/>
        <v>265656.09000000026</v>
      </c>
      <c r="G113" s="47">
        <f t="shared" si="22"/>
        <v>253653.69000000026</v>
      </c>
    </row>
    <row r="114" spans="1:7" x14ac:dyDescent="0.25">
      <c r="A114" s="70">
        <v>43529</v>
      </c>
      <c r="B114" s="46">
        <f t="shared" si="23"/>
        <v>30</v>
      </c>
      <c r="C114" s="68">
        <f t="shared" si="26"/>
        <v>16430</v>
      </c>
      <c r="D114" s="48">
        <f t="shared" si="19"/>
        <v>12202.439999999999</v>
      </c>
      <c r="E114" s="68">
        <f t="shared" si="20"/>
        <v>4227.5600000000004</v>
      </c>
      <c r="F114" s="47">
        <f t="shared" si="21"/>
        <v>253653.69000000026</v>
      </c>
      <c r="G114" s="47">
        <f t="shared" si="22"/>
        <v>241451.25000000026</v>
      </c>
    </row>
    <row r="115" spans="1:7" x14ac:dyDescent="0.25">
      <c r="A115" s="70">
        <v>43560</v>
      </c>
      <c r="B115" s="46">
        <f t="shared" si="23"/>
        <v>30</v>
      </c>
      <c r="C115" s="68">
        <f t="shared" si="26"/>
        <v>16430</v>
      </c>
      <c r="D115" s="48">
        <f t="shared" si="19"/>
        <v>12405.81</v>
      </c>
      <c r="E115" s="68">
        <f t="shared" si="20"/>
        <v>4024.19</v>
      </c>
      <c r="F115" s="47">
        <f t="shared" si="21"/>
        <v>241451.25000000026</v>
      </c>
      <c r="G115" s="47">
        <f t="shared" si="22"/>
        <v>229045.44000000026</v>
      </c>
    </row>
    <row r="116" spans="1:7" x14ac:dyDescent="0.25">
      <c r="A116" s="70">
        <v>43590</v>
      </c>
      <c r="B116" s="46">
        <f t="shared" si="23"/>
        <v>30</v>
      </c>
      <c r="C116" s="68">
        <f t="shared" si="26"/>
        <v>16430</v>
      </c>
      <c r="D116" s="48">
        <f t="shared" si="19"/>
        <v>12612.58</v>
      </c>
      <c r="E116" s="68">
        <f t="shared" si="20"/>
        <v>3817.42</v>
      </c>
      <c r="F116" s="47">
        <f t="shared" si="21"/>
        <v>229045.44000000026</v>
      </c>
      <c r="G116" s="47">
        <f t="shared" si="22"/>
        <v>216432.86000000028</v>
      </c>
    </row>
    <row r="117" spans="1:7" x14ac:dyDescent="0.25">
      <c r="A117" s="70">
        <v>43621</v>
      </c>
      <c r="B117" s="46">
        <f t="shared" si="23"/>
        <v>30</v>
      </c>
      <c r="C117" s="68">
        <f t="shared" si="26"/>
        <v>16430</v>
      </c>
      <c r="D117" s="48">
        <f t="shared" si="19"/>
        <v>12822.79</v>
      </c>
      <c r="E117" s="68">
        <f t="shared" si="20"/>
        <v>3607.21</v>
      </c>
      <c r="F117" s="47">
        <f t="shared" si="21"/>
        <v>216432.86000000028</v>
      </c>
      <c r="G117" s="47">
        <f t="shared" si="22"/>
        <v>203610.07000000027</v>
      </c>
    </row>
    <row r="118" spans="1:7" x14ac:dyDescent="0.25">
      <c r="A118" s="70">
        <v>43651</v>
      </c>
      <c r="B118" s="46">
        <f t="shared" si="23"/>
        <v>30</v>
      </c>
      <c r="C118" s="68">
        <f t="shared" si="26"/>
        <v>16430</v>
      </c>
      <c r="D118" s="48">
        <f t="shared" si="19"/>
        <v>13036.5</v>
      </c>
      <c r="E118" s="68">
        <f t="shared" si="20"/>
        <v>3393.5</v>
      </c>
      <c r="F118" s="47">
        <f t="shared" si="21"/>
        <v>203610.07000000027</v>
      </c>
      <c r="G118" s="47">
        <f t="shared" si="22"/>
        <v>190573.57000000027</v>
      </c>
    </row>
    <row r="119" spans="1:7" x14ac:dyDescent="0.25">
      <c r="A119" s="70">
        <v>43682</v>
      </c>
      <c r="B119" s="46">
        <f t="shared" si="23"/>
        <v>30</v>
      </c>
      <c r="C119" s="68">
        <f t="shared" si="26"/>
        <v>16430</v>
      </c>
      <c r="D119" s="48">
        <f t="shared" si="19"/>
        <v>13253.77</v>
      </c>
      <c r="E119" s="68">
        <f t="shared" si="20"/>
        <v>3176.23</v>
      </c>
      <c r="F119" s="47">
        <f t="shared" si="21"/>
        <v>190573.57000000027</v>
      </c>
      <c r="G119" s="47">
        <f t="shared" si="22"/>
        <v>177319.80000000028</v>
      </c>
    </row>
    <row r="120" spans="1:7" x14ac:dyDescent="0.25">
      <c r="A120" s="70">
        <v>43713</v>
      </c>
      <c r="B120" s="46">
        <f t="shared" si="23"/>
        <v>30</v>
      </c>
      <c r="C120" s="68">
        <f t="shared" si="26"/>
        <v>16430</v>
      </c>
      <c r="D120" s="48">
        <f t="shared" si="19"/>
        <v>13474.67</v>
      </c>
      <c r="E120" s="68">
        <f t="shared" si="20"/>
        <v>2955.33</v>
      </c>
      <c r="F120" s="47">
        <f t="shared" si="21"/>
        <v>177319.80000000028</v>
      </c>
      <c r="G120" s="47">
        <f t="shared" si="22"/>
        <v>163845.13000000027</v>
      </c>
    </row>
    <row r="121" spans="1:7" x14ac:dyDescent="0.25">
      <c r="A121" s="70">
        <v>43743</v>
      </c>
      <c r="B121" s="46">
        <f t="shared" si="23"/>
        <v>30</v>
      </c>
      <c r="C121" s="68">
        <f t="shared" si="26"/>
        <v>16430</v>
      </c>
      <c r="D121" s="48">
        <f t="shared" si="19"/>
        <v>13699.25</v>
      </c>
      <c r="E121" s="68">
        <f t="shared" si="20"/>
        <v>2730.75</v>
      </c>
      <c r="F121" s="47">
        <f t="shared" si="21"/>
        <v>163845.13000000027</v>
      </c>
      <c r="G121" s="47">
        <f t="shared" si="22"/>
        <v>150145.88000000027</v>
      </c>
    </row>
    <row r="122" spans="1:7" x14ac:dyDescent="0.25">
      <c r="A122" s="70">
        <v>43774</v>
      </c>
      <c r="B122" s="46">
        <f t="shared" si="23"/>
        <v>30</v>
      </c>
      <c r="C122" s="68">
        <f t="shared" si="26"/>
        <v>16430</v>
      </c>
      <c r="D122" s="48">
        <f t="shared" si="19"/>
        <v>13927.57</v>
      </c>
      <c r="E122" s="68">
        <f t="shared" si="20"/>
        <v>2502.4299999999998</v>
      </c>
      <c r="F122" s="47">
        <f t="shared" si="21"/>
        <v>150145.88000000027</v>
      </c>
      <c r="G122" s="47">
        <f t="shared" si="22"/>
        <v>136218.31000000026</v>
      </c>
    </row>
    <row r="123" spans="1:7" x14ac:dyDescent="0.25">
      <c r="A123" s="70">
        <v>43804</v>
      </c>
      <c r="B123" s="46">
        <f t="shared" si="23"/>
        <v>30</v>
      </c>
      <c r="C123" s="68">
        <f t="shared" si="26"/>
        <v>16430</v>
      </c>
      <c r="D123" s="48">
        <f t="shared" si="19"/>
        <v>14159.69</v>
      </c>
      <c r="E123" s="68">
        <f t="shared" si="20"/>
        <v>2270.31</v>
      </c>
      <c r="F123" s="47">
        <f t="shared" si="21"/>
        <v>136218.31000000026</v>
      </c>
      <c r="G123" s="47">
        <f t="shared" si="22"/>
        <v>122058.62000000026</v>
      </c>
    </row>
    <row r="124" spans="1:7" x14ac:dyDescent="0.25">
      <c r="A124" s="70">
        <v>43835</v>
      </c>
      <c r="B124" s="46">
        <f t="shared" si="23"/>
        <v>30</v>
      </c>
      <c r="C124" s="68">
        <f t="shared" si="26"/>
        <v>16430</v>
      </c>
      <c r="D124" s="48">
        <f t="shared" si="19"/>
        <v>14395.69</v>
      </c>
      <c r="E124" s="68">
        <f t="shared" si="20"/>
        <v>2034.31</v>
      </c>
      <c r="F124" s="47">
        <f t="shared" si="21"/>
        <v>122058.62000000026</v>
      </c>
      <c r="G124" s="47">
        <f t="shared" si="22"/>
        <v>107662.93000000025</v>
      </c>
    </row>
    <row r="125" spans="1:7" x14ac:dyDescent="0.25">
      <c r="A125" s="70">
        <v>43866</v>
      </c>
      <c r="B125" s="46">
        <f t="shared" si="23"/>
        <v>30</v>
      </c>
      <c r="C125" s="68">
        <f t="shared" si="26"/>
        <v>16430</v>
      </c>
      <c r="D125" s="48">
        <f t="shared" si="19"/>
        <v>14635.619999999999</v>
      </c>
      <c r="E125" s="68">
        <f t="shared" si="20"/>
        <v>1794.38</v>
      </c>
      <c r="F125" s="47">
        <f t="shared" si="21"/>
        <v>107662.93000000025</v>
      </c>
      <c r="G125" s="47">
        <f t="shared" si="22"/>
        <v>93027.31000000026</v>
      </c>
    </row>
    <row r="126" spans="1:7" x14ac:dyDescent="0.25">
      <c r="A126" s="70">
        <v>43895</v>
      </c>
      <c r="B126" s="46">
        <f t="shared" si="23"/>
        <v>30</v>
      </c>
      <c r="C126" s="68">
        <f t="shared" si="26"/>
        <v>16430</v>
      </c>
      <c r="D126" s="48">
        <f t="shared" si="19"/>
        <v>14879.54</v>
      </c>
      <c r="E126" s="68">
        <f t="shared" si="20"/>
        <v>1550.46</v>
      </c>
      <c r="F126" s="47">
        <f t="shared" si="21"/>
        <v>93027.31000000026</v>
      </c>
      <c r="G126" s="47">
        <f t="shared" si="22"/>
        <v>78147.770000000251</v>
      </c>
    </row>
    <row r="127" spans="1:7" x14ac:dyDescent="0.25">
      <c r="A127" s="70">
        <v>43926</v>
      </c>
      <c r="B127" s="46">
        <f t="shared" si="23"/>
        <v>30</v>
      </c>
      <c r="C127" s="68">
        <f t="shared" si="26"/>
        <v>16430</v>
      </c>
      <c r="D127" s="48">
        <f t="shared" si="19"/>
        <v>15127.54</v>
      </c>
      <c r="E127" s="68">
        <f t="shared" si="20"/>
        <v>1302.46</v>
      </c>
      <c r="F127" s="47">
        <f t="shared" si="21"/>
        <v>78147.770000000251</v>
      </c>
      <c r="G127" s="47">
        <f t="shared" si="22"/>
        <v>63020.230000000251</v>
      </c>
    </row>
    <row r="128" spans="1:7" x14ac:dyDescent="0.25">
      <c r="A128" s="70">
        <v>43956</v>
      </c>
      <c r="B128" s="46">
        <f t="shared" si="23"/>
        <v>30</v>
      </c>
      <c r="C128" s="68">
        <f t="shared" si="26"/>
        <v>16430</v>
      </c>
      <c r="D128" s="48">
        <f t="shared" si="19"/>
        <v>15379.66</v>
      </c>
      <c r="E128" s="68">
        <f t="shared" si="20"/>
        <v>1050.3399999999999</v>
      </c>
      <c r="F128" s="47">
        <f t="shared" si="21"/>
        <v>63020.230000000251</v>
      </c>
      <c r="G128" s="47">
        <f t="shared" si="22"/>
        <v>47640.570000000254</v>
      </c>
    </row>
    <row r="129" spans="1:7" x14ac:dyDescent="0.25">
      <c r="A129" s="70">
        <v>43987</v>
      </c>
      <c r="B129" s="46">
        <f t="shared" si="23"/>
        <v>30</v>
      </c>
      <c r="C129" s="68">
        <f t="shared" si="26"/>
        <v>16430</v>
      </c>
      <c r="D129" s="48">
        <f t="shared" si="19"/>
        <v>15635.99</v>
      </c>
      <c r="E129" s="68">
        <f t="shared" si="20"/>
        <v>794.01</v>
      </c>
      <c r="F129" s="47">
        <f t="shared" si="21"/>
        <v>47640.570000000254</v>
      </c>
      <c r="G129" s="47">
        <f t="shared" si="22"/>
        <v>32004.580000000256</v>
      </c>
    </row>
    <row r="130" spans="1:7" x14ac:dyDescent="0.25">
      <c r="A130" s="70">
        <v>44017</v>
      </c>
      <c r="B130" s="46">
        <f t="shared" si="23"/>
        <v>30</v>
      </c>
      <c r="C130" s="68">
        <f t="shared" si="26"/>
        <v>16430</v>
      </c>
      <c r="D130" s="48">
        <f t="shared" ref="D130:D131" si="27">C130-E130</f>
        <v>15896.59</v>
      </c>
      <c r="E130" s="68">
        <f t="shared" ref="E130" si="28">ROUND(F130*$J$1*B130/360,2)</f>
        <v>533.41</v>
      </c>
      <c r="F130" s="47">
        <f t="shared" ref="F130:F131" si="29">G129</f>
        <v>32004.580000000256</v>
      </c>
      <c r="G130" s="47">
        <f t="shared" ref="G130:G131" si="30">F130-D130</f>
        <v>16107.990000000256</v>
      </c>
    </row>
    <row r="131" spans="1:7" x14ac:dyDescent="0.25">
      <c r="A131" s="70">
        <v>44048</v>
      </c>
      <c r="B131" s="46">
        <f t="shared" si="23"/>
        <v>30</v>
      </c>
      <c r="C131" s="68">
        <f t="shared" si="26"/>
        <v>16430</v>
      </c>
      <c r="D131" s="48">
        <f t="shared" si="27"/>
        <v>16107.99</v>
      </c>
      <c r="E131" s="68">
        <v>322.01</v>
      </c>
      <c r="F131" s="47">
        <f t="shared" si="29"/>
        <v>16107.990000000256</v>
      </c>
      <c r="G131" s="47">
        <f t="shared" si="30"/>
        <v>2.5647750589996576E-10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0DB7F3-D26B-40C7-A8D6-6221A1017F31}">
  <dimension ref="A1:AA3"/>
  <sheetViews>
    <sheetView workbookViewId="0">
      <selection activeCell="AA2" sqref="AA2:A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6" width="16.85546875" customWidth="1"/>
    <col min="27" max="27" width="145.1406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172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167</v>
      </c>
      <c r="P2" s="20" t="s">
        <v>21</v>
      </c>
      <c r="Q2" s="20" t="s">
        <v>84</v>
      </c>
      <c r="R2" s="20" t="s">
        <v>168</v>
      </c>
      <c r="S2" s="20" t="s">
        <v>45</v>
      </c>
      <c r="T2" s="20" t="s">
        <v>142</v>
      </c>
      <c r="U2" s="20" t="s">
        <v>169</v>
      </c>
      <c r="V2" s="20" t="s">
        <v>141</v>
      </c>
      <c r="W2" s="20" t="s">
        <v>180</v>
      </c>
      <c r="X2" s="20" t="s">
        <v>170</v>
      </c>
      <c r="Y2" s="20" t="s">
        <v>104</v>
      </c>
      <c r="Z2" s="20" t="s">
        <v>181</v>
      </c>
      <c r="AA2" s="50" t="s">
        <v>182</v>
      </c>
    </row>
    <row r="3" spans="1:27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172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167</v>
      </c>
      <c r="P3" s="20" t="s">
        <v>21</v>
      </c>
      <c r="Q3" s="20" t="s">
        <v>84</v>
      </c>
      <c r="R3" s="20" t="s">
        <v>168</v>
      </c>
      <c r="S3" s="20" t="s">
        <v>45</v>
      </c>
      <c r="T3" s="20" t="s">
        <v>142</v>
      </c>
      <c r="U3" s="20" t="s">
        <v>169</v>
      </c>
      <c r="V3" s="20" t="s">
        <v>141</v>
      </c>
      <c r="W3" s="20" t="s">
        <v>180</v>
      </c>
      <c r="X3" s="20" t="s">
        <v>170</v>
      </c>
      <c r="Y3" s="20" t="s">
        <v>104</v>
      </c>
      <c r="Z3" s="20" t="s">
        <v>181</v>
      </c>
      <c r="AA3" s="50" t="s">
        <v>183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99DC65-8CEB-4F38-AFE3-1808B7B230F0}">
  <dimension ref="A1:P107"/>
  <sheetViews>
    <sheetView zoomScale="80" zoomScaleNormal="80" workbookViewId="0">
      <pane ySplit="3" topLeftCell="A93" activePane="bottomLeft" state="frozen"/>
      <selection activeCell="A2" sqref="A2"/>
      <selection pane="bottomLeft" activeCell="A2" sqref="A2"/>
    </sheetView>
  </sheetViews>
  <sheetFormatPr defaultColWidth="13.42578125"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8.7109375" bestFit="1" customWidth="1"/>
    <col min="6" max="6" width="17" bestFit="1" customWidth="1"/>
    <col min="7" max="7" width="18.7109375" bestFit="1" customWidth="1"/>
    <col min="8" max="8" width="16.7109375" bestFit="1" customWidth="1"/>
    <col min="9" max="9" width="17.42578125" bestFit="1" customWidth="1"/>
    <col min="10" max="10" width="9.28515625" bestFit="1" customWidth="1"/>
    <col min="11" max="11" width="18.7109375" bestFit="1" customWidth="1"/>
    <col min="12" max="12" width="10.85546875" bestFit="1" customWidth="1"/>
    <col min="13" max="13" width="17.42578125" bestFit="1" customWidth="1"/>
    <col min="14" max="14" width="6.5703125" bestFit="1" customWidth="1"/>
    <col min="15" max="15" width="15.85546875" bestFit="1" customWidth="1"/>
    <col min="16" max="16" width="6.5703125" bestFit="1" customWidth="1"/>
  </cols>
  <sheetData>
    <row r="1" spans="1:16" x14ac:dyDescent="0.25">
      <c r="A1" s="17" t="s">
        <v>33</v>
      </c>
      <c r="B1" s="78">
        <v>41856</v>
      </c>
      <c r="C1" s="17" t="s">
        <v>37</v>
      </c>
      <c r="D1" s="79">
        <f>ROUNDUP(23797.2324459771,0)</f>
        <v>23798</v>
      </c>
      <c r="E1" s="73" t="s">
        <v>147</v>
      </c>
      <c r="F1" s="74">
        <v>42009</v>
      </c>
      <c r="G1" s="73" t="s">
        <v>150</v>
      </c>
      <c r="H1" s="79">
        <f>ROUNDUP(21430.8531468448,0)</f>
        <v>21431</v>
      </c>
      <c r="I1" s="73" t="s">
        <v>175</v>
      </c>
      <c r="J1" s="87">
        <v>0.1</v>
      </c>
      <c r="K1" s="73" t="s">
        <v>148</v>
      </c>
      <c r="L1" s="74">
        <v>42129</v>
      </c>
      <c r="M1" s="73" t="s">
        <v>149</v>
      </c>
      <c r="N1" s="69">
        <f>ROUNDUP(20222.8411378017,0)</f>
        <v>20223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42495</v>
      </c>
      <c r="E2" s="73" t="s">
        <v>177</v>
      </c>
      <c r="F2" s="69">
        <v>15000</v>
      </c>
      <c r="G2" s="73" t="s">
        <v>173</v>
      </c>
      <c r="H2" s="74">
        <v>42860</v>
      </c>
      <c r="I2" s="73" t="s">
        <v>174</v>
      </c>
      <c r="J2" s="89">
        <f>ROUNDUP(39355.0439220358,0)</f>
        <v>39356</v>
      </c>
      <c r="K2" s="73" t="s">
        <v>178</v>
      </c>
      <c r="L2" s="88">
        <v>48</v>
      </c>
    </row>
    <row r="3" spans="1:16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6" x14ac:dyDescent="0.25">
      <c r="A4" s="54">
        <v>41887</v>
      </c>
      <c r="B4" s="46">
        <f>A4-B1</f>
        <v>31</v>
      </c>
      <c r="C4" s="47">
        <f>$D$1</f>
        <v>23798</v>
      </c>
      <c r="D4" s="48">
        <f t="shared" ref="D4:D63" si="0">C4-E4</f>
        <v>11058.27</v>
      </c>
      <c r="E4" s="68">
        <f t="shared" ref="E4:E62" si="1">ROUND(F4*$B$2*B4/365,2)</f>
        <v>12739.73</v>
      </c>
      <c r="F4" s="47">
        <v>1000000</v>
      </c>
      <c r="G4" s="47">
        <f t="shared" ref="G4:G67" si="2">F4-D4</f>
        <v>988941.73</v>
      </c>
    </row>
    <row r="5" spans="1:16" x14ac:dyDescent="0.25">
      <c r="A5" s="54">
        <v>41917</v>
      </c>
      <c r="B5" s="46">
        <f>A5-A4</f>
        <v>30</v>
      </c>
      <c r="C5" s="47">
        <f t="shared" ref="C5:C64" si="3">$D$1</f>
        <v>23798</v>
      </c>
      <c r="D5" s="48">
        <f t="shared" si="0"/>
        <v>11605.57</v>
      </c>
      <c r="E5" s="68">
        <f t="shared" si="1"/>
        <v>12192.43</v>
      </c>
      <c r="F5" s="47">
        <f>G4</f>
        <v>988941.73</v>
      </c>
      <c r="G5" s="47">
        <f t="shared" si="2"/>
        <v>977336.16</v>
      </c>
    </row>
    <row r="6" spans="1:16" x14ac:dyDescent="0.25">
      <c r="A6" s="54">
        <v>41948</v>
      </c>
      <c r="B6" s="46">
        <f t="shared" ref="B6:B69" si="4">A6-A5</f>
        <v>31</v>
      </c>
      <c r="C6" s="47">
        <f t="shared" si="3"/>
        <v>23798</v>
      </c>
      <c r="D6" s="48">
        <f t="shared" si="0"/>
        <v>11347.01</v>
      </c>
      <c r="E6" s="68">
        <f t="shared" si="1"/>
        <v>12450.99</v>
      </c>
      <c r="F6" s="47">
        <f t="shared" ref="F6:F68" si="5">G5</f>
        <v>977336.16</v>
      </c>
      <c r="G6" s="47">
        <f t="shared" si="2"/>
        <v>965989.15</v>
      </c>
    </row>
    <row r="7" spans="1:16" x14ac:dyDescent="0.25">
      <c r="A7" s="54">
        <v>41978</v>
      </c>
      <c r="B7" s="46">
        <f t="shared" si="4"/>
        <v>30</v>
      </c>
      <c r="C7" s="47">
        <f t="shared" si="3"/>
        <v>23798</v>
      </c>
      <c r="D7" s="48">
        <f t="shared" si="0"/>
        <v>11888.54</v>
      </c>
      <c r="E7" s="68">
        <f t="shared" si="1"/>
        <v>11909.46</v>
      </c>
      <c r="F7" s="47">
        <f t="shared" si="5"/>
        <v>965989.15</v>
      </c>
      <c r="G7" s="47">
        <f t="shared" si="2"/>
        <v>954100.61</v>
      </c>
    </row>
    <row r="8" spans="1:16" x14ac:dyDescent="0.25">
      <c r="A8" s="54">
        <v>42009</v>
      </c>
      <c r="B8" s="46">
        <f t="shared" si="4"/>
        <v>31</v>
      </c>
      <c r="C8" s="47">
        <f t="shared" si="3"/>
        <v>23798</v>
      </c>
      <c r="D8" s="48">
        <f t="shared" si="0"/>
        <v>11643.02</v>
      </c>
      <c r="E8" s="68">
        <f t="shared" si="1"/>
        <v>12154.98</v>
      </c>
      <c r="F8" s="47">
        <f t="shared" si="5"/>
        <v>954100.61</v>
      </c>
      <c r="G8" s="47">
        <f t="shared" si="2"/>
        <v>942457.59</v>
      </c>
    </row>
    <row r="9" spans="1:16" x14ac:dyDescent="0.25">
      <c r="A9" s="54">
        <v>42040</v>
      </c>
      <c r="B9" s="46">
        <f t="shared" si="4"/>
        <v>31</v>
      </c>
      <c r="C9" s="47">
        <f t="shared" si="3"/>
        <v>23798</v>
      </c>
      <c r="D9" s="48">
        <f t="shared" si="0"/>
        <v>11791.35</v>
      </c>
      <c r="E9" s="68">
        <f t="shared" si="1"/>
        <v>12006.65</v>
      </c>
      <c r="F9" s="47">
        <f t="shared" si="5"/>
        <v>942457.59</v>
      </c>
      <c r="G9" s="47">
        <f t="shared" si="2"/>
        <v>930666.24</v>
      </c>
    </row>
    <row r="10" spans="1:16" x14ac:dyDescent="0.25">
      <c r="A10" s="54">
        <v>42068</v>
      </c>
      <c r="B10" s="46">
        <f t="shared" si="4"/>
        <v>28</v>
      </c>
      <c r="C10" s="47">
        <f t="shared" si="3"/>
        <v>23798</v>
      </c>
      <c r="D10" s="48">
        <f t="shared" si="0"/>
        <v>13088.96</v>
      </c>
      <c r="E10" s="68">
        <f t="shared" si="1"/>
        <v>10709.04</v>
      </c>
      <c r="F10" s="47">
        <f t="shared" si="5"/>
        <v>930666.24</v>
      </c>
      <c r="G10" s="47">
        <f t="shared" si="2"/>
        <v>917577.28</v>
      </c>
    </row>
    <row r="11" spans="1:16" x14ac:dyDescent="0.25">
      <c r="A11" s="54">
        <v>42099</v>
      </c>
      <c r="B11" s="46">
        <f t="shared" si="4"/>
        <v>31</v>
      </c>
      <c r="C11" s="47">
        <f t="shared" si="3"/>
        <v>23798</v>
      </c>
      <c r="D11" s="48">
        <f t="shared" si="0"/>
        <v>12108.32</v>
      </c>
      <c r="E11" s="68">
        <f t="shared" si="1"/>
        <v>11689.68</v>
      </c>
      <c r="F11" s="47">
        <f t="shared" si="5"/>
        <v>917577.28</v>
      </c>
      <c r="G11" s="47">
        <f t="shared" si="2"/>
        <v>905468.96000000008</v>
      </c>
    </row>
    <row r="12" spans="1:16" x14ac:dyDescent="0.25">
      <c r="A12" s="54">
        <v>42129</v>
      </c>
      <c r="B12" s="46">
        <f t="shared" si="4"/>
        <v>30</v>
      </c>
      <c r="C12" s="47">
        <f t="shared" si="3"/>
        <v>23798</v>
      </c>
      <c r="D12" s="48">
        <f t="shared" si="0"/>
        <v>12634.68</v>
      </c>
      <c r="E12" s="68">
        <f t="shared" si="1"/>
        <v>11163.32</v>
      </c>
      <c r="F12" s="47">
        <f t="shared" si="5"/>
        <v>905468.96000000008</v>
      </c>
      <c r="G12" s="47">
        <f t="shared" si="2"/>
        <v>892834.28</v>
      </c>
    </row>
    <row r="13" spans="1:16" x14ac:dyDescent="0.25">
      <c r="A13" s="54">
        <v>42160</v>
      </c>
      <c r="B13" s="46">
        <f t="shared" si="4"/>
        <v>31</v>
      </c>
      <c r="C13" s="47">
        <f t="shared" si="3"/>
        <v>23798</v>
      </c>
      <c r="D13" s="48">
        <f t="shared" si="0"/>
        <v>12423.54</v>
      </c>
      <c r="E13" s="68">
        <f t="shared" si="1"/>
        <v>11374.46</v>
      </c>
      <c r="F13" s="47">
        <f t="shared" si="5"/>
        <v>892834.28</v>
      </c>
      <c r="G13" s="47">
        <f t="shared" si="2"/>
        <v>880410.74</v>
      </c>
    </row>
    <row r="14" spans="1:16" x14ac:dyDescent="0.25">
      <c r="A14" s="54">
        <v>42190</v>
      </c>
      <c r="B14" s="46">
        <f t="shared" si="4"/>
        <v>30</v>
      </c>
      <c r="C14" s="47">
        <f t="shared" si="3"/>
        <v>23798</v>
      </c>
      <c r="D14" s="48">
        <f t="shared" si="0"/>
        <v>12943.62</v>
      </c>
      <c r="E14" s="68">
        <f t="shared" si="1"/>
        <v>10854.38</v>
      </c>
      <c r="F14" s="47">
        <f t="shared" si="5"/>
        <v>880410.74</v>
      </c>
      <c r="G14" s="47">
        <f t="shared" si="2"/>
        <v>867467.12</v>
      </c>
    </row>
    <row r="15" spans="1:16" x14ac:dyDescent="0.25">
      <c r="A15" s="54">
        <v>42221</v>
      </c>
      <c r="B15" s="46">
        <f t="shared" si="4"/>
        <v>31</v>
      </c>
      <c r="C15" s="47">
        <f t="shared" si="3"/>
        <v>23798</v>
      </c>
      <c r="D15" s="48">
        <f t="shared" si="0"/>
        <v>12746.71</v>
      </c>
      <c r="E15" s="68">
        <f t="shared" si="1"/>
        <v>11051.29</v>
      </c>
      <c r="F15" s="47">
        <f t="shared" si="5"/>
        <v>867467.12</v>
      </c>
      <c r="G15" s="47">
        <f t="shared" si="2"/>
        <v>854720.41</v>
      </c>
    </row>
    <row r="16" spans="1:16" x14ac:dyDescent="0.25">
      <c r="A16" s="54">
        <v>42252</v>
      </c>
      <c r="B16" s="46">
        <f t="shared" si="4"/>
        <v>31</v>
      </c>
      <c r="C16" s="47">
        <f t="shared" si="3"/>
        <v>23798</v>
      </c>
      <c r="D16" s="48">
        <f t="shared" si="0"/>
        <v>12909.1</v>
      </c>
      <c r="E16" s="68">
        <f t="shared" si="1"/>
        <v>10888.9</v>
      </c>
      <c r="F16" s="47">
        <f t="shared" si="5"/>
        <v>854720.41</v>
      </c>
      <c r="G16" s="47">
        <f t="shared" si="2"/>
        <v>841811.31</v>
      </c>
    </row>
    <row r="17" spans="1:7" x14ac:dyDescent="0.25">
      <c r="A17" s="54">
        <v>42282</v>
      </c>
      <c r="B17" s="46">
        <f t="shared" si="4"/>
        <v>30</v>
      </c>
      <c r="C17" s="47">
        <f t="shared" si="3"/>
        <v>23798</v>
      </c>
      <c r="D17" s="48">
        <f t="shared" si="0"/>
        <v>13419.5</v>
      </c>
      <c r="E17" s="68">
        <f t="shared" si="1"/>
        <v>10378.5</v>
      </c>
      <c r="F17" s="47">
        <f t="shared" si="5"/>
        <v>841811.31</v>
      </c>
      <c r="G17" s="47">
        <f t="shared" si="2"/>
        <v>828391.81</v>
      </c>
    </row>
    <row r="18" spans="1:7" x14ac:dyDescent="0.25">
      <c r="A18" s="54">
        <v>42313</v>
      </c>
      <c r="B18" s="46">
        <f t="shared" si="4"/>
        <v>31</v>
      </c>
      <c r="C18" s="47">
        <f t="shared" si="3"/>
        <v>23798</v>
      </c>
      <c r="D18" s="48">
        <f t="shared" si="0"/>
        <v>13244.52</v>
      </c>
      <c r="E18" s="68">
        <f t="shared" si="1"/>
        <v>10553.48</v>
      </c>
      <c r="F18" s="47">
        <f t="shared" si="5"/>
        <v>828391.81</v>
      </c>
      <c r="G18" s="47">
        <f t="shared" si="2"/>
        <v>815147.29</v>
      </c>
    </row>
    <row r="19" spans="1:7" x14ac:dyDescent="0.25">
      <c r="A19" s="54">
        <v>42343</v>
      </c>
      <c r="B19" s="46">
        <f t="shared" si="4"/>
        <v>30</v>
      </c>
      <c r="C19" s="47">
        <f t="shared" si="3"/>
        <v>23798</v>
      </c>
      <c r="D19" s="48">
        <f t="shared" si="0"/>
        <v>13748.24</v>
      </c>
      <c r="E19" s="68">
        <f t="shared" si="1"/>
        <v>10049.76</v>
      </c>
      <c r="F19" s="47">
        <f t="shared" si="5"/>
        <v>815147.29</v>
      </c>
      <c r="G19" s="47">
        <f t="shared" si="2"/>
        <v>801399.05</v>
      </c>
    </row>
    <row r="20" spans="1:7" x14ac:dyDescent="0.25">
      <c r="A20" s="54">
        <v>42374</v>
      </c>
      <c r="B20" s="46">
        <f t="shared" si="4"/>
        <v>31</v>
      </c>
      <c r="C20" s="47">
        <f t="shared" si="3"/>
        <v>23798</v>
      </c>
      <c r="D20" s="48">
        <f t="shared" si="0"/>
        <v>13588.4</v>
      </c>
      <c r="E20" s="68">
        <f t="shared" si="1"/>
        <v>10209.6</v>
      </c>
      <c r="F20" s="47">
        <f t="shared" si="5"/>
        <v>801399.05</v>
      </c>
      <c r="G20" s="47">
        <f t="shared" si="2"/>
        <v>787810.65</v>
      </c>
    </row>
    <row r="21" spans="1:7" x14ac:dyDescent="0.25">
      <c r="A21" s="54">
        <v>42405</v>
      </c>
      <c r="B21" s="46">
        <f t="shared" si="4"/>
        <v>31</v>
      </c>
      <c r="C21" s="47">
        <f t="shared" si="3"/>
        <v>23798</v>
      </c>
      <c r="D21" s="48">
        <f t="shared" si="0"/>
        <v>13761.51</v>
      </c>
      <c r="E21" s="68">
        <f t="shared" si="1"/>
        <v>10036.49</v>
      </c>
      <c r="F21" s="47">
        <f t="shared" si="5"/>
        <v>787810.65</v>
      </c>
      <c r="G21" s="47">
        <f t="shared" si="2"/>
        <v>774049.14</v>
      </c>
    </row>
    <row r="22" spans="1:7" x14ac:dyDescent="0.25">
      <c r="A22" s="54">
        <v>42434</v>
      </c>
      <c r="B22" s="46">
        <f t="shared" si="4"/>
        <v>29</v>
      </c>
      <c r="C22" s="47">
        <f t="shared" si="3"/>
        <v>23798</v>
      </c>
      <c r="D22" s="48">
        <f t="shared" si="0"/>
        <v>14573.03</v>
      </c>
      <c r="E22" s="68">
        <f t="shared" si="1"/>
        <v>9224.9699999999993</v>
      </c>
      <c r="F22" s="47">
        <f t="shared" si="5"/>
        <v>774049.14</v>
      </c>
      <c r="G22" s="47">
        <f t="shared" si="2"/>
        <v>759476.11</v>
      </c>
    </row>
    <row r="23" spans="1:7" x14ac:dyDescent="0.25">
      <c r="A23" s="54">
        <v>42465</v>
      </c>
      <c r="B23" s="46">
        <f t="shared" si="4"/>
        <v>31</v>
      </c>
      <c r="C23" s="47">
        <f t="shared" si="3"/>
        <v>23798</v>
      </c>
      <c r="D23" s="48">
        <f t="shared" si="0"/>
        <v>14122.48</v>
      </c>
      <c r="E23" s="68">
        <f t="shared" si="1"/>
        <v>9675.52</v>
      </c>
      <c r="F23" s="47">
        <f t="shared" si="5"/>
        <v>759476.11</v>
      </c>
      <c r="G23" s="47">
        <f t="shared" si="2"/>
        <v>745353.63</v>
      </c>
    </row>
    <row r="24" spans="1:7" x14ac:dyDescent="0.25">
      <c r="A24" s="54">
        <v>42495</v>
      </c>
      <c r="B24" s="46">
        <f t="shared" si="4"/>
        <v>30</v>
      </c>
      <c r="C24" s="47">
        <f t="shared" si="3"/>
        <v>23798</v>
      </c>
      <c r="D24" s="48">
        <f t="shared" si="0"/>
        <v>14608.71</v>
      </c>
      <c r="E24" s="68">
        <f t="shared" si="1"/>
        <v>9189.2900000000009</v>
      </c>
      <c r="F24" s="47">
        <f t="shared" si="5"/>
        <v>745353.63</v>
      </c>
      <c r="G24" s="47">
        <f t="shared" si="2"/>
        <v>730744.92</v>
      </c>
    </row>
    <row r="25" spans="1:7" x14ac:dyDescent="0.25">
      <c r="A25" s="54">
        <v>42526</v>
      </c>
      <c r="B25" s="46">
        <f t="shared" si="4"/>
        <v>31</v>
      </c>
      <c r="C25" s="47">
        <f t="shared" si="3"/>
        <v>23798</v>
      </c>
      <c r="D25" s="48">
        <f t="shared" si="0"/>
        <v>14488.51</v>
      </c>
      <c r="E25" s="68">
        <f t="shared" si="1"/>
        <v>9309.49</v>
      </c>
      <c r="F25" s="47">
        <f t="shared" si="5"/>
        <v>730744.92</v>
      </c>
      <c r="G25" s="47">
        <f t="shared" si="2"/>
        <v>716256.41</v>
      </c>
    </row>
    <row r="26" spans="1:7" x14ac:dyDescent="0.25">
      <c r="A26" s="54">
        <v>42556</v>
      </c>
      <c r="B26" s="46">
        <f t="shared" si="4"/>
        <v>30</v>
      </c>
      <c r="C26" s="47">
        <f t="shared" si="3"/>
        <v>23798</v>
      </c>
      <c r="D26" s="48">
        <f t="shared" si="0"/>
        <v>14967.44</v>
      </c>
      <c r="E26" s="68">
        <f t="shared" si="1"/>
        <v>8830.56</v>
      </c>
      <c r="F26" s="47">
        <f t="shared" si="5"/>
        <v>716256.41</v>
      </c>
      <c r="G26" s="47">
        <f t="shared" si="2"/>
        <v>701288.97000000009</v>
      </c>
    </row>
    <row r="27" spans="1:7" x14ac:dyDescent="0.25">
      <c r="A27" s="54">
        <v>42587</v>
      </c>
      <c r="B27" s="46">
        <f t="shared" si="4"/>
        <v>31</v>
      </c>
      <c r="C27" s="47">
        <f t="shared" si="3"/>
        <v>23798</v>
      </c>
      <c r="D27" s="48">
        <f t="shared" si="0"/>
        <v>14863.77</v>
      </c>
      <c r="E27" s="68">
        <f t="shared" si="1"/>
        <v>8934.23</v>
      </c>
      <c r="F27" s="47">
        <f t="shared" si="5"/>
        <v>701288.97000000009</v>
      </c>
      <c r="G27" s="47">
        <f t="shared" si="2"/>
        <v>686425.20000000007</v>
      </c>
    </row>
    <row r="28" spans="1:7" x14ac:dyDescent="0.25">
      <c r="A28" s="54">
        <v>42618</v>
      </c>
      <c r="B28" s="46">
        <f t="shared" si="4"/>
        <v>31</v>
      </c>
      <c r="C28" s="47">
        <f t="shared" si="3"/>
        <v>23798</v>
      </c>
      <c r="D28" s="48">
        <f t="shared" si="0"/>
        <v>15053.13</v>
      </c>
      <c r="E28" s="68">
        <f t="shared" si="1"/>
        <v>8744.8700000000008</v>
      </c>
      <c r="F28" s="47">
        <f t="shared" si="5"/>
        <v>686425.20000000007</v>
      </c>
      <c r="G28" s="47">
        <f t="shared" si="2"/>
        <v>671372.07000000007</v>
      </c>
    </row>
    <row r="29" spans="1:7" x14ac:dyDescent="0.25">
      <c r="A29" s="54">
        <v>42648</v>
      </c>
      <c r="B29" s="46">
        <f t="shared" si="4"/>
        <v>30</v>
      </c>
      <c r="C29" s="47">
        <f t="shared" si="3"/>
        <v>23798</v>
      </c>
      <c r="D29" s="48">
        <f t="shared" si="0"/>
        <v>15520.81</v>
      </c>
      <c r="E29" s="68">
        <f t="shared" si="1"/>
        <v>8277.19</v>
      </c>
      <c r="F29" s="47">
        <f t="shared" si="5"/>
        <v>671372.07000000007</v>
      </c>
      <c r="G29" s="47">
        <f t="shared" si="2"/>
        <v>655851.26</v>
      </c>
    </row>
    <row r="30" spans="1:7" x14ac:dyDescent="0.25">
      <c r="A30" s="54">
        <v>42679</v>
      </c>
      <c r="B30" s="46">
        <f t="shared" si="4"/>
        <v>31</v>
      </c>
      <c r="C30" s="47">
        <f t="shared" si="3"/>
        <v>23798</v>
      </c>
      <c r="D30" s="48">
        <f t="shared" si="0"/>
        <v>15442.63</v>
      </c>
      <c r="E30" s="68">
        <f t="shared" si="1"/>
        <v>8355.3700000000008</v>
      </c>
      <c r="F30" s="47">
        <f t="shared" si="5"/>
        <v>655851.26</v>
      </c>
      <c r="G30" s="47">
        <f t="shared" si="2"/>
        <v>640408.63</v>
      </c>
    </row>
    <row r="31" spans="1:7" x14ac:dyDescent="0.25">
      <c r="A31" s="54">
        <v>42709</v>
      </c>
      <c r="B31" s="46">
        <f t="shared" si="4"/>
        <v>30</v>
      </c>
      <c r="C31" s="47">
        <f t="shared" si="3"/>
        <v>23798</v>
      </c>
      <c r="D31" s="48">
        <f t="shared" si="0"/>
        <v>15902.55</v>
      </c>
      <c r="E31" s="68">
        <f t="shared" si="1"/>
        <v>7895.45</v>
      </c>
      <c r="F31" s="47">
        <f t="shared" si="5"/>
        <v>640408.63</v>
      </c>
      <c r="G31" s="47">
        <f t="shared" si="2"/>
        <v>624506.07999999996</v>
      </c>
    </row>
    <row r="32" spans="1:7" x14ac:dyDescent="0.25">
      <c r="A32" s="54">
        <v>42740</v>
      </c>
      <c r="B32" s="46">
        <f t="shared" si="4"/>
        <v>31</v>
      </c>
      <c r="C32" s="47">
        <f t="shared" si="3"/>
        <v>23798</v>
      </c>
      <c r="D32" s="48">
        <f t="shared" si="0"/>
        <v>15841.96</v>
      </c>
      <c r="E32" s="68">
        <f t="shared" si="1"/>
        <v>7956.04</v>
      </c>
      <c r="F32" s="47">
        <f t="shared" si="5"/>
        <v>624506.07999999996</v>
      </c>
      <c r="G32" s="47">
        <f t="shared" si="2"/>
        <v>608664.12</v>
      </c>
    </row>
    <row r="33" spans="1:7" x14ac:dyDescent="0.25">
      <c r="A33" s="54">
        <v>42771</v>
      </c>
      <c r="B33" s="46">
        <f t="shared" si="4"/>
        <v>31</v>
      </c>
      <c r="C33" s="47">
        <f t="shared" si="3"/>
        <v>23798</v>
      </c>
      <c r="D33" s="48">
        <f t="shared" si="0"/>
        <v>16043.79</v>
      </c>
      <c r="E33" s="68">
        <f t="shared" si="1"/>
        <v>7754.21</v>
      </c>
      <c r="F33" s="47">
        <f t="shared" si="5"/>
        <v>608664.12</v>
      </c>
      <c r="G33" s="47">
        <f t="shared" si="2"/>
        <v>592620.32999999996</v>
      </c>
    </row>
    <row r="34" spans="1:7" x14ac:dyDescent="0.25">
      <c r="A34" s="54">
        <v>42799</v>
      </c>
      <c r="B34" s="46">
        <f t="shared" si="4"/>
        <v>28</v>
      </c>
      <c r="C34" s="47">
        <f t="shared" si="3"/>
        <v>23798</v>
      </c>
      <c r="D34" s="48">
        <f t="shared" si="0"/>
        <v>16978.810000000001</v>
      </c>
      <c r="E34" s="68">
        <f t="shared" si="1"/>
        <v>6819.19</v>
      </c>
      <c r="F34" s="47">
        <f t="shared" si="5"/>
        <v>592620.32999999996</v>
      </c>
      <c r="G34" s="47">
        <f t="shared" si="2"/>
        <v>575641.5199999999</v>
      </c>
    </row>
    <row r="35" spans="1:7" x14ac:dyDescent="0.25">
      <c r="A35" s="54">
        <v>42830</v>
      </c>
      <c r="B35" s="46">
        <f t="shared" si="4"/>
        <v>31</v>
      </c>
      <c r="C35" s="47">
        <f t="shared" si="3"/>
        <v>23798</v>
      </c>
      <c r="D35" s="48">
        <f t="shared" si="0"/>
        <v>16464.48</v>
      </c>
      <c r="E35" s="68">
        <f t="shared" si="1"/>
        <v>7333.52</v>
      </c>
      <c r="F35" s="47">
        <f t="shared" si="5"/>
        <v>575641.5199999999</v>
      </c>
      <c r="G35" s="47">
        <f t="shared" si="2"/>
        <v>559177.03999999992</v>
      </c>
    </row>
    <row r="36" spans="1:7" x14ac:dyDescent="0.25">
      <c r="A36" s="54">
        <v>42860</v>
      </c>
      <c r="B36" s="46">
        <f t="shared" si="4"/>
        <v>30</v>
      </c>
      <c r="C36" s="47">
        <f t="shared" si="3"/>
        <v>23798</v>
      </c>
      <c r="D36" s="48">
        <f t="shared" si="0"/>
        <v>16904.04</v>
      </c>
      <c r="E36" s="68">
        <f t="shared" si="1"/>
        <v>6893.96</v>
      </c>
      <c r="F36" s="47">
        <f t="shared" si="5"/>
        <v>559177.03999999992</v>
      </c>
      <c r="G36" s="47">
        <f t="shared" si="2"/>
        <v>542272.99999999988</v>
      </c>
    </row>
    <row r="37" spans="1:7" x14ac:dyDescent="0.25">
      <c r="A37" s="54">
        <v>42891</v>
      </c>
      <c r="B37" s="46">
        <f t="shared" si="4"/>
        <v>31</v>
      </c>
      <c r="C37" s="47">
        <f t="shared" si="3"/>
        <v>23798</v>
      </c>
      <c r="D37" s="48">
        <f t="shared" si="0"/>
        <v>16889.59</v>
      </c>
      <c r="E37" s="68">
        <f t="shared" si="1"/>
        <v>6908.41</v>
      </c>
      <c r="F37" s="47">
        <f t="shared" si="5"/>
        <v>542272.99999999988</v>
      </c>
      <c r="G37" s="47">
        <f t="shared" si="2"/>
        <v>525383.40999999992</v>
      </c>
    </row>
    <row r="38" spans="1:7" x14ac:dyDescent="0.25">
      <c r="A38" s="54">
        <v>42921</v>
      </c>
      <c r="B38" s="46">
        <f t="shared" si="4"/>
        <v>30</v>
      </c>
      <c r="C38" s="47">
        <f t="shared" si="3"/>
        <v>23798</v>
      </c>
      <c r="D38" s="48">
        <f t="shared" si="0"/>
        <v>17320.669999999998</v>
      </c>
      <c r="E38" s="68">
        <f t="shared" si="1"/>
        <v>6477.33</v>
      </c>
      <c r="F38" s="47">
        <f t="shared" si="5"/>
        <v>525383.40999999992</v>
      </c>
      <c r="G38" s="47">
        <f t="shared" si="2"/>
        <v>508062.73999999993</v>
      </c>
    </row>
    <row r="39" spans="1:7" x14ac:dyDescent="0.25">
      <c r="A39" s="54">
        <v>42952</v>
      </c>
      <c r="B39" s="46">
        <f t="shared" si="4"/>
        <v>31</v>
      </c>
      <c r="C39" s="47">
        <f t="shared" si="3"/>
        <v>23798</v>
      </c>
      <c r="D39" s="48">
        <f t="shared" si="0"/>
        <v>17325.419999999998</v>
      </c>
      <c r="E39" s="68">
        <f t="shared" si="1"/>
        <v>6472.58</v>
      </c>
      <c r="F39" s="47">
        <f t="shared" si="5"/>
        <v>508062.73999999993</v>
      </c>
      <c r="G39" s="47">
        <f t="shared" si="2"/>
        <v>490737.31999999995</v>
      </c>
    </row>
    <row r="40" spans="1:7" x14ac:dyDescent="0.25">
      <c r="A40" s="54">
        <v>42983</v>
      </c>
      <c r="B40" s="46">
        <f t="shared" si="4"/>
        <v>31</v>
      </c>
      <c r="C40" s="47">
        <f t="shared" si="3"/>
        <v>23798</v>
      </c>
      <c r="D40" s="48">
        <f t="shared" si="0"/>
        <v>17546.14</v>
      </c>
      <c r="E40" s="68">
        <f t="shared" si="1"/>
        <v>6251.86</v>
      </c>
      <c r="F40" s="47">
        <f t="shared" si="5"/>
        <v>490737.31999999995</v>
      </c>
      <c r="G40" s="47">
        <f t="shared" si="2"/>
        <v>473191.17999999993</v>
      </c>
    </row>
    <row r="41" spans="1:7" x14ac:dyDescent="0.25">
      <c r="A41" s="54">
        <v>43013</v>
      </c>
      <c r="B41" s="46">
        <f t="shared" si="4"/>
        <v>30</v>
      </c>
      <c r="C41" s="47">
        <f t="shared" si="3"/>
        <v>23798</v>
      </c>
      <c r="D41" s="48">
        <f t="shared" si="0"/>
        <v>17964.14</v>
      </c>
      <c r="E41" s="68">
        <f t="shared" si="1"/>
        <v>5833.86</v>
      </c>
      <c r="F41" s="47">
        <f t="shared" si="5"/>
        <v>473191.17999999993</v>
      </c>
      <c r="G41" s="47">
        <f t="shared" si="2"/>
        <v>455227.03999999992</v>
      </c>
    </row>
    <row r="42" spans="1:7" x14ac:dyDescent="0.25">
      <c r="A42" s="54">
        <v>43044</v>
      </c>
      <c r="B42" s="46">
        <f t="shared" si="4"/>
        <v>31</v>
      </c>
      <c r="C42" s="47">
        <f t="shared" si="3"/>
        <v>23798</v>
      </c>
      <c r="D42" s="48">
        <f t="shared" si="0"/>
        <v>17998.53</v>
      </c>
      <c r="E42" s="68">
        <f t="shared" si="1"/>
        <v>5799.47</v>
      </c>
      <c r="F42" s="47">
        <f t="shared" si="5"/>
        <v>455227.03999999992</v>
      </c>
      <c r="G42" s="47">
        <f t="shared" si="2"/>
        <v>437228.50999999989</v>
      </c>
    </row>
    <row r="43" spans="1:7" x14ac:dyDescent="0.25">
      <c r="A43" s="54">
        <v>43074</v>
      </c>
      <c r="B43" s="46">
        <f t="shared" si="4"/>
        <v>30</v>
      </c>
      <c r="C43" s="47">
        <f t="shared" si="3"/>
        <v>23798</v>
      </c>
      <c r="D43" s="48">
        <f t="shared" si="0"/>
        <v>18407.510000000002</v>
      </c>
      <c r="E43" s="68">
        <f t="shared" si="1"/>
        <v>5390.49</v>
      </c>
      <c r="F43" s="47">
        <f t="shared" si="5"/>
        <v>437228.50999999989</v>
      </c>
      <c r="G43" s="47">
        <f t="shared" si="2"/>
        <v>418820.99999999988</v>
      </c>
    </row>
    <row r="44" spans="1:7" x14ac:dyDescent="0.25">
      <c r="A44" s="54">
        <v>43105</v>
      </c>
      <c r="B44" s="46">
        <f t="shared" si="4"/>
        <v>31</v>
      </c>
      <c r="C44" s="47">
        <f t="shared" si="3"/>
        <v>23798</v>
      </c>
      <c r="D44" s="48">
        <f t="shared" si="0"/>
        <v>18462.34</v>
      </c>
      <c r="E44" s="68">
        <f t="shared" si="1"/>
        <v>5335.66</v>
      </c>
      <c r="F44" s="47">
        <f t="shared" si="5"/>
        <v>418820.99999999988</v>
      </c>
      <c r="G44" s="47">
        <f t="shared" si="2"/>
        <v>400358.65999999986</v>
      </c>
    </row>
    <row r="45" spans="1:7" x14ac:dyDescent="0.25">
      <c r="A45" s="54">
        <v>43136</v>
      </c>
      <c r="B45" s="46">
        <f t="shared" si="4"/>
        <v>31</v>
      </c>
      <c r="C45" s="47">
        <f t="shared" si="3"/>
        <v>23798</v>
      </c>
      <c r="D45" s="48">
        <f t="shared" si="0"/>
        <v>18697.54</v>
      </c>
      <c r="E45" s="68">
        <f t="shared" si="1"/>
        <v>5100.46</v>
      </c>
      <c r="F45" s="47">
        <f t="shared" si="5"/>
        <v>400358.65999999986</v>
      </c>
      <c r="G45" s="47">
        <f t="shared" si="2"/>
        <v>381661.11999999988</v>
      </c>
    </row>
    <row r="46" spans="1:7" x14ac:dyDescent="0.25">
      <c r="A46" s="54">
        <v>43164</v>
      </c>
      <c r="B46" s="46">
        <f t="shared" si="4"/>
        <v>28</v>
      </c>
      <c r="C46" s="47">
        <f t="shared" si="3"/>
        <v>23798</v>
      </c>
      <c r="D46" s="48">
        <f t="shared" si="0"/>
        <v>19406.28</v>
      </c>
      <c r="E46" s="68">
        <f t="shared" si="1"/>
        <v>4391.72</v>
      </c>
      <c r="F46" s="47">
        <f t="shared" si="5"/>
        <v>381661.11999999988</v>
      </c>
      <c r="G46" s="47">
        <f t="shared" si="2"/>
        <v>362254.83999999985</v>
      </c>
    </row>
    <row r="47" spans="1:7" x14ac:dyDescent="0.25">
      <c r="A47" s="54">
        <v>43195</v>
      </c>
      <c r="B47" s="46">
        <f t="shared" si="4"/>
        <v>31</v>
      </c>
      <c r="C47" s="47">
        <f t="shared" si="3"/>
        <v>23798</v>
      </c>
      <c r="D47" s="48">
        <f t="shared" si="0"/>
        <v>19182.97</v>
      </c>
      <c r="E47" s="68">
        <f t="shared" si="1"/>
        <v>4615.03</v>
      </c>
      <c r="F47" s="47">
        <f t="shared" si="5"/>
        <v>362254.83999999985</v>
      </c>
      <c r="G47" s="47">
        <f t="shared" si="2"/>
        <v>343071.86999999988</v>
      </c>
    </row>
    <row r="48" spans="1:7" x14ac:dyDescent="0.25">
      <c r="A48" s="54">
        <v>43225</v>
      </c>
      <c r="B48" s="46">
        <f t="shared" si="4"/>
        <v>30</v>
      </c>
      <c r="C48" s="47">
        <f t="shared" si="3"/>
        <v>23798</v>
      </c>
      <c r="D48" s="48">
        <f t="shared" si="0"/>
        <v>19568.349999999999</v>
      </c>
      <c r="E48" s="68">
        <f t="shared" si="1"/>
        <v>4229.6499999999996</v>
      </c>
      <c r="F48" s="47">
        <f t="shared" si="5"/>
        <v>343071.86999999988</v>
      </c>
      <c r="G48" s="47">
        <f t="shared" si="2"/>
        <v>323503.5199999999</v>
      </c>
    </row>
    <row r="49" spans="1:7" x14ac:dyDescent="0.25">
      <c r="A49" s="54">
        <v>43256</v>
      </c>
      <c r="B49" s="46">
        <f t="shared" si="4"/>
        <v>31</v>
      </c>
      <c r="C49" s="47">
        <f t="shared" si="3"/>
        <v>23798</v>
      </c>
      <c r="D49" s="48">
        <f t="shared" si="0"/>
        <v>19676.650000000001</v>
      </c>
      <c r="E49" s="68">
        <f t="shared" si="1"/>
        <v>4121.3500000000004</v>
      </c>
      <c r="F49" s="47">
        <f t="shared" si="5"/>
        <v>323503.5199999999</v>
      </c>
      <c r="G49" s="47">
        <f t="shared" si="2"/>
        <v>303826.86999999988</v>
      </c>
    </row>
    <row r="50" spans="1:7" x14ac:dyDescent="0.25">
      <c r="A50" s="54">
        <v>43286</v>
      </c>
      <c r="B50" s="46">
        <f t="shared" si="4"/>
        <v>30</v>
      </c>
      <c r="C50" s="47">
        <f t="shared" si="3"/>
        <v>23798</v>
      </c>
      <c r="D50" s="48">
        <f t="shared" si="0"/>
        <v>20052.189999999999</v>
      </c>
      <c r="E50" s="68">
        <f t="shared" si="1"/>
        <v>3745.81</v>
      </c>
      <c r="F50" s="47">
        <f t="shared" si="5"/>
        <v>303826.86999999988</v>
      </c>
      <c r="G50" s="47">
        <f t="shared" si="2"/>
        <v>283774.67999999988</v>
      </c>
    </row>
    <row r="51" spans="1:7" x14ac:dyDescent="0.25">
      <c r="A51" s="54">
        <v>43317</v>
      </c>
      <c r="B51" s="46">
        <f t="shared" si="4"/>
        <v>31</v>
      </c>
      <c r="C51" s="47">
        <f t="shared" si="3"/>
        <v>23798</v>
      </c>
      <c r="D51" s="48">
        <f t="shared" si="0"/>
        <v>20182.79</v>
      </c>
      <c r="E51" s="68">
        <f t="shared" si="1"/>
        <v>3615.21</v>
      </c>
      <c r="F51" s="47">
        <f t="shared" si="5"/>
        <v>283774.67999999988</v>
      </c>
      <c r="G51" s="47">
        <f t="shared" si="2"/>
        <v>263591.8899999999</v>
      </c>
    </row>
    <row r="52" spans="1:7" x14ac:dyDescent="0.25">
      <c r="A52" s="54">
        <v>43348</v>
      </c>
      <c r="B52" s="46">
        <f t="shared" si="4"/>
        <v>31</v>
      </c>
      <c r="C52" s="47">
        <f t="shared" si="3"/>
        <v>23798</v>
      </c>
      <c r="D52" s="48">
        <f t="shared" si="0"/>
        <v>20439.91</v>
      </c>
      <c r="E52" s="68">
        <f t="shared" si="1"/>
        <v>3358.09</v>
      </c>
      <c r="F52" s="47">
        <f t="shared" si="5"/>
        <v>263591.8899999999</v>
      </c>
      <c r="G52" s="47">
        <f t="shared" si="2"/>
        <v>243151.97999999989</v>
      </c>
    </row>
    <row r="53" spans="1:7" x14ac:dyDescent="0.25">
      <c r="A53" s="54">
        <v>43378</v>
      </c>
      <c r="B53" s="46">
        <f t="shared" si="4"/>
        <v>30</v>
      </c>
      <c r="C53" s="47">
        <f t="shared" si="3"/>
        <v>23798</v>
      </c>
      <c r="D53" s="48">
        <f t="shared" si="0"/>
        <v>20800.239999999998</v>
      </c>
      <c r="E53" s="68">
        <f t="shared" si="1"/>
        <v>2997.76</v>
      </c>
      <c r="F53" s="47">
        <f t="shared" si="5"/>
        <v>243151.97999999989</v>
      </c>
      <c r="G53" s="47">
        <f t="shared" si="2"/>
        <v>222351.7399999999</v>
      </c>
    </row>
    <row r="54" spans="1:7" x14ac:dyDescent="0.25">
      <c r="A54" s="54">
        <v>43409</v>
      </c>
      <c r="B54" s="46">
        <f t="shared" si="4"/>
        <v>31</v>
      </c>
      <c r="C54" s="47">
        <f t="shared" si="3"/>
        <v>23798</v>
      </c>
      <c r="D54" s="48">
        <f t="shared" si="0"/>
        <v>20965.3</v>
      </c>
      <c r="E54" s="68">
        <f t="shared" si="1"/>
        <v>2832.7</v>
      </c>
      <c r="F54" s="47">
        <f t="shared" si="5"/>
        <v>222351.7399999999</v>
      </c>
      <c r="G54" s="47">
        <f t="shared" si="2"/>
        <v>201386.43999999992</v>
      </c>
    </row>
    <row r="55" spans="1:7" x14ac:dyDescent="0.25">
      <c r="A55" s="54">
        <v>43439</v>
      </c>
      <c r="B55" s="46">
        <f t="shared" si="4"/>
        <v>30</v>
      </c>
      <c r="C55" s="47">
        <f t="shared" si="3"/>
        <v>23798</v>
      </c>
      <c r="D55" s="48">
        <f t="shared" si="0"/>
        <v>21315.15</v>
      </c>
      <c r="E55" s="68">
        <f t="shared" si="1"/>
        <v>2482.85</v>
      </c>
      <c r="F55" s="47">
        <f t="shared" si="5"/>
        <v>201386.43999999992</v>
      </c>
      <c r="G55" s="47">
        <f t="shared" si="2"/>
        <v>180071.28999999992</v>
      </c>
    </row>
    <row r="56" spans="1:7" x14ac:dyDescent="0.25">
      <c r="A56" s="54">
        <v>43470</v>
      </c>
      <c r="B56" s="46">
        <f t="shared" si="4"/>
        <v>31</v>
      </c>
      <c r="C56" s="47">
        <f t="shared" si="3"/>
        <v>23798</v>
      </c>
      <c r="D56" s="48">
        <f t="shared" si="0"/>
        <v>21503.94</v>
      </c>
      <c r="E56" s="68">
        <f t="shared" si="1"/>
        <v>2294.06</v>
      </c>
      <c r="F56" s="47">
        <f t="shared" si="5"/>
        <v>180071.28999999992</v>
      </c>
      <c r="G56" s="47">
        <f t="shared" si="2"/>
        <v>158567.34999999992</v>
      </c>
    </row>
    <row r="57" spans="1:7" x14ac:dyDescent="0.25">
      <c r="A57" s="54">
        <v>43501</v>
      </c>
      <c r="B57" s="46">
        <f t="shared" si="4"/>
        <v>31</v>
      </c>
      <c r="C57" s="47">
        <f t="shared" si="3"/>
        <v>23798</v>
      </c>
      <c r="D57" s="48">
        <f t="shared" si="0"/>
        <v>21777.9</v>
      </c>
      <c r="E57" s="68">
        <f t="shared" si="1"/>
        <v>2020.1</v>
      </c>
      <c r="F57" s="47">
        <f t="shared" si="5"/>
        <v>158567.34999999992</v>
      </c>
      <c r="G57" s="47">
        <f t="shared" si="2"/>
        <v>136789.44999999992</v>
      </c>
    </row>
    <row r="58" spans="1:7" x14ac:dyDescent="0.25">
      <c r="A58" s="54">
        <v>43529</v>
      </c>
      <c r="B58" s="46">
        <f t="shared" si="4"/>
        <v>28</v>
      </c>
      <c r="C58" s="47">
        <f t="shared" si="3"/>
        <v>23798</v>
      </c>
      <c r="D58" s="48">
        <f t="shared" si="0"/>
        <v>22223.98</v>
      </c>
      <c r="E58" s="68">
        <f t="shared" si="1"/>
        <v>1574.02</v>
      </c>
      <c r="F58" s="47">
        <f t="shared" si="5"/>
        <v>136789.44999999992</v>
      </c>
      <c r="G58" s="47">
        <f t="shared" si="2"/>
        <v>114565.46999999993</v>
      </c>
    </row>
    <row r="59" spans="1:7" x14ac:dyDescent="0.25">
      <c r="A59" s="54">
        <v>43560</v>
      </c>
      <c r="B59" s="46">
        <f t="shared" si="4"/>
        <v>31</v>
      </c>
      <c r="C59" s="47">
        <f t="shared" si="3"/>
        <v>23798</v>
      </c>
      <c r="D59" s="48">
        <f t="shared" si="0"/>
        <v>22338.47</v>
      </c>
      <c r="E59" s="68">
        <f t="shared" si="1"/>
        <v>1459.53</v>
      </c>
      <c r="F59" s="47">
        <f t="shared" si="5"/>
        <v>114565.46999999993</v>
      </c>
      <c r="G59" s="47">
        <f t="shared" si="2"/>
        <v>92226.999999999927</v>
      </c>
    </row>
    <row r="60" spans="1:7" x14ac:dyDescent="0.25">
      <c r="A60" s="54">
        <v>43590</v>
      </c>
      <c r="B60" s="46">
        <f t="shared" si="4"/>
        <v>30</v>
      </c>
      <c r="C60" s="47">
        <f t="shared" si="3"/>
        <v>23798</v>
      </c>
      <c r="D60" s="48">
        <f t="shared" si="0"/>
        <v>22660.95</v>
      </c>
      <c r="E60" s="68">
        <f t="shared" si="1"/>
        <v>1137.05</v>
      </c>
      <c r="F60" s="47">
        <f t="shared" si="5"/>
        <v>92226.999999999927</v>
      </c>
      <c r="G60" s="47">
        <f t="shared" si="2"/>
        <v>69566.04999999993</v>
      </c>
    </row>
    <row r="61" spans="1:7" x14ac:dyDescent="0.25">
      <c r="A61" s="54">
        <v>43621</v>
      </c>
      <c r="B61" s="46">
        <f t="shared" si="4"/>
        <v>31</v>
      </c>
      <c r="C61" s="47">
        <f t="shared" si="3"/>
        <v>23798</v>
      </c>
      <c r="D61" s="48">
        <f t="shared" si="0"/>
        <v>22911.75</v>
      </c>
      <c r="E61" s="68">
        <f t="shared" si="1"/>
        <v>886.25</v>
      </c>
      <c r="F61" s="47">
        <f t="shared" si="5"/>
        <v>69566.04999999993</v>
      </c>
      <c r="G61" s="47">
        <f t="shared" si="2"/>
        <v>46654.29999999993</v>
      </c>
    </row>
    <row r="62" spans="1:7" x14ac:dyDescent="0.25">
      <c r="A62" s="54">
        <v>43651</v>
      </c>
      <c r="B62" s="46">
        <f t="shared" si="4"/>
        <v>30</v>
      </c>
      <c r="C62" s="47">
        <f t="shared" si="3"/>
        <v>23798</v>
      </c>
      <c r="D62" s="48">
        <f t="shared" si="0"/>
        <v>23222.81</v>
      </c>
      <c r="E62" s="68">
        <f t="shared" si="1"/>
        <v>575.19000000000005</v>
      </c>
      <c r="F62" s="47">
        <f t="shared" si="5"/>
        <v>46654.29999999993</v>
      </c>
      <c r="G62" s="47">
        <f t="shared" si="2"/>
        <v>23431.489999999929</v>
      </c>
    </row>
    <row r="63" spans="1:7" x14ac:dyDescent="0.25">
      <c r="A63" s="54">
        <v>43682</v>
      </c>
      <c r="B63" s="46">
        <f t="shared" si="4"/>
        <v>31</v>
      </c>
      <c r="C63" s="47">
        <f t="shared" si="3"/>
        <v>23798</v>
      </c>
      <c r="D63" s="48">
        <f t="shared" si="0"/>
        <v>23431.489999999929</v>
      </c>
      <c r="E63" s="68">
        <v>366.51000000007275</v>
      </c>
      <c r="F63" s="47">
        <f t="shared" si="5"/>
        <v>23431.489999999929</v>
      </c>
      <c r="G63" s="47">
        <f t="shared" si="2"/>
        <v>0</v>
      </c>
    </row>
    <row r="64" spans="1:7" x14ac:dyDescent="0.25">
      <c r="A64" s="70">
        <v>42009</v>
      </c>
      <c r="B64" s="46">
        <f>A8-A7</f>
        <v>31</v>
      </c>
      <c r="C64" s="47">
        <f t="shared" si="3"/>
        <v>23798</v>
      </c>
      <c r="D64" s="48">
        <f>C8-E8</f>
        <v>11643.02</v>
      </c>
      <c r="E64" s="68">
        <f>ROUND(F8*$B$2*B8/365,2)</f>
        <v>12154.98</v>
      </c>
      <c r="F64" s="47">
        <f>G7</f>
        <v>954100.61</v>
      </c>
      <c r="G64" s="47">
        <f t="shared" si="2"/>
        <v>942457.59</v>
      </c>
    </row>
    <row r="65" spans="1:7" x14ac:dyDescent="0.25">
      <c r="A65" s="70">
        <v>42040</v>
      </c>
      <c r="B65" s="84">
        <f t="shared" si="4"/>
        <v>31</v>
      </c>
      <c r="C65" s="90">
        <f t="shared" ref="C65:C68" si="6">$H$1</f>
        <v>21431</v>
      </c>
      <c r="D65" s="91">
        <f t="shared" ref="D65:D107" si="7">C65-E65</f>
        <v>13426.57</v>
      </c>
      <c r="E65" s="90">
        <f>ROUND(F65*$J$1*B65/365,2)</f>
        <v>8004.43</v>
      </c>
      <c r="F65" s="90">
        <f t="shared" si="5"/>
        <v>942457.59</v>
      </c>
      <c r="G65" s="90">
        <f t="shared" si="2"/>
        <v>929031.02</v>
      </c>
    </row>
    <row r="66" spans="1:7" x14ac:dyDescent="0.25">
      <c r="A66" s="70">
        <v>42068</v>
      </c>
      <c r="B66" s="46">
        <f t="shared" si="4"/>
        <v>28</v>
      </c>
      <c r="C66" s="47">
        <f t="shared" si="6"/>
        <v>21431</v>
      </c>
      <c r="D66" s="48">
        <f t="shared" si="7"/>
        <v>14304.189999999999</v>
      </c>
      <c r="E66" s="68">
        <f t="shared" ref="E66:E106" si="8">ROUND(F66*$J$1*B66/365,2)</f>
        <v>7126.81</v>
      </c>
      <c r="F66" s="47">
        <f t="shared" si="5"/>
        <v>929031.02</v>
      </c>
      <c r="G66" s="47">
        <f t="shared" si="2"/>
        <v>914726.83000000007</v>
      </c>
    </row>
    <row r="67" spans="1:7" x14ac:dyDescent="0.25">
      <c r="A67" s="70">
        <v>42099</v>
      </c>
      <c r="B67" s="46">
        <f t="shared" si="4"/>
        <v>31</v>
      </c>
      <c r="C67" s="47">
        <f t="shared" si="6"/>
        <v>21431</v>
      </c>
      <c r="D67" s="48">
        <f t="shared" si="7"/>
        <v>13662.09</v>
      </c>
      <c r="E67" s="68">
        <f t="shared" si="8"/>
        <v>7768.91</v>
      </c>
      <c r="F67" s="47">
        <f t="shared" si="5"/>
        <v>914726.83000000007</v>
      </c>
      <c r="G67" s="47">
        <f t="shared" si="2"/>
        <v>901064.74000000011</v>
      </c>
    </row>
    <row r="68" spans="1:7" x14ac:dyDescent="0.25">
      <c r="A68" s="70">
        <v>42129</v>
      </c>
      <c r="B68" s="46">
        <f t="shared" si="4"/>
        <v>30</v>
      </c>
      <c r="C68" s="47">
        <f t="shared" si="6"/>
        <v>21431</v>
      </c>
      <c r="D68" s="48">
        <f t="shared" si="7"/>
        <v>14024.99</v>
      </c>
      <c r="E68" s="68">
        <f t="shared" si="8"/>
        <v>7406.01</v>
      </c>
      <c r="F68" s="47">
        <f t="shared" si="5"/>
        <v>901064.74000000011</v>
      </c>
      <c r="G68" s="47">
        <f t="shared" ref="G68:G107" si="9">F68-D68</f>
        <v>887039.75000000012</v>
      </c>
    </row>
    <row r="69" spans="1:7" x14ac:dyDescent="0.25">
      <c r="A69" s="70">
        <v>42160</v>
      </c>
      <c r="B69" s="84">
        <f t="shared" si="4"/>
        <v>31</v>
      </c>
      <c r="C69" s="90">
        <f>$N$1</f>
        <v>20223</v>
      </c>
      <c r="D69" s="91">
        <f t="shared" si="7"/>
        <v>13113.9</v>
      </c>
      <c r="E69" s="90">
        <f t="shared" si="8"/>
        <v>7109.1</v>
      </c>
      <c r="F69" s="90">
        <f>G68-P1</f>
        <v>837039.75000000012</v>
      </c>
      <c r="G69" s="90">
        <f t="shared" si="9"/>
        <v>823925.85000000009</v>
      </c>
    </row>
    <row r="70" spans="1:7" x14ac:dyDescent="0.25">
      <c r="A70" s="70">
        <v>42190</v>
      </c>
      <c r="B70" s="46">
        <f t="shared" ref="B70:B107" si="10">A70-A69</f>
        <v>30</v>
      </c>
      <c r="C70" s="68">
        <f t="shared" ref="C70:C80" si="11">$N$1</f>
        <v>20223</v>
      </c>
      <c r="D70" s="48">
        <f t="shared" si="7"/>
        <v>13451.01</v>
      </c>
      <c r="E70" s="68">
        <f t="shared" si="8"/>
        <v>6771.99</v>
      </c>
      <c r="F70" s="47">
        <f t="shared" ref="F70:F107" si="12">G69</f>
        <v>823925.85000000009</v>
      </c>
      <c r="G70" s="47">
        <f t="shared" si="9"/>
        <v>810474.84000000008</v>
      </c>
    </row>
    <row r="71" spans="1:7" x14ac:dyDescent="0.25">
      <c r="A71" s="70">
        <v>42221</v>
      </c>
      <c r="B71" s="46">
        <f t="shared" si="10"/>
        <v>31</v>
      </c>
      <c r="C71" s="68">
        <f t="shared" si="11"/>
        <v>20223</v>
      </c>
      <c r="D71" s="48">
        <f t="shared" si="7"/>
        <v>13339.52</v>
      </c>
      <c r="E71" s="68">
        <f t="shared" si="8"/>
        <v>6883.48</v>
      </c>
      <c r="F71" s="47">
        <f t="shared" si="12"/>
        <v>810474.84000000008</v>
      </c>
      <c r="G71" s="47">
        <f t="shared" si="9"/>
        <v>797135.32000000007</v>
      </c>
    </row>
    <row r="72" spans="1:7" x14ac:dyDescent="0.25">
      <c r="A72" s="70">
        <v>42252</v>
      </c>
      <c r="B72" s="46">
        <f t="shared" si="10"/>
        <v>31</v>
      </c>
      <c r="C72" s="68">
        <f t="shared" si="11"/>
        <v>20223</v>
      </c>
      <c r="D72" s="48">
        <f t="shared" si="7"/>
        <v>13452.810000000001</v>
      </c>
      <c r="E72" s="68">
        <f t="shared" si="8"/>
        <v>6770.19</v>
      </c>
      <c r="F72" s="47">
        <f t="shared" si="12"/>
        <v>797135.32000000007</v>
      </c>
      <c r="G72" s="47">
        <f t="shared" si="9"/>
        <v>783682.51</v>
      </c>
    </row>
    <row r="73" spans="1:7" x14ac:dyDescent="0.25">
      <c r="A73" s="70">
        <v>42282</v>
      </c>
      <c r="B73" s="46">
        <f t="shared" si="10"/>
        <v>30</v>
      </c>
      <c r="C73" s="68">
        <f t="shared" si="11"/>
        <v>20223</v>
      </c>
      <c r="D73" s="48">
        <f t="shared" si="7"/>
        <v>13781.77</v>
      </c>
      <c r="E73" s="68">
        <f t="shared" si="8"/>
        <v>6441.23</v>
      </c>
      <c r="F73" s="47">
        <f t="shared" si="12"/>
        <v>783682.51</v>
      </c>
      <c r="G73" s="47">
        <f t="shared" si="9"/>
        <v>769900.74</v>
      </c>
    </row>
    <row r="74" spans="1:7" x14ac:dyDescent="0.25">
      <c r="A74" s="70">
        <v>42313</v>
      </c>
      <c r="B74" s="46">
        <f t="shared" si="10"/>
        <v>31</v>
      </c>
      <c r="C74" s="68">
        <f t="shared" si="11"/>
        <v>20223</v>
      </c>
      <c r="D74" s="48">
        <f t="shared" si="7"/>
        <v>13684.119999999999</v>
      </c>
      <c r="E74" s="68">
        <f t="shared" si="8"/>
        <v>6538.88</v>
      </c>
      <c r="F74" s="47">
        <f t="shared" si="12"/>
        <v>769900.74</v>
      </c>
      <c r="G74" s="47">
        <f t="shared" si="9"/>
        <v>756216.62</v>
      </c>
    </row>
    <row r="75" spans="1:7" x14ac:dyDescent="0.25">
      <c r="A75" s="70">
        <v>42343</v>
      </c>
      <c r="B75" s="46">
        <f t="shared" si="10"/>
        <v>30</v>
      </c>
      <c r="C75" s="68">
        <f t="shared" si="11"/>
        <v>20223</v>
      </c>
      <c r="D75" s="48">
        <f t="shared" si="7"/>
        <v>14007.52</v>
      </c>
      <c r="E75" s="68">
        <f t="shared" si="8"/>
        <v>6215.48</v>
      </c>
      <c r="F75" s="47">
        <f t="shared" si="12"/>
        <v>756216.62</v>
      </c>
      <c r="G75" s="47">
        <f t="shared" si="9"/>
        <v>742209.1</v>
      </c>
    </row>
    <row r="76" spans="1:7" x14ac:dyDescent="0.25">
      <c r="A76" s="70">
        <v>42374</v>
      </c>
      <c r="B76" s="46">
        <f t="shared" si="10"/>
        <v>31</v>
      </c>
      <c r="C76" s="68">
        <f t="shared" si="11"/>
        <v>20223</v>
      </c>
      <c r="D76" s="48">
        <f t="shared" si="7"/>
        <v>13919.310000000001</v>
      </c>
      <c r="E76" s="68">
        <f t="shared" si="8"/>
        <v>6303.69</v>
      </c>
      <c r="F76" s="47">
        <f t="shared" si="12"/>
        <v>742209.1</v>
      </c>
      <c r="G76" s="47">
        <f t="shared" si="9"/>
        <v>728289.78999999992</v>
      </c>
    </row>
    <row r="77" spans="1:7" x14ac:dyDescent="0.25">
      <c r="A77" s="70">
        <v>42405</v>
      </c>
      <c r="B77" s="46">
        <f t="shared" si="10"/>
        <v>31</v>
      </c>
      <c r="C77" s="68">
        <f t="shared" si="11"/>
        <v>20223</v>
      </c>
      <c r="D77" s="48">
        <f t="shared" si="7"/>
        <v>14037.529999999999</v>
      </c>
      <c r="E77" s="68">
        <f t="shared" si="8"/>
        <v>6185.47</v>
      </c>
      <c r="F77" s="47">
        <f t="shared" si="12"/>
        <v>728289.78999999992</v>
      </c>
      <c r="G77" s="47">
        <f t="shared" si="9"/>
        <v>714252.25999999989</v>
      </c>
    </row>
    <row r="78" spans="1:7" x14ac:dyDescent="0.25">
      <c r="A78" s="70">
        <v>42434</v>
      </c>
      <c r="B78" s="46">
        <f t="shared" si="10"/>
        <v>29</v>
      </c>
      <c r="C78" s="68">
        <f t="shared" si="11"/>
        <v>20223</v>
      </c>
      <c r="D78" s="48">
        <f t="shared" si="7"/>
        <v>14548.119999999999</v>
      </c>
      <c r="E78" s="68">
        <f t="shared" si="8"/>
        <v>5674.88</v>
      </c>
      <c r="F78" s="47">
        <f t="shared" si="12"/>
        <v>714252.25999999989</v>
      </c>
      <c r="G78" s="47">
        <f t="shared" si="9"/>
        <v>699704.1399999999</v>
      </c>
    </row>
    <row r="79" spans="1:7" x14ac:dyDescent="0.25">
      <c r="A79" s="70">
        <v>42465</v>
      </c>
      <c r="B79" s="46">
        <f t="shared" si="10"/>
        <v>31</v>
      </c>
      <c r="C79" s="68">
        <f t="shared" si="11"/>
        <v>20223</v>
      </c>
      <c r="D79" s="48">
        <f t="shared" si="7"/>
        <v>14280.310000000001</v>
      </c>
      <c r="E79" s="68">
        <f t="shared" si="8"/>
        <v>5942.69</v>
      </c>
      <c r="F79" s="47">
        <f t="shared" si="12"/>
        <v>699704.1399999999</v>
      </c>
      <c r="G79" s="47">
        <f t="shared" si="9"/>
        <v>685423.82999999984</v>
      </c>
    </row>
    <row r="80" spans="1:7" x14ac:dyDescent="0.25">
      <c r="A80" s="70">
        <v>42495</v>
      </c>
      <c r="B80" s="46">
        <f t="shared" si="10"/>
        <v>30</v>
      </c>
      <c r="C80" s="68">
        <f t="shared" si="11"/>
        <v>20223</v>
      </c>
      <c r="D80" s="48">
        <f t="shared" si="7"/>
        <v>14589.380000000001</v>
      </c>
      <c r="E80" s="68">
        <f t="shared" si="8"/>
        <v>5633.62</v>
      </c>
      <c r="F80" s="47">
        <f t="shared" si="12"/>
        <v>685423.82999999984</v>
      </c>
      <c r="G80" s="47">
        <f t="shared" si="9"/>
        <v>670834.44999999984</v>
      </c>
    </row>
    <row r="81" spans="1:7" x14ac:dyDescent="0.25">
      <c r="A81" s="70">
        <v>42526</v>
      </c>
      <c r="B81" s="84">
        <f t="shared" si="10"/>
        <v>31</v>
      </c>
      <c r="C81" s="90">
        <f>$F$2</f>
        <v>15000</v>
      </c>
      <c r="D81" s="91">
        <f t="shared" si="7"/>
        <v>9302.5</v>
      </c>
      <c r="E81" s="90">
        <f t="shared" si="8"/>
        <v>5697.5</v>
      </c>
      <c r="F81" s="90">
        <f t="shared" si="12"/>
        <v>670834.44999999984</v>
      </c>
      <c r="G81" s="90">
        <f t="shared" si="9"/>
        <v>661531.94999999984</v>
      </c>
    </row>
    <row r="82" spans="1:7" x14ac:dyDescent="0.25">
      <c r="A82" s="70">
        <v>42556</v>
      </c>
      <c r="B82" s="46">
        <f t="shared" si="10"/>
        <v>30</v>
      </c>
      <c r="C82" s="68">
        <f t="shared" ref="C82:C92" si="13">$F$2</f>
        <v>15000</v>
      </c>
      <c r="D82" s="48">
        <f t="shared" si="7"/>
        <v>9562.75</v>
      </c>
      <c r="E82" s="68">
        <f t="shared" si="8"/>
        <v>5437.25</v>
      </c>
      <c r="F82" s="47">
        <f t="shared" si="12"/>
        <v>661531.94999999984</v>
      </c>
      <c r="G82" s="47">
        <f t="shared" si="9"/>
        <v>651969.19999999984</v>
      </c>
    </row>
    <row r="83" spans="1:7" x14ac:dyDescent="0.25">
      <c r="A83" s="70">
        <v>42587</v>
      </c>
      <c r="B83" s="46">
        <f t="shared" si="10"/>
        <v>31</v>
      </c>
      <c r="C83" s="68">
        <f t="shared" si="13"/>
        <v>15000</v>
      </c>
      <c r="D83" s="48">
        <f t="shared" si="7"/>
        <v>9462.73</v>
      </c>
      <c r="E83" s="68">
        <f t="shared" si="8"/>
        <v>5537.27</v>
      </c>
      <c r="F83" s="47">
        <f t="shared" si="12"/>
        <v>651969.19999999984</v>
      </c>
      <c r="G83" s="47">
        <f t="shared" si="9"/>
        <v>642506.46999999986</v>
      </c>
    </row>
    <row r="84" spans="1:7" x14ac:dyDescent="0.25">
      <c r="A84" s="70">
        <v>42618</v>
      </c>
      <c r="B84" s="46">
        <f t="shared" si="10"/>
        <v>31</v>
      </c>
      <c r="C84" s="68">
        <f t="shared" si="13"/>
        <v>15000</v>
      </c>
      <c r="D84" s="48">
        <f t="shared" si="7"/>
        <v>9543.1</v>
      </c>
      <c r="E84" s="68">
        <f t="shared" si="8"/>
        <v>5456.9</v>
      </c>
      <c r="F84" s="47">
        <f t="shared" si="12"/>
        <v>642506.46999999986</v>
      </c>
      <c r="G84" s="47">
        <f t="shared" si="9"/>
        <v>632963.36999999988</v>
      </c>
    </row>
    <row r="85" spans="1:7" x14ac:dyDescent="0.25">
      <c r="A85" s="70">
        <v>42648</v>
      </c>
      <c r="B85" s="46">
        <f t="shared" si="10"/>
        <v>30</v>
      </c>
      <c r="C85" s="68">
        <f t="shared" si="13"/>
        <v>15000</v>
      </c>
      <c r="D85" s="48">
        <f t="shared" si="7"/>
        <v>9797.5600000000013</v>
      </c>
      <c r="E85" s="68">
        <f t="shared" si="8"/>
        <v>5202.4399999999996</v>
      </c>
      <c r="F85" s="47">
        <f t="shared" si="12"/>
        <v>632963.36999999988</v>
      </c>
      <c r="G85" s="47">
        <f t="shared" si="9"/>
        <v>623165.80999999982</v>
      </c>
    </row>
    <row r="86" spans="1:7" x14ac:dyDescent="0.25">
      <c r="A86" s="70">
        <v>42679</v>
      </c>
      <c r="B86" s="46">
        <f t="shared" si="10"/>
        <v>31</v>
      </c>
      <c r="C86" s="68">
        <f t="shared" si="13"/>
        <v>15000</v>
      </c>
      <c r="D86" s="48">
        <f t="shared" si="7"/>
        <v>9707.36</v>
      </c>
      <c r="E86" s="68">
        <f t="shared" si="8"/>
        <v>5292.64</v>
      </c>
      <c r="F86" s="47">
        <f t="shared" si="12"/>
        <v>623165.80999999982</v>
      </c>
      <c r="G86" s="47">
        <f t="shared" si="9"/>
        <v>613458.44999999984</v>
      </c>
    </row>
    <row r="87" spans="1:7" x14ac:dyDescent="0.25">
      <c r="A87" s="70">
        <v>42709</v>
      </c>
      <c r="B87" s="46">
        <f t="shared" si="10"/>
        <v>30</v>
      </c>
      <c r="C87" s="68">
        <f t="shared" si="13"/>
        <v>15000</v>
      </c>
      <c r="D87" s="48">
        <f t="shared" si="7"/>
        <v>9957.880000000001</v>
      </c>
      <c r="E87" s="68">
        <f t="shared" si="8"/>
        <v>5042.12</v>
      </c>
      <c r="F87" s="47">
        <f t="shared" si="12"/>
        <v>613458.44999999984</v>
      </c>
      <c r="G87" s="47">
        <f t="shared" si="9"/>
        <v>603500.56999999983</v>
      </c>
    </row>
    <row r="88" spans="1:7" x14ac:dyDescent="0.25">
      <c r="A88" s="70">
        <v>42740</v>
      </c>
      <c r="B88" s="46">
        <f t="shared" si="10"/>
        <v>31</v>
      </c>
      <c r="C88" s="68">
        <f t="shared" si="13"/>
        <v>15000</v>
      </c>
      <c r="D88" s="48">
        <f t="shared" si="7"/>
        <v>9874.380000000001</v>
      </c>
      <c r="E88" s="68">
        <f t="shared" si="8"/>
        <v>5125.62</v>
      </c>
      <c r="F88" s="47">
        <f t="shared" si="12"/>
        <v>603500.56999999983</v>
      </c>
      <c r="G88" s="47">
        <f t="shared" si="9"/>
        <v>593626.18999999983</v>
      </c>
    </row>
    <row r="89" spans="1:7" x14ac:dyDescent="0.25">
      <c r="A89" s="70">
        <v>42771</v>
      </c>
      <c r="B89" s="46">
        <f t="shared" si="10"/>
        <v>31</v>
      </c>
      <c r="C89" s="68">
        <f t="shared" si="13"/>
        <v>15000</v>
      </c>
      <c r="D89" s="48">
        <f t="shared" si="7"/>
        <v>9958.24</v>
      </c>
      <c r="E89" s="68">
        <f t="shared" si="8"/>
        <v>5041.76</v>
      </c>
      <c r="F89" s="47">
        <f t="shared" si="12"/>
        <v>593626.18999999983</v>
      </c>
      <c r="G89" s="47">
        <f t="shared" si="9"/>
        <v>583667.94999999984</v>
      </c>
    </row>
    <row r="90" spans="1:7" x14ac:dyDescent="0.25">
      <c r="A90" s="70">
        <v>42799</v>
      </c>
      <c r="B90" s="46">
        <f t="shared" si="10"/>
        <v>28</v>
      </c>
      <c r="C90" s="68">
        <f t="shared" si="13"/>
        <v>15000</v>
      </c>
      <c r="D90" s="48">
        <f t="shared" si="7"/>
        <v>10522.55</v>
      </c>
      <c r="E90" s="68">
        <f t="shared" si="8"/>
        <v>4477.45</v>
      </c>
      <c r="F90" s="47">
        <f t="shared" si="12"/>
        <v>583667.94999999984</v>
      </c>
      <c r="G90" s="47">
        <f t="shared" si="9"/>
        <v>573145.39999999979</v>
      </c>
    </row>
    <row r="91" spans="1:7" x14ac:dyDescent="0.25">
      <c r="A91" s="70">
        <v>42830</v>
      </c>
      <c r="B91" s="46">
        <f t="shared" si="10"/>
        <v>31</v>
      </c>
      <c r="C91" s="68">
        <f t="shared" si="13"/>
        <v>15000</v>
      </c>
      <c r="D91" s="48">
        <f t="shared" si="7"/>
        <v>10132.189999999999</v>
      </c>
      <c r="E91" s="68">
        <f t="shared" si="8"/>
        <v>4867.8100000000004</v>
      </c>
      <c r="F91" s="47">
        <f t="shared" si="12"/>
        <v>573145.39999999979</v>
      </c>
      <c r="G91" s="47">
        <f t="shared" si="9"/>
        <v>563013.20999999985</v>
      </c>
    </row>
    <row r="92" spans="1:7" x14ac:dyDescent="0.25">
      <c r="A92" s="70">
        <v>42860</v>
      </c>
      <c r="B92" s="46">
        <f t="shared" si="10"/>
        <v>30</v>
      </c>
      <c r="C92" s="68">
        <f t="shared" si="13"/>
        <v>15000</v>
      </c>
      <c r="D92" s="48">
        <f t="shared" si="7"/>
        <v>10372.49</v>
      </c>
      <c r="E92" s="68">
        <f t="shared" si="8"/>
        <v>4627.51</v>
      </c>
      <c r="F92" s="47">
        <f t="shared" si="12"/>
        <v>563013.20999999985</v>
      </c>
      <c r="G92" s="47">
        <f t="shared" si="9"/>
        <v>552640.71999999986</v>
      </c>
    </row>
    <row r="93" spans="1:7" x14ac:dyDescent="0.25">
      <c r="A93" s="70">
        <v>42891</v>
      </c>
      <c r="B93" s="46">
        <f t="shared" si="10"/>
        <v>31</v>
      </c>
      <c r="C93" s="47">
        <f>$J$2</f>
        <v>39356</v>
      </c>
      <c r="D93" s="48">
        <f t="shared" si="7"/>
        <v>34662.339999999997</v>
      </c>
      <c r="E93" s="68">
        <f t="shared" si="8"/>
        <v>4693.66</v>
      </c>
      <c r="F93" s="47">
        <f t="shared" si="12"/>
        <v>552640.71999999986</v>
      </c>
      <c r="G93" s="47">
        <f t="shared" si="9"/>
        <v>517978.37999999989</v>
      </c>
    </row>
    <row r="94" spans="1:7" x14ac:dyDescent="0.25">
      <c r="A94" s="70">
        <v>42921</v>
      </c>
      <c r="B94" s="46">
        <f t="shared" si="10"/>
        <v>30</v>
      </c>
      <c r="C94" s="47">
        <f t="shared" ref="C94:C107" si="14">$J$2</f>
        <v>39356</v>
      </c>
      <c r="D94" s="48">
        <f t="shared" si="7"/>
        <v>35098.639999999999</v>
      </c>
      <c r="E94" s="68">
        <f t="shared" si="8"/>
        <v>4257.3599999999997</v>
      </c>
      <c r="F94" s="47">
        <f t="shared" si="12"/>
        <v>517978.37999999989</v>
      </c>
      <c r="G94" s="47">
        <f t="shared" si="9"/>
        <v>482879.73999999987</v>
      </c>
    </row>
    <row r="95" spans="1:7" x14ac:dyDescent="0.25">
      <c r="A95" s="70">
        <v>42952</v>
      </c>
      <c r="B95" s="46">
        <f t="shared" si="10"/>
        <v>31</v>
      </c>
      <c r="C95" s="47">
        <f t="shared" si="14"/>
        <v>39356</v>
      </c>
      <c r="D95" s="48">
        <f t="shared" si="7"/>
        <v>35254.83</v>
      </c>
      <c r="E95" s="68">
        <f t="shared" si="8"/>
        <v>4101.17</v>
      </c>
      <c r="F95" s="47">
        <f t="shared" si="12"/>
        <v>482879.73999999987</v>
      </c>
      <c r="G95" s="47">
        <f t="shared" si="9"/>
        <v>447624.90999999986</v>
      </c>
    </row>
    <row r="96" spans="1:7" x14ac:dyDescent="0.25">
      <c r="A96" s="70">
        <v>42983</v>
      </c>
      <c r="B96" s="46">
        <f t="shared" si="10"/>
        <v>31</v>
      </c>
      <c r="C96" s="47">
        <f t="shared" si="14"/>
        <v>39356</v>
      </c>
      <c r="D96" s="48">
        <f t="shared" si="7"/>
        <v>35554.25</v>
      </c>
      <c r="E96" s="68">
        <f t="shared" si="8"/>
        <v>3801.75</v>
      </c>
      <c r="F96" s="47">
        <f t="shared" si="12"/>
        <v>447624.90999999986</v>
      </c>
      <c r="G96" s="47">
        <f t="shared" si="9"/>
        <v>412070.65999999986</v>
      </c>
    </row>
    <row r="97" spans="1:7" x14ac:dyDescent="0.25">
      <c r="A97" s="70">
        <v>43013</v>
      </c>
      <c r="B97" s="46">
        <f t="shared" si="10"/>
        <v>30</v>
      </c>
      <c r="C97" s="47">
        <f t="shared" si="14"/>
        <v>39356</v>
      </c>
      <c r="D97" s="48">
        <f t="shared" si="7"/>
        <v>35969.120000000003</v>
      </c>
      <c r="E97" s="68">
        <f t="shared" si="8"/>
        <v>3386.88</v>
      </c>
      <c r="F97" s="47">
        <f t="shared" si="12"/>
        <v>412070.65999999986</v>
      </c>
      <c r="G97" s="47">
        <f t="shared" si="9"/>
        <v>376101.53999999986</v>
      </c>
    </row>
    <row r="98" spans="1:7" x14ac:dyDescent="0.25">
      <c r="A98" s="70">
        <v>43044</v>
      </c>
      <c r="B98" s="46">
        <f t="shared" si="10"/>
        <v>31</v>
      </c>
      <c r="C98" s="47">
        <f t="shared" si="14"/>
        <v>39356</v>
      </c>
      <c r="D98" s="48">
        <f t="shared" si="7"/>
        <v>36161.71</v>
      </c>
      <c r="E98" s="68">
        <f t="shared" si="8"/>
        <v>3194.29</v>
      </c>
      <c r="F98" s="47">
        <f t="shared" si="12"/>
        <v>376101.53999999986</v>
      </c>
      <c r="G98" s="47">
        <f t="shared" si="9"/>
        <v>339939.82999999984</v>
      </c>
    </row>
    <row r="99" spans="1:7" x14ac:dyDescent="0.25">
      <c r="A99" s="70">
        <v>43074</v>
      </c>
      <c r="B99" s="46">
        <f t="shared" si="10"/>
        <v>30</v>
      </c>
      <c r="C99" s="47">
        <f t="shared" si="14"/>
        <v>39356</v>
      </c>
      <c r="D99" s="48">
        <f t="shared" si="7"/>
        <v>36561.97</v>
      </c>
      <c r="E99" s="68">
        <f t="shared" si="8"/>
        <v>2794.03</v>
      </c>
      <c r="F99" s="47">
        <f t="shared" si="12"/>
        <v>339939.82999999984</v>
      </c>
      <c r="G99" s="47">
        <f t="shared" si="9"/>
        <v>303377.85999999987</v>
      </c>
    </row>
    <row r="100" spans="1:7" x14ac:dyDescent="0.25">
      <c r="A100" s="70">
        <v>43105</v>
      </c>
      <c r="B100" s="46">
        <f t="shared" si="10"/>
        <v>31</v>
      </c>
      <c r="C100" s="47">
        <f t="shared" si="14"/>
        <v>39356</v>
      </c>
      <c r="D100" s="48">
        <f t="shared" si="7"/>
        <v>36779.370000000003</v>
      </c>
      <c r="E100" s="68">
        <f t="shared" si="8"/>
        <v>2576.63</v>
      </c>
      <c r="F100" s="47">
        <f t="shared" si="12"/>
        <v>303377.85999999987</v>
      </c>
      <c r="G100" s="47">
        <f t="shared" si="9"/>
        <v>266598.48999999987</v>
      </c>
    </row>
    <row r="101" spans="1:7" x14ac:dyDescent="0.25">
      <c r="A101" s="70">
        <v>43136</v>
      </c>
      <c r="B101" s="46">
        <f t="shared" si="10"/>
        <v>31</v>
      </c>
      <c r="C101" s="47">
        <f t="shared" si="14"/>
        <v>39356</v>
      </c>
      <c r="D101" s="48">
        <f t="shared" si="7"/>
        <v>37091.74</v>
      </c>
      <c r="E101" s="68">
        <f t="shared" si="8"/>
        <v>2264.2600000000002</v>
      </c>
      <c r="F101" s="47">
        <f t="shared" si="12"/>
        <v>266598.48999999987</v>
      </c>
      <c r="G101" s="47">
        <f t="shared" si="9"/>
        <v>229506.74999999988</v>
      </c>
    </row>
    <row r="102" spans="1:7" x14ac:dyDescent="0.25">
      <c r="A102" s="70">
        <v>43164</v>
      </c>
      <c r="B102" s="46">
        <f t="shared" si="10"/>
        <v>28</v>
      </c>
      <c r="C102" s="47">
        <f t="shared" si="14"/>
        <v>39356</v>
      </c>
      <c r="D102" s="48">
        <f t="shared" si="7"/>
        <v>37595.4</v>
      </c>
      <c r="E102" s="68">
        <f t="shared" si="8"/>
        <v>1760.6</v>
      </c>
      <c r="F102" s="47">
        <f t="shared" si="12"/>
        <v>229506.74999999988</v>
      </c>
      <c r="G102" s="47">
        <f t="shared" si="9"/>
        <v>191911.34999999989</v>
      </c>
    </row>
    <row r="103" spans="1:7" x14ac:dyDescent="0.25">
      <c r="A103" s="70">
        <v>43195</v>
      </c>
      <c r="B103" s="46">
        <f t="shared" si="10"/>
        <v>31</v>
      </c>
      <c r="C103" s="47">
        <f t="shared" si="14"/>
        <v>39356</v>
      </c>
      <c r="D103" s="48">
        <f t="shared" si="7"/>
        <v>37726.07</v>
      </c>
      <c r="E103" s="68">
        <f t="shared" si="8"/>
        <v>1629.93</v>
      </c>
      <c r="F103" s="47">
        <f t="shared" si="12"/>
        <v>191911.34999999989</v>
      </c>
      <c r="G103" s="47">
        <f t="shared" si="9"/>
        <v>154185.27999999988</v>
      </c>
    </row>
    <row r="104" spans="1:7" x14ac:dyDescent="0.25">
      <c r="A104" s="70">
        <v>43225</v>
      </c>
      <c r="B104" s="46">
        <f t="shared" si="10"/>
        <v>30</v>
      </c>
      <c r="C104" s="47">
        <f t="shared" si="14"/>
        <v>39356</v>
      </c>
      <c r="D104" s="48">
        <f t="shared" si="7"/>
        <v>38088.720000000001</v>
      </c>
      <c r="E104" s="68">
        <f t="shared" si="8"/>
        <v>1267.28</v>
      </c>
      <c r="F104" s="47">
        <f t="shared" si="12"/>
        <v>154185.27999999988</v>
      </c>
      <c r="G104" s="47">
        <f t="shared" si="9"/>
        <v>116096.55999999988</v>
      </c>
    </row>
    <row r="105" spans="1:7" x14ac:dyDescent="0.25">
      <c r="A105" s="70">
        <v>43256</v>
      </c>
      <c r="B105" s="46">
        <f t="shared" si="10"/>
        <v>31</v>
      </c>
      <c r="C105" s="47">
        <f t="shared" si="14"/>
        <v>39356</v>
      </c>
      <c r="D105" s="48">
        <f t="shared" si="7"/>
        <v>38369.97</v>
      </c>
      <c r="E105" s="68">
        <f t="shared" si="8"/>
        <v>986.03</v>
      </c>
      <c r="F105" s="47">
        <f t="shared" si="12"/>
        <v>116096.55999999988</v>
      </c>
      <c r="G105" s="47">
        <f t="shared" si="9"/>
        <v>77726.58999999988</v>
      </c>
    </row>
    <row r="106" spans="1:7" x14ac:dyDescent="0.25">
      <c r="A106" s="70">
        <v>43286</v>
      </c>
      <c r="B106" s="46">
        <f t="shared" si="10"/>
        <v>30</v>
      </c>
      <c r="C106" s="47">
        <f t="shared" si="14"/>
        <v>39356</v>
      </c>
      <c r="D106" s="48">
        <f t="shared" si="7"/>
        <v>38717.15</v>
      </c>
      <c r="E106" s="68">
        <f t="shared" si="8"/>
        <v>638.85</v>
      </c>
      <c r="F106" s="47">
        <f t="shared" si="12"/>
        <v>77726.58999999988</v>
      </c>
      <c r="G106" s="47">
        <f t="shared" si="9"/>
        <v>39009.439999999879</v>
      </c>
    </row>
    <row r="107" spans="1:7" x14ac:dyDescent="0.25">
      <c r="A107" s="70">
        <v>43317</v>
      </c>
      <c r="B107" s="46">
        <f t="shared" si="10"/>
        <v>31</v>
      </c>
      <c r="C107" s="47">
        <f t="shared" si="14"/>
        <v>39356</v>
      </c>
      <c r="D107" s="48">
        <f t="shared" si="7"/>
        <v>39009.439999999879</v>
      </c>
      <c r="E107" s="68">
        <v>346.56000000012369</v>
      </c>
      <c r="F107" s="47">
        <f t="shared" si="12"/>
        <v>39009.439999999879</v>
      </c>
      <c r="G107" s="47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637DCF-A85B-447A-BEDE-0AA72118C32F}">
  <dimension ref="A1:P107"/>
  <sheetViews>
    <sheetView zoomScale="85" zoomScaleNormal="85" workbookViewId="0">
      <pane ySplit="3" topLeftCell="A96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5.7109375" bestFit="1" customWidth="1"/>
    <col min="2" max="2" width="12.7109375" bestFit="1" customWidth="1"/>
    <col min="3" max="3" width="23.7109375" bestFit="1" customWidth="1"/>
    <col min="4" max="4" width="10.7109375" bestFit="1" customWidth="1"/>
    <col min="5" max="5" width="17.5703125" bestFit="1" customWidth="1"/>
    <col min="6" max="6" width="16" bestFit="1" customWidth="1"/>
    <col min="7" max="7" width="17.5703125" bestFit="1" customWidth="1"/>
    <col min="8" max="8" width="15.7109375" bestFit="1" customWidth="1"/>
    <col min="9" max="9" width="16.42578125" bestFit="1" customWidth="1"/>
    <col min="10" max="10" width="8.7109375" bestFit="1" customWidth="1"/>
    <col min="11" max="11" width="17.5703125" bestFit="1" customWidth="1"/>
    <col min="12" max="12" width="10.28515625" bestFit="1" customWidth="1"/>
    <col min="13" max="13" width="16.42578125" bestFit="1" customWidth="1"/>
    <col min="14" max="14" width="6.140625" bestFit="1" customWidth="1"/>
    <col min="15" max="15" width="15" bestFit="1" customWidth="1"/>
    <col min="16" max="16" width="6.140625" bestFit="1" customWidth="1"/>
  </cols>
  <sheetData>
    <row r="1" spans="1:16" x14ac:dyDescent="0.25">
      <c r="A1" s="17" t="s">
        <v>33</v>
      </c>
      <c r="B1" s="78">
        <v>41856</v>
      </c>
      <c r="C1" s="17" t="s">
        <v>37</v>
      </c>
      <c r="D1" s="79">
        <f>ROUNDUP(23789.5343079289,0)</f>
        <v>23790</v>
      </c>
      <c r="E1" s="73" t="s">
        <v>147</v>
      </c>
      <c r="F1" s="74">
        <v>42009</v>
      </c>
      <c r="G1" s="73" t="s">
        <v>150</v>
      </c>
      <c r="H1" s="79">
        <f>ROUNDUP(21423.509131071,0)</f>
        <v>21424</v>
      </c>
      <c r="I1" s="73" t="s">
        <v>175</v>
      </c>
      <c r="J1" s="87">
        <v>0.1</v>
      </c>
      <c r="K1" s="73" t="s">
        <v>148</v>
      </c>
      <c r="L1" s="74">
        <v>42129</v>
      </c>
      <c r="M1" s="73" t="s">
        <v>149</v>
      </c>
      <c r="N1" s="69">
        <f>ROUNDUP(20216.1092297972,0)</f>
        <v>20217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42495</v>
      </c>
      <c r="E2" s="73" t="s">
        <v>177</v>
      </c>
      <c r="F2" s="69">
        <v>15000</v>
      </c>
      <c r="G2" s="73" t="s">
        <v>173</v>
      </c>
      <c r="H2" s="74">
        <v>42860</v>
      </c>
      <c r="I2" s="73" t="s">
        <v>174</v>
      </c>
      <c r="J2" s="89">
        <f>ROUNDUP(39338.3579334102,0)</f>
        <v>39339</v>
      </c>
      <c r="K2" s="73" t="s">
        <v>178</v>
      </c>
      <c r="L2" s="88">
        <v>48</v>
      </c>
    </row>
    <row r="3" spans="1:16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6" x14ac:dyDescent="0.25">
      <c r="A4" s="36">
        <v>41887</v>
      </c>
      <c r="B4" s="46">
        <f>DAYS360(B1,A4,TRUE)</f>
        <v>30</v>
      </c>
      <c r="C4" s="47">
        <f>$D$1</f>
        <v>23790</v>
      </c>
      <c r="D4" s="48">
        <f t="shared" ref="D4:D63" si="0">C4-E4</f>
        <v>11290</v>
      </c>
      <c r="E4" s="68">
        <f>ROUND(F4*$B$2*B4/360,2)</f>
        <v>12500</v>
      </c>
      <c r="F4" s="47">
        <v>1000000</v>
      </c>
      <c r="G4" s="47">
        <f t="shared" ref="G4" si="1">F4-D4</f>
        <v>988710</v>
      </c>
    </row>
    <row r="5" spans="1:16" x14ac:dyDescent="0.25">
      <c r="A5" s="36">
        <v>41917</v>
      </c>
      <c r="B5" s="46">
        <f>DAYS360(A4,A5,TRUE)</f>
        <v>30</v>
      </c>
      <c r="C5" s="47">
        <f>$D$1</f>
        <v>23790</v>
      </c>
      <c r="D5" s="48">
        <f t="shared" si="0"/>
        <v>11431.12</v>
      </c>
      <c r="E5" s="68">
        <f>ROUND(F5*$B$2*B5/360,2)</f>
        <v>12358.88</v>
      </c>
      <c r="F5" s="47">
        <f>G4</f>
        <v>988710</v>
      </c>
      <c r="G5" s="47">
        <f>F5-D5</f>
        <v>977278.88</v>
      </c>
    </row>
    <row r="6" spans="1:16" x14ac:dyDescent="0.25">
      <c r="A6" s="36">
        <v>41948</v>
      </c>
      <c r="B6" s="46">
        <f t="shared" ref="B6:B69" si="2">DAYS360(A5,A6,TRUE)</f>
        <v>30</v>
      </c>
      <c r="C6" s="47">
        <f t="shared" ref="C6:C64" si="3">$D$1</f>
        <v>23790</v>
      </c>
      <c r="D6" s="48">
        <f t="shared" si="0"/>
        <v>11574.01</v>
      </c>
      <c r="E6" s="68">
        <f t="shared" ref="E6:E62" si="4">ROUND(F6*$B$2*B6/360,2)</f>
        <v>12215.99</v>
      </c>
      <c r="F6" s="47">
        <f t="shared" ref="F6:F63" si="5">G5</f>
        <v>977278.88</v>
      </c>
      <c r="G6" s="47">
        <f t="shared" ref="G6:G63" si="6">F6-D6</f>
        <v>965704.87</v>
      </c>
    </row>
    <row r="7" spans="1:16" x14ac:dyDescent="0.25">
      <c r="A7" s="36">
        <v>41978</v>
      </c>
      <c r="B7" s="46">
        <f t="shared" si="2"/>
        <v>30</v>
      </c>
      <c r="C7" s="47">
        <f t="shared" si="3"/>
        <v>23790</v>
      </c>
      <c r="D7" s="48">
        <f t="shared" si="0"/>
        <v>11718.69</v>
      </c>
      <c r="E7" s="68">
        <f t="shared" si="4"/>
        <v>12071.31</v>
      </c>
      <c r="F7" s="47">
        <f t="shared" si="5"/>
        <v>965704.87</v>
      </c>
      <c r="G7" s="47">
        <f t="shared" si="6"/>
        <v>953986.18</v>
      </c>
    </row>
    <row r="8" spans="1:16" x14ac:dyDescent="0.25">
      <c r="A8" s="36">
        <v>42009</v>
      </c>
      <c r="B8" s="46">
        <f t="shared" si="2"/>
        <v>30</v>
      </c>
      <c r="C8" s="47">
        <f t="shared" si="3"/>
        <v>23790</v>
      </c>
      <c r="D8" s="48">
        <f t="shared" si="0"/>
        <v>11865.17</v>
      </c>
      <c r="E8" s="68">
        <f t="shared" si="4"/>
        <v>11924.83</v>
      </c>
      <c r="F8" s="47">
        <f t="shared" si="5"/>
        <v>953986.18</v>
      </c>
      <c r="G8" s="47">
        <f t="shared" si="6"/>
        <v>942121.01</v>
      </c>
    </row>
    <row r="9" spans="1:16" x14ac:dyDescent="0.25">
      <c r="A9" s="36">
        <v>42040</v>
      </c>
      <c r="B9" s="46">
        <f t="shared" si="2"/>
        <v>30</v>
      </c>
      <c r="C9" s="47">
        <f t="shared" si="3"/>
        <v>23790</v>
      </c>
      <c r="D9" s="48">
        <f t="shared" si="0"/>
        <v>12013.49</v>
      </c>
      <c r="E9" s="68">
        <f t="shared" si="4"/>
        <v>11776.51</v>
      </c>
      <c r="F9" s="47">
        <f t="shared" si="5"/>
        <v>942121.01</v>
      </c>
      <c r="G9" s="47">
        <f t="shared" si="6"/>
        <v>930107.52</v>
      </c>
    </row>
    <row r="10" spans="1:16" x14ac:dyDescent="0.25">
      <c r="A10" s="36">
        <v>42068</v>
      </c>
      <c r="B10" s="46">
        <f t="shared" si="2"/>
        <v>30</v>
      </c>
      <c r="C10" s="47">
        <f t="shared" si="3"/>
        <v>23790</v>
      </c>
      <c r="D10" s="48">
        <f t="shared" si="0"/>
        <v>12163.66</v>
      </c>
      <c r="E10" s="68">
        <f t="shared" si="4"/>
        <v>11626.34</v>
      </c>
      <c r="F10" s="47">
        <f t="shared" si="5"/>
        <v>930107.52</v>
      </c>
      <c r="G10" s="47">
        <f t="shared" si="6"/>
        <v>917943.86</v>
      </c>
    </row>
    <row r="11" spans="1:16" x14ac:dyDescent="0.25">
      <c r="A11" s="36">
        <v>42099</v>
      </c>
      <c r="B11" s="46">
        <f t="shared" si="2"/>
        <v>30</v>
      </c>
      <c r="C11" s="47">
        <f t="shared" si="3"/>
        <v>23790</v>
      </c>
      <c r="D11" s="48">
        <f t="shared" si="0"/>
        <v>12315.7</v>
      </c>
      <c r="E11" s="68">
        <f t="shared" si="4"/>
        <v>11474.3</v>
      </c>
      <c r="F11" s="47">
        <f t="shared" si="5"/>
        <v>917943.86</v>
      </c>
      <c r="G11" s="47">
        <f t="shared" si="6"/>
        <v>905628.16000000003</v>
      </c>
    </row>
    <row r="12" spans="1:16" x14ac:dyDescent="0.25">
      <c r="A12" s="36">
        <v>42129</v>
      </c>
      <c r="B12" s="46">
        <f t="shared" si="2"/>
        <v>30</v>
      </c>
      <c r="C12" s="47">
        <f t="shared" si="3"/>
        <v>23790</v>
      </c>
      <c r="D12" s="48">
        <f t="shared" si="0"/>
        <v>12469.65</v>
      </c>
      <c r="E12" s="68">
        <f t="shared" si="4"/>
        <v>11320.35</v>
      </c>
      <c r="F12" s="47">
        <f t="shared" si="5"/>
        <v>905628.16000000003</v>
      </c>
      <c r="G12" s="47">
        <f t="shared" si="6"/>
        <v>893158.51</v>
      </c>
    </row>
    <row r="13" spans="1:16" x14ac:dyDescent="0.25">
      <c r="A13" s="36">
        <v>42160</v>
      </c>
      <c r="B13" s="46">
        <f t="shared" si="2"/>
        <v>30</v>
      </c>
      <c r="C13" s="47">
        <f t="shared" si="3"/>
        <v>23790</v>
      </c>
      <c r="D13" s="48">
        <f t="shared" si="0"/>
        <v>12625.52</v>
      </c>
      <c r="E13" s="68">
        <f t="shared" si="4"/>
        <v>11164.48</v>
      </c>
      <c r="F13" s="47">
        <f t="shared" si="5"/>
        <v>893158.51</v>
      </c>
      <c r="G13" s="47">
        <f t="shared" si="6"/>
        <v>880532.99</v>
      </c>
    </row>
    <row r="14" spans="1:16" x14ac:dyDescent="0.25">
      <c r="A14" s="36">
        <v>42190</v>
      </c>
      <c r="B14" s="46">
        <f t="shared" si="2"/>
        <v>30</v>
      </c>
      <c r="C14" s="47">
        <f t="shared" si="3"/>
        <v>23790</v>
      </c>
      <c r="D14" s="48">
        <f t="shared" si="0"/>
        <v>12783.34</v>
      </c>
      <c r="E14" s="68">
        <f t="shared" si="4"/>
        <v>11006.66</v>
      </c>
      <c r="F14" s="47">
        <f t="shared" si="5"/>
        <v>880532.99</v>
      </c>
      <c r="G14" s="47">
        <f t="shared" si="6"/>
        <v>867749.65</v>
      </c>
    </row>
    <row r="15" spans="1:16" x14ac:dyDescent="0.25">
      <c r="A15" s="36">
        <v>42221</v>
      </c>
      <c r="B15" s="46">
        <f t="shared" si="2"/>
        <v>30</v>
      </c>
      <c r="C15" s="47">
        <f t="shared" si="3"/>
        <v>23790</v>
      </c>
      <c r="D15" s="48">
        <f t="shared" si="0"/>
        <v>12943.13</v>
      </c>
      <c r="E15" s="68">
        <f t="shared" si="4"/>
        <v>10846.87</v>
      </c>
      <c r="F15" s="47">
        <f t="shared" si="5"/>
        <v>867749.65</v>
      </c>
      <c r="G15" s="47">
        <f t="shared" si="6"/>
        <v>854806.52</v>
      </c>
    </row>
    <row r="16" spans="1:16" x14ac:dyDescent="0.25">
      <c r="A16" s="36">
        <v>42252</v>
      </c>
      <c r="B16" s="46">
        <f t="shared" si="2"/>
        <v>30</v>
      </c>
      <c r="C16" s="47">
        <f t="shared" si="3"/>
        <v>23790</v>
      </c>
      <c r="D16" s="48">
        <f t="shared" si="0"/>
        <v>13104.92</v>
      </c>
      <c r="E16" s="68">
        <f t="shared" si="4"/>
        <v>10685.08</v>
      </c>
      <c r="F16" s="47">
        <f t="shared" si="5"/>
        <v>854806.52</v>
      </c>
      <c r="G16" s="47">
        <f t="shared" si="6"/>
        <v>841701.6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23790</v>
      </c>
      <c r="D17" s="48">
        <f t="shared" si="0"/>
        <v>13268.73</v>
      </c>
      <c r="E17" s="68">
        <f t="shared" si="4"/>
        <v>10521.27</v>
      </c>
      <c r="F17" s="47">
        <f t="shared" si="5"/>
        <v>841701.6</v>
      </c>
      <c r="G17" s="47">
        <f t="shared" si="6"/>
        <v>828432.87</v>
      </c>
    </row>
    <row r="18" spans="1:7" x14ac:dyDescent="0.25">
      <c r="A18" s="36">
        <v>42313</v>
      </c>
      <c r="B18" s="46">
        <f t="shared" si="2"/>
        <v>30</v>
      </c>
      <c r="C18" s="47">
        <f t="shared" si="3"/>
        <v>23790</v>
      </c>
      <c r="D18" s="48">
        <f t="shared" si="0"/>
        <v>13434.59</v>
      </c>
      <c r="E18" s="68">
        <f t="shared" si="4"/>
        <v>10355.41</v>
      </c>
      <c r="F18" s="47">
        <f t="shared" si="5"/>
        <v>828432.87</v>
      </c>
      <c r="G18" s="47">
        <f t="shared" si="6"/>
        <v>814998.28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23790</v>
      </c>
      <c r="D19" s="48">
        <f t="shared" si="0"/>
        <v>13602.52</v>
      </c>
      <c r="E19" s="68">
        <f t="shared" si="4"/>
        <v>10187.48</v>
      </c>
      <c r="F19" s="47">
        <f t="shared" si="5"/>
        <v>814998.28</v>
      </c>
      <c r="G19" s="47">
        <f t="shared" si="6"/>
        <v>801395.76</v>
      </c>
    </row>
    <row r="20" spans="1:7" x14ac:dyDescent="0.25">
      <c r="A20" s="36">
        <v>42374</v>
      </c>
      <c r="B20" s="46">
        <f t="shared" si="2"/>
        <v>30</v>
      </c>
      <c r="C20" s="47">
        <f t="shared" si="3"/>
        <v>23790</v>
      </c>
      <c r="D20" s="48">
        <f t="shared" si="0"/>
        <v>13772.55</v>
      </c>
      <c r="E20" s="68">
        <f t="shared" si="4"/>
        <v>10017.450000000001</v>
      </c>
      <c r="F20" s="47">
        <f t="shared" si="5"/>
        <v>801395.76</v>
      </c>
      <c r="G20" s="47">
        <f t="shared" si="6"/>
        <v>787623.21</v>
      </c>
    </row>
    <row r="21" spans="1:7" x14ac:dyDescent="0.25">
      <c r="A21" s="36">
        <v>42405</v>
      </c>
      <c r="B21" s="46">
        <f t="shared" si="2"/>
        <v>30</v>
      </c>
      <c r="C21" s="47">
        <f t="shared" si="3"/>
        <v>23790</v>
      </c>
      <c r="D21" s="48">
        <f t="shared" si="0"/>
        <v>13944.71</v>
      </c>
      <c r="E21" s="68">
        <f t="shared" si="4"/>
        <v>9845.2900000000009</v>
      </c>
      <c r="F21" s="47">
        <f t="shared" si="5"/>
        <v>787623.21</v>
      </c>
      <c r="G21" s="47">
        <f t="shared" si="6"/>
        <v>773678.5</v>
      </c>
    </row>
    <row r="22" spans="1:7" x14ac:dyDescent="0.25">
      <c r="A22" s="36">
        <v>42434</v>
      </c>
      <c r="B22" s="46">
        <f t="shared" si="2"/>
        <v>30</v>
      </c>
      <c r="C22" s="47">
        <f t="shared" si="3"/>
        <v>23790</v>
      </c>
      <c r="D22" s="48">
        <f t="shared" si="0"/>
        <v>14119.02</v>
      </c>
      <c r="E22" s="68">
        <f t="shared" si="4"/>
        <v>9670.98</v>
      </c>
      <c r="F22" s="47">
        <f t="shared" si="5"/>
        <v>773678.5</v>
      </c>
      <c r="G22" s="47">
        <f t="shared" si="6"/>
        <v>759559.48</v>
      </c>
    </row>
    <row r="23" spans="1:7" x14ac:dyDescent="0.25">
      <c r="A23" s="36">
        <v>42465</v>
      </c>
      <c r="B23" s="46">
        <f t="shared" si="2"/>
        <v>30</v>
      </c>
      <c r="C23" s="47">
        <f t="shared" si="3"/>
        <v>23790</v>
      </c>
      <c r="D23" s="48">
        <f t="shared" si="0"/>
        <v>14295.51</v>
      </c>
      <c r="E23" s="68">
        <f t="shared" si="4"/>
        <v>9494.49</v>
      </c>
      <c r="F23" s="47">
        <f t="shared" si="5"/>
        <v>759559.48</v>
      </c>
      <c r="G23" s="47">
        <f t="shared" si="6"/>
        <v>745263.97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23790</v>
      </c>
      <c r="D24" s="48">
        <f t="shared" si="0"/>
        <v>14474.2</v>
      </c>
      <c r="E24" s="68">
        <f t="shared" si="4"/>
        <v>9315.7999999999993</v>
      </c>
      <c r="F24" s="47">
        <f t="shared" si="5"/>
        <v>745263.97</v>
      </c>
      <c r="G24" s="47">
        <f t="shared" si="6"/>
        <v>730789.77</v>
      </c>
    </row>
    <row r="25" spans="1:7" x14ac:dyDescent="0.25">
      <c r="A25" s="36">
        <v>42526</v>
      </c>
      <c r="B25" s="46">
        <f t="shared" si="2"/>
        <v>30</v>
      </c>
      <c r="C25" s="47">
        <f t="shared" si="3"/>
        <v>23790</v>
      </c>
      <c r="D25" s="48">
        <f t="shared" si="0"/>
        <v>14655.13</v>
      </c>
      <c r="E25" s="68">
        <f t="shared" si="4"/>
        <v>9134.8700000000008</v>
      </c>
      <c r="F25" s="47">
        <f t="shared" si="5"/>
        <v>730789.77</v>
      </c>
      <c r="G25" s="47">
        <f t="shared" si="6"/>
        <v>716134.64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23790</v>
      </c>
      <c r="D26" s="48">
        <f t="shared" si="0"/>
        <v>14838.32</v>
      </c>
      <c r="E26" s="68">
        <f t="shared" si="4"/>
        <v>8951.68</v>
      </c>
      <c r="F26" s="47">
        <f t="shared" si="5"/>
        <v>716134.64</v>
      </c>
      <c r="G26" s="47">
        <f t="shared" si="6"/>
        <v>701296.32000000007</v>
      </c>
    </row>
    <row r="27" spans="1:7" x14ac:dyDescent="0.25">
      <c r="A27" s="36">
        <v>42587</v>
      </c>
      <c r="B27" s="46">
        <f t="shared" si="2"/>
        <v>30</v>
      </c>
      <c r="C27" s="47">
        <f t="shared" si="3"/>
        <v>23790</v>
      </c>
      <c r="D27" s="48">
        <f t="shared" si="0"/>
        <v>15023.8</v>
      </c>
      <c r="E27" s="68">
        <f t="shared" si="4"/>
        <v>8766.2000000000007</v>
      </c>
      <c r="F27" s="47">
        <f t="shared" si="5"/>
        <v>701296.32000000007</v>
      </c>
      <c r="G27" s="47">
        <f t="shared" si="6"/>
        <v>686272.52</v>
      </c>
    </row>
    <row r="28" spans="1:7" x14ac:dyDescent="0.25">
      <c r="A28" s="36">
        <v>42618</v>
      </c>
      <c r="B28" s="46">
        <f t="shared" si="2"/>
        <v>30</v>
      </c>
      <c r="C28" s="47">
        <f t="shared" si="3"/>
        <v>23790</v>
      </c>
      <c r="D28" s="48">
        <f t="shared" si="0"/>
        <v>15211.59</v>
      </c>
      <c r="E28" s="68">
        <f t="shared" si="4"/>
        <v>8578.41</v>
      </c>
      <c r="F28" s="47">
        <f t="shared" si="5"/>
        <v>686272.52</v>
      </c>
      <c r="G28" s="47">
        <f t="shared" si="6"/>
        <v>671060.93000000005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23790</v>
      </c>
      <c r="D29" s="48">
        <f t="shared" si="0"/>
        <v>15401.74</v>
      </c>
      <c r="E29" s="68">
        <f t="shared" si="4"/>
        <v>8388.26</v>
      </c>
      <c r="F29" s="47">
        <f t="shared" si="5"/>
        <v>671060.93000000005</v>
      </c>
      <c r="G29" s="47">
        <f t="shared" si="6"/>
        <v>655659.19000000006</v>
      </c>
    </row>
    <row r="30" spans="1:7" x14ac:dyDescent="0.25">
      <c r="A30" s="36">
        <v>42679</v>
      </c>
      <c r="B30" s="46">
        <f t="shared" si="2"/>
        <v>30</v>
      </c>
      <c r="C30" s="47">
        <f t="shared" si="3"/>
        <v>23790</v>
      </c>
      <c r="D30" s="48">
        <f t="shared" si="0"/>
        <v>15594.26</v>
      </c>
      <c r="E30" s="68">
        <f t="shared" si="4"/>
        <v>8195.74</v>
      </c>
      <c r="F30" s="47">
        <f t="shared" si="5"/>
        <v>655659.19000000006</v>
      </c>
      <c r="G30" s="47">
        <f t="shared" si="6"/>
        <v>640064.93000000005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23790</v>
      </c>
      <c r="D31" s="48">
        <f t="shared" si="0"/>
        <v>15789.189999999999</v>
      </c>
      <c r="E31" s="68">
        <f t="shared" si="4"/>
        <v>8000.81</v>
      </c>
      <c r="F31" s="47">
        <f t="shared" si="5"/>
        <v>640064.93000000005</v>
      </c>
      <c r="G31" s="47">
        <f t="shared" si="6"/>
        <v>624275.74000000011</v>
      </c>
    </row>
    <row r="32" spans="1:7" x14ac:dyDescent="0.25">
      <c r="A32" s="36">
        <v>42740</v>
      </c>
      <c r="B32" s="46">
        <f t="shared" si="2"/>
        <v>30</v>
      </c>
      <c r="C32" s="47">
        <f t="shared" si="3"/>
        <v>23790</v>
      </c>
      <c r="D32" s="48">
        <f t="shared" si="0"/>
        <v>15986.55</v>
      </c>
      <c r="E32" s="68">
        <f t="shared" si="4"/>
        <v>7803.45</v>
      </c>
      <c r="F32" s="47">
        <f t="shared" si="5"/>
        <v>624275.74000000011</v>
      </c>
      <c r="G32" s="47">
        <f t="shared" si="6"/>
        <v>608289.19000000006</v>
      </c>
    </row>
    <row r="33" spans="1:7" x14ac:dyDescent="0.25">
      <c r="A33" s="36">
        <v>42771</v>
      </c>
      <c r="B33" s="46">
        <f t="shared" si="2"/>
        <v>30</v>
      </c>
      <c r="C33" s="47">
        <f t="shared" si="3"/>
        <v>23790</v>
      </c>
      <c r="D33" s="48">
        <f t="shared" si="0"/>
        <v>16186.39</v>
      </c>
      <c r="E33" s="68">
        <f t="shared" si="4"/>
        <v>7603.61</v>
      </c>
      <c r="F33" s="47">
        <f t="shared" si="5"/>
        <v>608289.19000000006</v>
      </c>
      <c r="G33" s="47">
        <f t="shared" si="6"/>
        <v>592102.80000000005</v>
      </c>
    </row>
    <row r="34" spans="1:7" x14ac:dyDescent="0.25">
      <c r="A34" s="36">
        <v>42799</v>
      </c>
      <c r="B34" s="46">
        <f t="shared" si="2"/>
        <v>30</v>
      </c>
      <c r="C34" s="47">
        <f t="shared" si="3"/>
        <v>23790</v>
      </c>
      <c r="D34" s="48">
        <f t="shared" si="0"/>
        <v>16388.71</v>
      </c>
      <c r="E34" s="68">
        <f t="shared" si="4"/>
        <v>7401.29</v>
      </c>
      <c r="F34" s="47">
        <f t="shared" si="5"/>
        <v>592102.80000000005</v>
      </c>
      <c r="G34" s="47">
        <f t="shared" si="6"/>
        <v>575714.09000000008</v>
      </c>
    </row>
    <row r="35" spans="1:7" x14ac:dyDescent="0.25">
      <c r="A35" s="36">
        <v>42830</v>
      </c>
      <c r="B35" s="46">
        <f t="shared" si="2"/>
        <v>30</v>
      </c>
      <c r="C35" s="47">
        <f t="shared" si="3"/>
        <v>23790</v>
      </c>
      <c r="D35" s="48">
        <f t="shared" si="0"/>
        <v>16593.57</v>
      </c>
      <c r="E35" s="68">
        <f t="shared" si="4"/>
        <v>7196.43</v>
      </c>
      <c r="F35" s="47">
        <f t="shared" si="5"/>
        <v>575714.09000000008</v>
      </c>
      <c r="G35" s="47">
        <f t="shared" si="6"/>
        <v>559120.52000000014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23790</v>
      </c>
      <c r="D36" s="48">
        <f t="shared" si="0"/>
        <v>16800.989999999998</v>
      </c>
      <c r="E36" s="68">
        <f t="shared" si="4"/>
        <v>6989.01</v>
      </c>
      <c r="F36" s="47">
        <f t="shared" si="5"/>
        <v>559120.52000000014</v>
      </c>
      <c r="G36" s="47">
        <f t="shared" si="6"/>
        <v>542319.53000000014</v>
      </c>
    </row>
    <row r="37" spans="1:7" x14ac:dyDescent="0.25">
      <c r="A37" s="36">
        <v>42891</v>
      </c>
      <c r="B37" s="46">
        <f t="shared" si="2"/>
        <v>30</v>
      </c>
      <c r="C37" s="47">
        <f t="shared" si="3"/>
        <v>23790</v>
      </c>
      <c r="D37" s="48">
        <f t="shared" si="0"/>
        <v>17011.010000000002</v>
      </c>
      <c r="E37" s="68">
        <f t="shared" si="4"/>
        <v>6778.99</v>
      </c>
      <c r="F37" s="47">
        <f t="shared" si="5"/>
        <v>542319.53000000014</v>
      </c>
      <c r="G37" s="47">
        <f t="shared" si="6"/>
        <v>525308.52000000014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23790</v>
      </c>
      <c r="D38" s="48">
        <f t="shared" si="0"/>
        <v>17223.64</v>
      </c>
      <c r="E38" s="68">
        <f t="shared" si="4"/>
        <v>6566.36</v>
      </c>
      <c r="F38" s="47">
        <f t="shared" si="5"/>
        <v>525308.52000000014</v>
      </c>
      <c r="G38" s="47">
        <f t="shared" si="6"/>
        <v>508084.88000000012</v>
      </c>
    </row>
    <row r="39" spans="1:7" x14ac:dyDescent="0.25">
      <c r="A39" s="36">
        <v>42952</v>
      </c>
      <c r="B39" s="46">
        <f t="shared" si="2"/>
        <v>30</v>
      </c>
      <c r="C39" s="47">
        <f t="shared" si="3"/>
        <v>23790</v>
      </c>
      <c r="D39" s="48">
        <f t="shared" si="0"/>
        <v>17438.939999999999</v>
      </c>
      <c r="E39" s="68">
        <f t="shared" si="4"/>
        <v>6351.06</v>
      </c>
      <c r="F39" s="47">
        <f t="shared" si="5"/>
        <v>508084.88000000012</v>
      </c>
      <c r="G39" s="47">
        <f t="shared" si="6"/>
        <v>490645.94000000012</v>
      </c>
    </row>
    <row r="40" spans="1:7" x14ac:dyDescent="0.25">
      <c r="A40" s="54">
        <v>42983</v>
      </c>
      <c r="B40" s="46">
        <f t="shared" si="2"/>
        <v>30</v>
      </c>
      <c r="C40" s="47">
        <f t="shared" si="3"/>
        <v>23790</v>
      </c>
      <c r="D40" s="48">
        <f t="shared" si="0"/>
        <v>17656.93</v>
      </c>
      <c r="E40" s="68">
        <f t="shared" si="4"/>
        <v>6133.07</v>
      </c>
      <c r="F40" s="47">
        <f t="shared" si="5"/>
        <v>490645.94000000012</v>
      </c>
      <c r="G40" s="47">
        <f t="shared" si="6"/>
        <v>472989.01000000013</v>
      </c>
    </row>
    <row r="41" spans="1:7" x14ac:dyDescent="0.25">
      <c r="A41" s="54">
        <v>43013</v>
      </c>
      <c r="B41" s="46">
        <f t="shared" si="2"/>
        <v>30</v>
      </c>
      <c r="C41" s="47">
        <f t="shared" si="3"/>
        <v>23790</v>
      </c>
      <c r="D41" s="48">
        <f t="shared" si="0"/>
        <v>17877.64</v>
      </c>
      <c r="E41" s="68">
        <f t="shared" si="4"/>
        <v>5912.36</v>
      </c>
      <c r="F41" s="47">
        <f t="shared" si="5"/>
        <v>472989.01000000013</v>
      </c>
      <c r="G41" s="47">
        <f t="shared" si="6"/>
        <v>455111.37000000011</v>
      </c>
    </row>
    <row r="42" spans="1:7" x14ac:dyDescent="0.25">
      <c r="A42" s="54">
        <v>43044</v>
      </c>
      <c r="B42" s="46">
        <f t="shared" si="2"/>
        <v>30</v>
      </c>
      <c r="C42" s="47">
        <f t="shared" si="3"/>
        <v>23790</v>
      </c>
      <c r="D42" s="48">
        <f t="shared" si="0"/>
        <v>18101.11</v>
      </c>
      <c r="E42" s="68">
        <f t="shared" si="4"/>
        <v>5688.89</v>
      </c>
      <c r="F42" s="47">
        <f t="shared" si="5"/>
        <v>455111.37000000011</v>
      </c>
      <c r="G42" s="47">
        <f t="shared" si="6"/>
        <v>437010.26000000013</v>
      </c>
    </row>
    <row r="43" spans="1:7" x14ac:dyDescent="0.25">
      <c r="A43" s="54">
        <v>43074</v>
      </c>
      <c r="B43" s="46">
        <f t="shared" si="2"/>
        <v>30</v>
      </c>
      <c r="C43" s="47">
        <f t="shared" si="3"/>
        <v>23790</v>
      </c>
      <c r="D43" s="48">
        <f t="shared" si="0"/>
        <v>18327.37</v>
      </c>
      <c r="E43" s="68">
        <f t="shared" si="4"/>
        <v>5462.63</v>
      </c>
      <c r="F43" s="47">
        <f t="shared" si="5"/>
        <v>437010.26000000013</v>
      </c>
      <c r="G43" s="47">
        <f t="shared" si="6"/>
        <v>418682.89000000013</v>
      </c>
    </row>
    <row r="44" spans="1:7" x14ac:dyDescent="0.25">
      <c r="A44" s="54">
        <v>43105</v>
      </c>
      <c r="B44" s="46">
        <f t="shared" si="2"/>
        <v>30</v>
      </c>
      <c r="C44" s="47">
        <f t="shared" si="3"/>
        <v>23790</v>
      </c>
      <c r="D44" s="48">
        <f t="shared" si="0"/>
        <v>18556.46</v>
      </c>
      <c r="E44" s="68">
        <f t="shared" si="4"/>
        <v>5233.54</v>
      </c>
      <c r="F44" s="47">
        <f t="shared" si="5"/>
        <v>418682.89000000013</v>
      </c>
      <c r="G44" s="47">
        <f t="shared" si="6"/>
        <v>400126.43000000011</v>
      </c>
    </row>
    <row r="45" spans="1:7" x14ac:dyDescent="0.25">
      <c r="A45" s="54">
        <v>43136</v>
      </c>
      <c r="B45" s="46">
        <f t="shared" si="2"/>
        <v>30</v>
      </c>
      <c r="C45" s="47">
        <f t="shared" si="3"/>
        <v>23790</v>
      </c>
      <c r="D45" s="48">
        <f t="shared" si="0"/>
        <v>18788.419999999998</v>
      </c>
      <c r="E45" s="68">
        <f t="shared" si="4"/>
        <v>5001.58</v>
      </c>
      <c r="F45" s="47">
        <f t="shared" si="5"/>
        <v>400126.43000000011</v>
      </c>
      <c r="G45" s="47">
        <f t="shared" si="6"/>
        <v>381338.01000000013</v>
      </c>
    </row>
    <row r="46" spans="1:7" x14ac:dyDescent="0.25">
      <c r="A46" s="54">
        <v>43164</v>
      </c>
      <c r="B46" s="46">
        <f t="shared" si="2"/>
        <v>30</v>
      </c>
      <c r="C46" s="47">
        <f t="shared" si="3"/>
        <v>23790</v>
      </c>
      <c r="D46" s="48">
        <f t="shared" si="0"/>
        <v>19023.27</v>
      </c>
      <c r="E46" s="68">
        <f t="shared" si="4"/>
        <v>4766.7299999999996</v>
      </c>
      <c r="F46" s="47">
        <f t="shared" si="5"/>
        <v>381338.01000000013</v>
      </c>
      <c r="G46" s="47">
        <f t="shared" si="6"/>
        <v>362314.74000000011</v>
      </c>
    </row>
    <row r="47" spans="1:7" x14ac:dyDescent="0.25">
      <c r="A47" s="54">
        <v>43195</v>
      </c>
      <c r="B47" s="46">
        <f t="shared" si="2"/>
        <v>30</v>
      </c>
      <c r="C47" s="47">
        <f t="shared" si="3"/>
        <v>23790</v>
      </c>
      <c r="D47" s="48">
        <f t="shared" si="0"/>
        <v>19261.07</v>
      </c>
      <c r="E47" s="68">
        <f t="shared" si="4"/>
        <v>4528.93</v>
      </c>
      <c r="F47" s="47">
        <f t="shared" si="5"/>
        <v>362314.74000000011</v>
      </c>
      <c r="G47" s="47">
        <f t="shared" si="6"/>
        <v>343053.6700000001</v>
      </c>
    </row>
    <row r="48" spans="1:7" x14ac:dyDescent="0.25">
      <c r="A48" s="54">
        <v>43225</v>
      </c>
      <c r="B48" s="46">
        <f t="shared" si="2"/>
        <v>30</v>
      </c>
      <c r="C48" s="47">
        <f t="shared" si="3"/>
        <v>23790</v>
      </c>
      <c r="D48" s="48">
        <f t="shared" si="0"/>
        <v>19501.830000000002</v>
      </c>
      <c r="E48" s="68">
        <f t="shared" si="4"/>
        <v>4288.17</v>
      </c>
      <c r="F48" s="47">
        <f t="shared" si="5"/>
        <v>343053.6700000001</v>
      </c>
      <c r="G48" s="47">
        <f t="shared" si="6"/>
        <v>323551.84000000008</v>
      </c>
    </row>
    <row r="49" spans="1:7" x14ac:dyDescent="0.25">
      <c r="A49" s="54">
        <v>43256</v>
      </c>
      <c r="B49" s="46">
        <f t="shared" si="2"/>
        <v>30</v>
      </c>
      <c r="C49" s="47">
        <f t="shared" si="3"/>
        <v>23790</v>
      </c>
      <c r="D49" s="48">
        <f t="shared" si="0"/>
        <v>19745.599999999999</v>
      </c>
      <c r="E49" s="68">
        <f t="shared" si="4"/>
        <v>4044.4</v>
      </c>
      <c r="F49" s="47">
        <f t="shared" si="5"/>
        <v>323551.84000000008</v>
      </c>
      <c r="G49" s="47">
        <f t="shared" si="6"/>
        <v>303806.24000000011</v>
      </c>
    </row>
    <row r="50" spans="1:7" x14ac:dyDescent="0.25">
      <c r="A50" s="54">
        <v>43286</v>
      </c>
      <c r="B50" s="46">
        <f t="shared" si="2"/>
        <v>30</v>
      </c>
      <c r="C50" s="47">
        <f t="shared" si="3"/>
        <v>23790</v>
      </c>
      <c r="D50" s="48">
        <f t="shared" si="0"/>
        <v>19992.419999999998</v>
      </c>
      <c r="E50" s="68">
        <f t="shared" si="4"/>
        <v>3797.58</v>
      </c>
      <c r="F50" s="47">
        <f t="shared" si="5"/>
        <v>303806.24000000011</v>
      </c>
      <c r="G50" s="47">
        <f t="shared" si="6"/>
        <v>283813.82000000012</v>
      </c>
    </row>
    <row r="51" spans="1:7" x14ac:dyDescent="0.25">
      <c r="A51" s="54">
        <v>43317</v>
      </c>
      <c r="B51" s="46">
        <f t="shared" si="2"/>
        <v>30</v>
      </c>
      <c r="C51" s="47">
        <f t="shared" si="3"/>
        <v>23790</v>
      </c>
      <c r="D51" s="48">
        <f t="shared" si="0"/>
        <v>20242.330000000002</v>
      </c>
      <c r="E51" s="68">
        <f t="shared" si="4"/>
        <v>3547.67</v>
      </c>
      <c r="F51" s="47">
        <f t="shared" si="5"/>
        <v>283813.82000000012</v>
      </c>
      <c r="G51" s="47">
        <f t="shared" si="6"/>
        <v>263571.49000000011</v>
      </c>
    </row>
    <row r="52" spans="1:7" x14ac:dyDescent="0.25">
      <c r="A52" s="54">
        <v>43348</v>
      </c>
      <c r="B52" s="46">
        <f t="shared" si="2"/>
        <v>30</v>
      </c>
      <c r="C52" s="47">
        <f t="shared" si="3"/>
        <v>23790</v>
      </c>
      <c r="D52" s="48">
        <f t="shared" si="0"/>
        <v>20495.36</v>
      </c>
      <c r="E52" s="68">
        <f t="shared" si="4"/>
        <v>3294.64</v>
      </c>
      <c r="F52" s="47">
        <f t="shared" si="5"/>
        <v>263571.49000000011</v>
      </c>
      <c r="G52" s="47">
        <f t="shared" si="6"/>
        <v>243076.13000000012</v>
      </c>
    </row>
    <row r="53" spans="1:7" x14ac:dyDescent="0.25">
      <c r="A53" s="54">
        <v>43378</v>
      </c>
      <c r="B53" s="46">
        <f t="shared" si="2"/>
        <v>30</v>
      </c>
      <c r="C53" s="47">
        <f t="shared" si="3"/>
        <v>23790</v>
      </c>
      <c r="D53" s="48">
        <f t="shared" si="0"/>
        <v>20751.55</v>
      </c>
      <c r="E53" s="68">
        <f t="shared" si="4"/>
        <v>3038.45</v>
      </c>
      <c r="F53" s="47">
        <f t="shared" si="5"/>
        <v>243076.13000000012</v>
      </c>
      <c r="G53" s="47">
        <f t="shared" si="6"/>
        <v>222324.58000000013</v>
      </c>
    </row>
    <row r="54" spans="1:7" x14ac:dyDescent="0.25">
      <c r="A54" s="54">
        <v>43409</v>
      </c>
      <c r="B54" s="46">
        <f t="shared" si="2"/>
        <v>30</v>
      </c>
      <c r="C54" s="47">
        <f t="shared" si="3"/>
        <v>23790</v>
      </c>
      <c r="D54" s="48">
        <f t="shared" si="0"/>
        <v>21010.94</v>
      </c>
      <c r="E54" s="68">
        <f t="shared" si="4"/>
        <v>2779.06</v>
      </c>
      <c r="F54" s="47">
        <f t="shared" si="5"/>
        <v>222324.58000000013</v>
      </c>
      <c r="G54" s="47">
        <f t="shared" si="6"/>
        <v>201313.64000000013</v>
      </c>
    </row>
    <row r="55" spans="1:7" x14ac:dyDescent="0.25">
      <c r="A55" s="54">
        <v>43439</v>
      </c>
      <c r="B55" s="46">
        <f t="shared" si="2"/>
        <v>30</v>
      </c>
      <c r="C55" s="47">
        <f t="shared" si="3"/>
        <v>23790</v>
      </c>
      <c r="D55" s="48">
        <f t="shared" si="0"/>
        <v>21273.58</v>
      </c>
      <c r="E55" s="68">
        <f t="shared" si="4"/>
        <v>2516.42</v>
      </c>
      <c r="F55" s="47">
        <f t="shared" si="5"/>
        <v>201313.64000000013</v>
      </c>
      <c r="G55" s="47">
        <f t="shared" si="6"/>
        <v>180040.06000000011</v>
      </c>
    </row>
    <row r="56" spans="1:7" x14ac:dyDescent="0.25">
      <c r="A56" s="54">
        <v>43470</v>
      </c>
      <c r="B56" s="46">
        <f t="shared" si="2"/>
        <v>30</v>
      </c>
      <c r="C56" s="47">
        <f t="shared" si="3"/>
        <v>23790</v>
      </c>
      <c r="D56" s="48">
        <f t="shared" si="0"/>
        <v>21539.5</v>
      </c>
      <c r="E56" s="68">
        <f t="shared" si="4"/>
        <v>2250.5</v>
      </c>
      <c r="F56" s="47">
        <f t="shared" si="5"/>
        <v>180040.06000000011</v>
      </c>
      <c r="G56" s="47">
        <f t="shared" si="6"/>
        <v>158500.56000000011</v>
      </c>
    </row>
    <row r="57" spans="1:7" x14ac:dyDescent="0.25">
      <c r="A57" s="54">
        <v>43501</v>
      </c>
      <c r="B57" s="46">
        <f t="shared" si="2"/>
        <v>30</v>
      </c>
      <c r="C57" s="47">
        <f t="shared" si="3"/>
        <v>23790</v>
      </c>
      <c r="D57" s="48">
        <f t="shared" si="0"/>
        <v>21808.74</v>
      </c>
      <c r="E57" s="68">
        <f t="shared" si="4"/>
        <v>1981.26</v>
      </c>
      <c r="F57" s="47">
        <f t="shared" si="5"/>
        <v>158500.56000000011</v>
      </c>
      <c r="G57" s="47">
        <f t="shared" si="6"/>
        <v>136691.82000000012</v>
      </c>
    </row>
    <row r="58" spans="1:7" x14ac:dyDescent="0.25">
      <c r="A58" s="54">
        <v>43529</v>
      </c>
      <c r="B58" s="46">
        <f t="shared" si="2"/>
        <v>30</v>
      </c>
      <c r="C58" s="47">
        <f t="shared" si="3"/>
        <v>23790</v>
      </c>
      <c r="D58" s="48">
        <f t="shared" si="0"/>
        <v>22081.35</v>
      </c>
      <c r="E58" s="68">
        <f t="shared" si="4"/>
        <v>1708.65</v>
      </c>
      <c r="F58" s="47">
        <f t="shared" si="5"/>
        <v>136691.82000000012</v>
      </c>
      <c r="G58" s="47">
        <f t="shared" si="6"/>
        <v>114610.47000000012</v>
      </c>
    </row>
    <row r="59" spans="1:7" x14ac:dyDescent="0.25">
      <c r="A59" s="54">
        <v>43560</v>
      </c>
      <c r="B59" s="46">
        <f t="shared" si="2"/>
        <v>30</v>
      </c>
      <c r="C59" s="47">
        <f t="shared" si="3"/>
        <v>23790</v>
      </c>
      <c r="D59" s="48">
        <f t="shared" si="0"/>
        <v>22357.37</v>
      </c>
      <c r="E59" s="68">
        <f t="shared" si="4"/>
        <v>1432.63</v>
      </c>
      <c r="F59" s="47">
        <f t="shared" si="5"/>
        <v>114610.47000000012</v>
      </c>
      <c r="G59" s="47">
        <f t="shared" si="6"/>
        <v>92253.100000000122</v>
      </c>
    </row>
    <row r="60" spans="1:7" x14ac:dyDescent="0.25">
      <c r="A60" s="54">
        <v>43590</v>
      </c>
      <c r="B60" s="46">
        <f t="shared" si="2"/>
        <v>30</v>
      </c>
      <c r="C60" s="47">
        <f t="shared" si="3"/>
        <v>23790</v>
      </c>
      <c r="D60" s="48">
        <f t="shared" si="0"/>
        <v>22636.84</v>
      </c>
      <c r="E60" s="68">
        <f t="shared" si="4"/>
        <v>1153.1600000000001</v>
      </c>
      <c r="F60" s="47">
        <f t="shared" si="5"/>
        <v>92253.100000000122</v>
      </c>
      <c r="G60" s="47">
        <f t="shared" si="6"/>
        <v>69616.260000000126</v>
      </c>
    </row>
    <row r="61" spans="1:7" x14ac:dyDescent="0.25">
      <c r="A61" s="54">
        <v>43621</v>
      </c>
      <c r="B61" s="46">
        <f t="shared" si="2"/>
        <v>30</v>
      </c>
      <c r="C61" s="47">
        <f t="shared" si="3"/>
        <v>23790</v>
      </c>
      <c r="D61" s="48">
        <f t="shared" si="0"/>
        <v>22919.8</v>
      </c>
      <c r="E61" s="68">
        <f t="shared" si="4"/>
        <v>870.2</v>
      </c>
      <c r="F61" s="47">
        <f t="shared" si="5"/>
        <v>69616.260000000126</v>
      </c>
      <c r="G61" s="47">
        <f t="shared" si="6"/>
        <v>46696.460000000123</v>
      </c>
    </row>
    <row r="62" spans="1:7" x14ac:dyDescent="0.25">
      <c r="A62" s="54">
        <v>43651</v>
      </c>
      <c r="B62" s="46">
        <f t="shared" si="2"/>
        <v>30</v>
      </c>
      <c r="C62" s="47">
        <f t="shared" si="3"/>
        <v>23790</v>
      </c>
      <c r="D62" s="48">
        <f t="shared" si="0"/>
        <v>23206.29</v>
      </c>
      <c r="E62" s="68">
        <f t="shared" si="4"/>
        <v>583.71</v>
      </c>
      <c r="F62" s="47">
        <f t="shared" si="5"/>
        <v>46696.460000000123</v>
      </c>
      <c r="G62" s="47">
        <f t="shared" si="6"/>
        <v>23490.170000000122</v>
      </c>
    </row>
    <row r="63" spans="1:7" x14ac:dyDescent="0.25">
      <c r="A63" s="54">
        <v>43682</v>
      </c>
      <c r="B63" s="46">
        <f t="shared" si="2"/>
        <v>30</v>
      </c>
      <c r="C63" s="47">
        <f t="shared" si="3"/>
        <v>23790</v>
      </c>
      <c r="D63" s="48">
        <f t="shared" si="0"/>
        <v>23490.170000000122</v>
      </c>
      <c r="E63" s="68">
        <v>299.82999999987703</v>
      </c>
      <c r="F63" s="47">
        <f t="shared" si="5"/>
        <v>23490.170000000122</v>
      </c>
      <c r="G63" s="47">
        <f t="shared" si="6"/>
        <v>0</v>
      </c>
    </row>
    <row r="64" spans="1:7" x14ac:dyDescent="0.25">
      <c r="A64" s="70">
        <v>42009</v>
      </c>
      <c r="B64" s="46">
        <f>DAYS360(A7,A8,TRUE)</f>
        <v>30</v>
      </c>
      <c r="C64" s="47">
        <f t="shared" si="3"/>
        <v>23790</v>
      </c>
      <c r="D64" s="48">
        <f>C8-E8</f>
        <v>11865.17</v>
      </c>
      <c r="E64" s="68">
        <f>ROUND(F8*$B$2*B8/360,2)</f>
        <v>11924.83</v>
      </c>
      <c r="F64" s="47">
        <f>G7</f>
        <v>953986.18</v>
      </c>
      <c r="G64" s="47">
        <f>F64-D64</f>
        <v>942121.01</v>
      </c>
    </row>
    <row r="65" spans="1:7" x14ac:dyDescent="0.25">
      <c r="A65" s="70">
        <v>42040</v>
      </c>
      <c r="B65" s="84">
        <f t="shared" si="2"/>
        <v>30</v>
      </c>
      <c r="C65" s="90">
        <f>$H$1</f>
        <v>21424</v>
      </c>
      <c r="D65" s="91">
        <f t="shared" ref="D65:D107" si="7">C65-E65</f>
        <v>13572.99</v>
      </c>
      <c r="E65" s="90">
        <f>ROUND(F65*$J$1*B65/360,2)</f>
        <v>7851.01</v>
      </c>
      <c r="F65" s="90">
        <f t="shared" ref="F65:F107" si="8">G64</f>
        <v>942121.01</v>
      </c>
      <c r="G65" s="90">
        <f t="shared" ref="G65:G107" si="9">F65-D65</f>
        <v>928548.02</v>
      </c>
    </row>
    <row r="66" spans="1:7" x14ac:dyDescent="0.25">
      <c r="A66" s="70">
        <v>42068</v>
      </c>
      <c r="B66" s="46">
        <f t="shared" si="2"/>
        <v>30</v>
      </c>
      <c r="C66" s="47">
        <f t="shared" ref="C66:C68" si="10">$H$1</f>
        <v>21424</v>
      </c>
      <c r="D66" s="48">
        <f t="shared" si="7"/>
        <v>13686.1</v>
      </c>
      <c r="E66" s="68">
        <f t="shared" ref="E66:E106" si="11">ROUND(F66*$J$1*B66/360,2)</f>
        <v>7737.9</v>
      </c>
      <c r="F66" s="47">
        <f t="shared" si="8"/>
        <v>928548.02</v>
      </c>
      <c r="G66" s="47">
        <f t="shared" si="9"/>
        <v>914861.92</v>
      </c>
    </row>
    <row r="67" spans="1:7" x14ac:dyDescent="0.25">
      <c r="A67" s="70">
        <v>42099</v>
      </c>
      <c r="B67" s="46">
        <f t="shared" si="2"/>
        <v>30</v>
      </c>
      <c r="C67" s="47">
        <f t="shared" si="10"/>
        <v>21424</v>
      </c>
      <c r="D67" s="48">
        <f t="shared" si="7"/>
        <v>13800.15</v>
      </c>
      <c r="E67" s="68">
        <f t="shared" si="11"/>
        <v>7623.85</v>
      </c>
      <c r="F67" s="47">
        <f t="shared" si="8"/>
        <v>914861.92</v>
      </c>
      <c r="G67" s="47">
        <f t="shared" si="9"/>
        <v>901061.77</v>
      </c>
    </row>
    <row r="68" spans="1:7" x14ac:dyDescent="0.25">
      <c r="A68" s="70">
        <v>42129</v>
      </c>
      <c r="B68" s="46">
        <f t="shared" si="2"/>
        <v>30</v>
      </c>
      <c r="C68" s="47">
        <f t="shared" si="10"/>
        <v>21424</v>
      </c>
      <c r="D68" s="48">
        <f t="shared" si="7"/>
        <v>13915.15</v>
      </c>
      <c r="E68" s="68">
        <f t="shared" si="11"/>
        <v>7508.85</v>
      </c>
      <c r="F68" s="47">
        <f t="shared" si="8"/>
        <v>901061.77</v>
      </c>
      <c r="G68" s="47">
        <f t="shared" si="9"/>
        <v>887146.62</v>
      </c>
    </row>
    <row r="69" spans="1:7" x14ac:dyDescent="0.25">
      <c r="A69" s="70">
        <v>42160</v>
      </c>
      <c r="B69" s="84">
        <f t="shared" si="2"/>
        <v>30</v>
      </c>
      <c r="C69" s="90">
        <f>$N$1</f>
        <v>20217</v>
      </c>
      <c r="D69" s="91">
        <f t="shared" si="7"/>
        <v>13240.779999999999</v>
      </c>
      <c r="E69" s="90">
        <f t="shared" si="11"/>
        <v>6976.22</v>
      </c>
      <c r="F69" s="90">
        <f>G68-P1</f>
        <v>837146.62</v>
      </c>
      <c r="G69" s="90">
        <f t="shared" si="9"/>
        <v>823905.84</v>
      </c>
    </row>
    <row r="70" spans="1:7" x14ac:dyDescent="0.25">
      <c r="A70" s="70">
        <v>42190</v>
      </c>
      <c r="B70" s="46">
        <f t="shared" ref="B70:B107" si="12">DAYS360(A69,A70,TRUE)</f>
        <v>30</v>
      </c>
      <c r="C70" s="47">
        <f t="shared" ref="C70:C80" si="13">$N$1</f>
        <v>20217</v>
      </c>
      <c r="D70" s="48">
        <f t="shared" si="7"/>
        <v>13351.119999999999</v>
      </c>
      <c r="E70" s="68">
        <f t="shared" si="11"/>
        <v>6865.88</v>
      </c>
      <c r="F70" s="47">
        <f t="shared" si="8"/>
        <v>823905.84</v>
      </c>
      <c r="G70" s="47">
        <f t="shared" si="9"/>
        <v>810554.72</v>
      </c>
    </row>
    <row r="71" spans="1:7" x14ac:dyDescent="0.25">
      <c r="A71" s="70">
        <v>42221</v>
      </c>
      <c r="B71" s="46">
        <f t="shared" si="12"/>
        <v>30</v>
      </c>
      <c r="C71" s="47">
        <f t="shared" si="13"/>
        <v>20217</v>
      </c>
      <c r="D71" s="48">
        <f t="shared" si="7"/>
        <v>13462.380000000001</v>
      </c>
      <c r="E71" s="68">
        <f t="shared" si="11"/>
        <v>6754.62</v>
      </c>
      <c r="F71" s="47">
        <f t="shared" si="8"/>
        <v>810554.72</v>
      </c>
      <c r="G71" s="47">
        <f t="shared" si="9"/>
        <v>797092.34</v>
      </c>
    </row>
    <row r="72" spans="1:7" x14ac:dyDescent="0.25">
      <c r="A72" s="70">
        <v>42252</v>
      </c>
      <c r="B72" s="46">
        <f t="shared" si="12"/>
        <v>30</v>
      </c>
      <c r="C72" s="47">
        <f t="shared" si="13"/>
        <v>20217</v>
      </c>
      <c r="D72" s="48">
        <f t="shared" si="7"/>
        <v>13574.560000000001</v>
      </c>
      <c r="E72" s="68">
        <f t="shared" si="11"/>
        <v>6642.44</v>
      </c>
      <c r="F72" s="47">
        <f t="shared" si="8"/>
        <v>797092.34</v>
      </c>
      <c r="G72" s="47">
        <f t="shared" si="9"/>
        <v>783517.77999999991</v>
      </c>
    </row>
    <row r="73" spans="1:7" x14ac:dyDescent="0.25">
      <c r="A73" s="70">
        <v>42282</v>
      </c>
      <c r="B73" s="46">
        <f t="shared" si="12"/>
        <v>30</v>
      </c>
      <c r="C73" s="47">
        <f t="shared" si="13"/>
        <v>20217</v>
      </c>
      <c r="D73" s="48">
        <f t="shared" si="7"/>
        <v>13687.689999999999</v>
      </c>
      <c r="E73" s="68">
        <f t="shared" si="11"/>
        <v>6529.31</v>
      </c>
      <c r="F73" s="47">
        <f t="shared" si="8"/>
        <v>783517.77999999991</v>
      </c>
      <c r="G73" s="47">
        <f t="shared" si="9"/>
        <v>769830.09</v>
      </c>
    </row>
    <row r="74" spans="1:7" x14ac:dyDescent="0.25">
      <c r="A74" s="70">
        <v>42313</v>
      </c>
      <c r="B74" s="46">
        <f t="shared" si="12"/>
        <v>30</v>
      </c>
      <c r="C74" s="47">
        <f t="shared" si="13"/>
        <v>20217</v>
      </c>
      <c r="D74" s="48">
        <f t="shared" si="7"/>
        <v>13801.75</v>
      </c>
      <c r="E74" s="68">
        <f t="shared" si="11"/>
        <v>6415.25</v>
      </c>
      <c r="F74" s="47">
        <f t="shared" si="8"/>
        <v>769830.09</v>
      </c>
      <c r="G74" s="47">
        <f t="shared" si="9"/>
        <v>756028.34</v>
      </c>
    </row>
    <row r="75" spans="1:7" x14ac:dyDescent="0.25">
      <c r="A75" s="70">
        <v>42343</v>
      </c>
      <c r="B75" s="46">
        <f t="shared" si="12"/>
        <v>30</v>
      </c>
      <c r="C75" s="47">
        <f t="shared" si="13"/>
        <v>20217</v>
      </c>
      <c r="D75" s="48">
        <f t="shared" si="7"/>
        <v>13916.76</v>
      </c>
      <c r="E75" s="68">
        <f t="shared" si="11"/>
        <v>6300.24</v>
      </c>
      <c r="F75" s="47">
        <f t="shared" si="8"/>
        <v>756028.34</v>
      </c>
      <c r="G75" s="47">
        <f t="shared" si="9"/>
        <v>742111.58</v>
      </c>
    </row>
    <row r="76" spans="1:7" x14ac:dyDescent="0.25">
      <c r="A76" s="70">
        <v>42374</v>
      </c>
      <c r="B76" s="46">
        <f t="shared" si="12"/>
        <v>30</v>
      </c>
      <c r="C76" s="47">
        <f t="shared" si="13"/>
        <v>20217</v>
      </c>
      <c r="D76" s="48">
        <f t="shared" si="7"/>
        <v>14032.74</v>
      </c>
      <c r="E76" s="68">
        <f t="shared" si="11"/>
        <v>6184.26</v>
      </c>
      <c r="F76" s="47">
        <f t="shared" si="8"/>
        <v>742111.58</v>
      </c>
      <c r="G76" s="47">
        <f t="shared" si="9"/>
        <v>728078.84</v>
      </c>
    </row>
    <row r="77" spans="1:7" x14ac:dyDescent="0.25">
      <c r="A77" s="70">
        <v>42405</v>
      </c>
      <c r="B77" s="46">
        <f t="shared" si="12"/>
        <v>30</v>
      </c>
      <c r="C77" s="47">
        <f t="shared" si="13"/>
        <v>20217</v>
      </c>
      <c r="D77" s="48">
        <f t="shared" si="7"/>
        <v>14149.68</v>
      </c>
      <c r="E77" s="68">
        <f t="shared" si="11"/>
        <v>6067.32</v>
      </c>
      <c r="F77" s="47">
        <f t="shared" si="8"/>
        <v>728078.84</v>
      </c>
      <c r="G77" s="47">
        <f t="shared" si="9"/>
        <v>713929.15999999992</v>
      </c>
    </row>
    <row r="78" spans="1:7" x14ac:dyDescent="0.25">
      <c r="A78" s="70">
        <v>42434</v>
      </c>
      <c r="B78" s="46">
        <f t="shared" si="12"/>
        <v>30</v>
      </c>
      <c r="C78" s="47">
        <f t="shared" si="13"/>
        <v>20217</v>
      </c>
      <c r="D78" s="48">
        <f t="shared" si="7"/>
        <v>14267.59</v>
      </c>
      <c r="E78" s="68">
        <f t="shared" si="11"/>
        <v>5949.41</v>
      </c>
      <c r="F78" s="47">
        <f t="shared" si="8"/>
        <v>713929.15999999992</v>
      </c>
      <c r="G78" s="47">
        <f t="shared" si="9"/>
        <v>699661.57</v>
      </c>
    </row>
    <row r="79" spans="1:7" x14ac:dyDescent="0.25">
      <c r="A79" s="70">
        <v>42465</v>
      </c>
      <c r="B79" s="46">
        <f t="shared" si="12"/>
        <v>30</v>
      </c>
      <c r="C79" s="47">
        <f t="shared" si="13"/>
        <v>20217</v>
      </c>
      <c r="D79" s="48">
        <f t="shared" si="7"/>
        <v>14386.49</v>
      </c>
      <c r="E79" s="68">
        <f t="shared" si="11"/>
        <v>5830.51</v>
      </c>
      <c r="F79" s="47">
        <f t="shared" si="8"/>
        <v>699661.57</v>
      </c>
      <c r="G79" s="47">
        <f t="shared" si="9"/>
        <v>685275.08</v>
      </c>
    </row>
    <row r="80" spans="1:7" x14ac:dyDescent="0.25">
      <c r="A80" s="70">
        <v>42495</v>
      </c>
      <c r="B80" s="46">
        <f t="shared" si="12"/>
        <v>30</v>
      </c>
      <c r="C80" s="47">
        <f t="shared" si="13"/>
        <v>20217</v>
      </c>
      <c r="D80" s="48">
        <f t="shared" si="7"/>
        <v>14506.369999999999</v>
      </c>
      <c r="E80" s="68">
        <f t="shared" si="11"/>
        <v>5710.63</v>
      </c>
      <c r="F80" s="47">
        <f t="shared" si="8"/>
        <v>685275.08</v>
      </c>
      <c r="G80" s="47">
        <f t="shared" si="9"/>
        <v>670768.71</v>
      </c>
    </row>
    <row r="81" spans="1:7" x14ac:dyDescent="0.25">
      <c r="A81" s="70">
        <v>42526</v>
      </c>
      <c r="B81" s="84">
        <f t="shared" si="12"/>
        <v>30</v>
      </c>
      <c r="C81" s="90">
        <f>$F$2</f>
        <v>15000</v>
      </c>
      <c r="D81" s="91">
        <f t="shared" si="7"/>
        <v>9410.26</v>
      </c>
      <c r="E81" s="90">
        <f t="shared" si="11"/>
        <v>5589.74</v>
      </c>
      <c r="F81" s="90">
        <f t="shared" si="8"/>
        <v>670768.71</v>
      </c>
      <c r="G81" s="90">
        <f t="shared" si="9"/>
        <v>661358.44999999995</v>
      </c>
    </row>
    <row r="82" spans="1:7" x14ac:dyDescent="0.25">
      <c r="A82" s="70">
        <v>42556</v>
      </c>
      <c r="B82" s="46">
        <f t="shared" si="12"/>
        <v>30</v>
      </c>
      <c r="C82" s="47">
        <f>$F$2</f>
        <v>15000</v>
      </c>
      <c r="D82" s="48">
        <f t="shared" si="7"/>
        <v>9488.68</v>
      </c>
      <c r="E82" s="68">
        <f t="shared" si="11"/>
        <v>5511.32</v>
      </c>
      <c r="F82" s="47">
        <f t="shared" si="8"/>
        <v>661358.44999999995</v>
      </c>
      <c r="G82" s="47">
        <f t="shared" si="9"/>
        <v>651869.7699999999</v>
      </c>
    </row>
    <row r="83" spans="1:7" x14ac:dyDescent="0.25">
      <c r="A83" s="70">
        <v>42587</v>
      </c>
      <c r="B83" s="46">
        <f t="shared" si="12"/>
        <v>30</v>
      </c>
      <c r="C83" s="47">
        <f>$F$2</f>
        <v>15000</v>
      </c>
      <c r="D83" s="48">
        <f t="shared" si="7"/>
        <v>9567.75</v>
      </c>
      <c r="E83" s="68">
        <f t="shared" si="11"/>
        <v>5432.25</v>
      </c>
      <c r="F83" s="47">
        <f t="shared" si="8"/>
        <v>651869.7699999999</v>
      </c>
      <c r="G83" s="47">
        <f t="shared" si="9"/>
        <v>642302.0199999999</v>
      </c>
    </row>
    <row r="84" spans="1:7" x14ac:dyDescent="0.25">
      <c r="A84" s="70">
        <v>42618</v>
      </c>
      <c r="B84" s="46">
        <f t="shared" si="12"/>
        <v>30</v>
      </c>
      <c r="C84" s="47">
        <f t="shared" ref="C84:C92" si="14">$F$2</f>
        <v>15000</v>
      </c>
      <c r="D84" s="48">
        <f t="shared" si="7"/>
        <v>9647.48</v>
      </c>
      <c r="E84" s="68">
        <f t="shared" si="11"/>
        <v>5352.52</v>
      </c>
      <c r="F84" s="47">
        <f t="shared" si="8"/>
        <v>642302.0199999999</v>
      </c>
      <c r="G84" s="47">
        <f t="shared" si="9"/>
        <v>632654.53999999992</v>
      </c>
    </row>
    <row r="85" spans="1:7" x14ac:dyDescent="0.25">
      <c r="A85" s="70">
        <v>42648</v>
      </c>
      <c r="B85" s="46">
        <f t="shared" si="12"/>
        <v>30</v>
      </c>
      <c r="C85" s="47">
        <f t="shared" si="14"/>
        <v>15000</v>
      </c>
      <c r="D85" s="48">
        <f t="shared" si="7"/>
        <v>9727.880000000001</v>
      </c>
      <c r="E85" s="68">
        <f t="shared" si="11"/>
        <v>5272.12</v>
      </c>
      <c r="F85" s="47">
        <f t="shared" si="8"/>
        <v>632654.53999999992</v>
      </c>
      <c r="G85" s="47">
        <f t="shared" si="9"/>
        <v>622926.65999999992</v>
      </c>
    </row>
    <row r="86" spans="1:7" x14ac:dyDescent="0.25">
      <c r="A86" s="70">
        <v>42679</v>
      </c>
      <c r="B86" s="46">
        <f t="shared" si="12"/>
        <v>30</v>
      </c>
      <c r="C86" s="47">
        <f t="shared" si="14"/>
        <v>15000</v>
      </c>
      <c r="D86" s="48">
        <f t="shared" si="7"/>
        <v>9808.9399999999987</v>
      </c>
      <c r="E86" s="68">
        <f t="shared" si="11"/>
        <v>5191.0600000000004</v>
      </c>
      <c r="F86" s="47">
        <f t="shared" si="8"/>
        <v>622926.65999999992</v>
      </c>
      <c r="G86" s="47">
        <f t="shared" si="9"/>
        <v>613117.72</v>
      </c>
    </row>
    <row r="87" spans="1:7" x14ac:dyDescent="0.25">
      <c r="A87" s="70">
        <v>42709</v>
      </c>
      <c r="B87" s="46">
        <f t="shared" si="12"/>
        <v>30</v>
      </c>
      <c r="C87" s="47">
        <f t="shared" si="14"/>
        <v>15000</v>
      </c>
      <c r="D87" s="48">
        <f t="shared" si="7"/>
        <v>9890.6899999999987</v>
      </c>
      <c r="E87" s="68">
        <f t="shared" si="11"/>
        <v>5109.3100000000004</v>
      </c>
      <c r="F87" s="47">
        <f t="shared" si="8"/>
        <v>613117.72</v>
      </c>
      <c r="G87" s="47">
        <f t="shared" si="9"/>
        <v>603227.03</v>
      </c>
    </row>
    <row r="88" spans="1:7" x14ac:dyDescent="0.25">
      <c r="A88" s="70">
        <v>42740</v>
      </c>
      <c r="B88" s="46">
        <f t="shared" si="12"/>
        <v>30</v>
      </c>
      <c r="C88" s="47">
        <f t="shared" si="14"/>
        <v>15000</v>
      </c>
      <c r="D88" s="48">
        <f t="shared" si="7"/>
        <v>9973.11</v>
      </c>
      <c r="E88" s="68">
        <f t="shared" si="11"/>
        <v>5026.8900000000003</v>
      </c>
      <c r="F88" s="47">
        <f t="shared" si="8"/>
        <v>603227.03</v>
      </c>
      <c r="G88" s="47">
        <f t="shared" si="9"/>
        <v>593253.92000000004</v>
      </c>
    </row>
    <row r="89" spans="1:7" x14ac:dyDescent="0.25">
      <c r="A89" s="70">
        <v>42771</v>
      </c>
      <c r="B89" s="46">
        <f t="shared" si="12"/>
        <v>30</v>
      </c>
      <c r="C89" s="47">
        <f t="shared" si="14"/>
        <v>15000</v>
      </c>
      <c r="D89" s="48">
        <f t="shared" si="7"/>
        <v>10056.220000000001</v>
      </c>
      <c r="E89" s="68">
        <f t="shared" si="11"/>
        <v>4943.78</v>
      </c>
      <c r="F89" s="47">
        <f t="shared" si="8"/>
        <v>593253.92000000004</v>
      </c>
      <c r="G89" s="47">
        <f t="shared" si="9"/>
        <v>583197.70000000007</v>
      </c>
    </row>
    <row r="90" spans="1:7" x14ac:dyDescent="0.25">
      <c r="A90" s="70">
        <v>42799</v>
      </c>
      <c r="B90" s="46">
        <f t="shared" si="12"/>
        <v>30</v>
      </c>
      <c r="C90" s="47">
        <f t="shared" si="14"/>
        <v>15000</v>
      </c>
      <c r="D90" s="48">
        <f t="shared" si="7"/>
        <v>10140.02</v>
      </c>
      <c r="E90" s="68">
        <f t="shared" si="11"/>
        <v>4859.9799999999996</v>
      </c>
      <c r="F90" s="47">
        <f t="shared" si="8"/>
        <v>583197.70000000007</v>
      </c>
      <c r="G90" s="47">
        <f t="shared" si="9"/>
        <v>573057.68000000005</v>
      </c>
    </row>
    <row r="91" spans="1:7" x14ac:dyDescent="0.25">
      <c r="A91" s="70">
        <v>42830</v>
      </c>
      <c r="B91" s="46">
        <f t="shared" si="12"/>
        <v>30</v>
      </c>
      <c r="C91" s="47">
        <f t="shared" si="14"/>
        <v>15000</v>
      </c>
      <c r="D91" s="48">
        <f t="shared" si="7"/>
        <v>10224.52</v>
      </c>
      <c r="E91" s="68">
        <f t="shared" si="11"/>
        <v>4775.4799999999996</v>
      </c>
      <c r="F91" s="47">
        <f t="shared" si="8"/>
        <v>573057.68000000005</v>
      </c>
      <c r="G91" s="47">
        <f t="shared" si="9"/>
        <v>562833.16</v>
      </c>
    </row>
    <row r="92" spans="1:7" x14ac:dyDescent="0.25">
      <c r="A92" s="70">
        <v>42860</v>
      </c>
      <c r="B92" s="46">
        <f t="shared" si="12"/>
        <v>30</v>
      </c>
      <c r="C92" s="47">
        <f t="shared" si="14"/>
        <v>15000</v>
      </c>
      <c r="D92" s="48">
        <f t="shared" si="7"/>
        <v>10309.720000000001</v>
      </c>
      <c r="E92" s="68">
        <f t="shared" si="11"/>
        <v>4690.28</v>
      </c>
      <c r="F92" s="47">
        <f t="shared" si="8"/>
        <v>562833.16</v>
      </c>
      <c r="G92" s="47">
        <f t="shared" si="9"/>
        <v>552523.44000000006</v>
      </c>
    </row>
    <row r="93" spans="1:7" x14ac:dyDescent="0.25">
      <c r="A93" s="70">
        <v>42891</v>
      </c>
      <c r="B93" s="84">
        <f t="shared" si="12"/>
        <v>30</v>
      </c>
      <c r="C93" s="90">
        <f>$J$2</f>
        <v>39339</v>
      </c>
      <c r="D93" s="91">
        <f t="shared" si="7"/>
        <v>34734.639999999999</v>
      </c>
      <c r="E93" s="90">
        <f t="shared" si="11"/>
        <v>4604.3599999999997</v>
      </c>
      <c r="F93" s="90">
        <f t="shared" si="8"/>
        <v>552523.44000000006</v>
      </c>
      <c r="G93" s="90">
        <f t="shared" si="9"/>
        <v>517788.80000000005</v>
      </c>
    </row>
    <row r="94" spans="1:7" x14ac:dyDescent="0.25">
      <c r="A94" s="70">
        <v>42921</v>
      </c>
      <c r="B94" s="46">
        <f t="shared" si="12"/>
        <v>30</v>
      </c>
      <c r="C94" s="68">
        <f>$J$2</f>
        <v>39339</v>
      </c>
      <c r="D94" s="48">
        <f t="shared" si="7"/>
        <v>35024.089999999997</v>
      </c>
      <c r="E94" s="68">
        <f t="shared" si="11"/>
        <v>4314.91</v>
      </c>
      <c r="F94" s="47">
        <f t="shared" si="8"/>
        <v>517788.80000000005</v>
      </c>
      <c r="G94" s="47">
        <f t="shared" si="9"/>
        <v>482764.71000000008</v>
      </c>
    </row>
    <row r="95" spans="1:7" x14ac:dyDescent="0.25">
      <c r="A95" s="70">
        <v>42952</v>
      </c>
      <c r="B95" s="46">
        <f t="shared" si="12"/>
        <v>30</v>
      </c>
      <c r="C95" s="68">
        <f t="shared" ref="C95:C107" si="15">$J$2</f>
        <v>39339</v>
      </c>
      <c r="D95" s="48">
        <f t="shared" si="7"/>
        <v>35315.96</v>
      </c>
      <c r="E95" s="68">
        <f t="shared" si="11"/>
        <v>4023.04</v>
      </c>
      <c r="F95" s="47">
        <f t="shared" si="8"/>
        <v>482764.71000000008</v>
      </c>
      <c r="G95" s="47">
        <f t="shared" si="9"/>
        <v>447448.75000000006</v>
      </c>
    </row>
    <row r="96" spans="1:7" x14ac:dyDescent="0.25">
      <c r="A96" s="70">
        <v>42983</v>
      </c>
      <c r="B96" s="46">
        <f t="shared" si="12"/>
        <v>30</v>
      </c>
      <c r="C96" s="68">
        <f t="shared" si="15"/>
        <v>39339</v>
      </c>
      <c r="D96" s="48">
        <f t="shared" si="7"/>
        <v>35610.26</v>
      </c>
      <c r="E96" s="68">
        <f t="shared" si="11"/>
        <v>3728.74</v>
      </c>
      <c r="F96" s="47">
        <f t="shared" si="8"/>
        <v>447448.75000000006</v>
      </c>
      <c r="G96" s="47">
        <f t="shared" si="9"/>
        <v>411838.49000000005</v>
      </c>
    </row>
    <row r="97" spans="1:7" x14ac:dyDescent="0.25">
      <c r="A97" s="70">
        <v>43013</v>
      </c>
      <c r="B97" s="46">
        <f t="shared" si="12"/>
        <v>30</v>
      </c>
      <c r="C97" s="68">
        <f t="shared" si="15"/>
        <v>39339</v>
      </c>
      <c r="D97" s="48">
        <f t="shared" si="7"/>
        <v>35907.01</v>
      </c>
      <c r="E97" s="68">
        <f t="shared" si="11"/>
        <v>3431.99</v>
      </c>
      <c r="F97" s="47">
        <f t="shared" si="8"/>
        <v>411838.49000000005</v>
      </c>
      <c r="G97" s="47">
        <f t="shared" si="9"/>
        <v>375931.48000000004</v>
      </c>
    </row>
    <row r="98" spans="1:7" x14ac:dyDescent="0.25">
      <c r="A98" s="70">
        <v>43044</v>
      </c>
      <c r="B98" s="46">
        <f t="shared" si="12"/>
        <v>30</v>
      </c>
      <c r="C98" s="68">
        <f t="shared" si="15"/>
        <v>39339</v>
      </c>
      <c r="D98" s="48">
        <f t="shared" si="7"/>
        <v>36206.239999999998</v>
      </c>
      <c r="E98" s="68">
        <f t="shared" si="11"/>
        <v>3132.76</v>
      </c>
      <c r="F98" s="47">
        <f t="shared" si="8"/>
        <v>375931.48000000004</v>
      </c>
      <c r="G98" s="47">
        <f t="shared" si="9"/>
        <v>339725.24000000005</v>
      </c>
    </row>
    <row r="99" spans="1:7" x14ac:dyDescent="0.25">
      <c r="A99" s="70">
        <v>43074</v>
      </c>
      <c r="B99" s="46">
        <f t="shared" si="12"/>
        <v>30</v>
      </c>
      <c r="C99" s="68">
        <f t="shared" si="15"/>
        <v>39339</v>
      </c>
      <c r="D99" s="48">
        <f t="shared" si="7"/>
        <v>36507.96</v>
      </c>
      <c r="E99" s="68">
        <f t="shared" si="11"/>
        <v>2831.04</v>
      </c>
      <c r="F99" s="47">
        <f t="shared" si="8"/>
        <v>339725.24000000005</v>
      </c>
      <c r="G99" s="47">
        <f t="shared" si="9"/>
        <v>303217.28000000003</v>
      </c>
    </row>
    <row r="100" spans="1:7" x14ac:dyDescent="0.25">
      <c r="A100" s="70">
        <v>43105</v>
      </c>
      <c r="B100" s="46">
        <f t="shared" si="12"/>
        <v>30</v>
      </c>
      <c r="C100" s="68">
        <f t="shared" si="15"/>
        <v>39339</v>
      </c>
      <c r="D100" s="48">
        <f t="shared" si="7"/>
        <v>36812.19</v>
      </c>
      <c r="E100" s="68">
        <f t="shared" si="11"/>
        <v>2526.81</v>
      </c>
      <c r="F100" s="47">
        <f t="shared" si="8"/>
        <v>303217.28000000003</v>
      </c>
      <c r="G100" s="47">
        <f t="shared" si="9"/>
        <v>266405.09000000003</v>
      </c>
    </row>
    <row r="101" spans="1:7" x14ac:dyDescent="0.25">
      <c r="A101" s="70">
        <v>43136</v>
      </c>
      <c r="B101" s="46">
        <f t="shared" si="12"/>
        <v>30</v>
      </c>
      <c r="C101" s="68">
        <f t="shared" si="15"/>
        <v>39339</v>
      </c>
      <c r="D101" s="48">
        <f t="shared" si="7"/>
        <v>37118.959999999999</v>
      </c>
      <c r="E101" s="68">
        <f t="shared" si="11"/>
        <v>2220.04</v>
      </c>
      <c r="F101" s="47">
        <f t="shared" si="8"/>
        <v>266405.09000000003</v>
      </c>
      <c r="G101" s="47">
        <f t="shared" si="9"/>
        <v>229286.13000000003</v>
      </c>
    </row>
    <row r="102" spans="1:7" x14ac:dyDescent="0.25">
      <c r="A102" s="70">
        <v>43164</v>
      </c>
      <c r="B102" s="46">
        <f t="shared" si="12"/>
        <v>30</v>
      </c>
      <c r="C102" s="68">
        <f t="shared" si="15"/>
        <v>39339</v>
      </c>
      <c r="D102" s="48">
        <f t="shared" si="7"/>
        <v>37428.28</v>
      </c>
      <c r="E102" s="68">
        <f t="shared" si="11"/>
        <v>1910.72</v>
      </c>
      <c r="F102" s="47">
        <f t="shared" si="8"/>
        <v>229286.13000000003</v>
      </c>
      <c r="G102" s="47">
        <f t="shared" si="9"/>
        <v>191857.85000000003</v>
      </c>
    </row>
    <row r="103" spans="1:7" x14ac:dyDescent="0.25">
      <c r="A103" s="70">
        <v>43195</v>
      </c>
      <c r="B103" s="46">
        <f t="shared" si="12"/>
        <v>30</v>
      </c>
      <c r="C103" s="68">
        <f t="shared" si="15"/>
        <v>39339</v>
      </c>
      <c r="D103" s="48">
        <f t="shared" si="7"/>
        <v>37740.18</v>
      </c>
      <c r="E103" s="68">
        <f t="shared" si="11"/>
        <v>1598.82</v>
      </c>
      <c r="F103" s="47">
        <f t="shared" si="8"/>
        <v>191857.85000000003</v>
      </c>
      <c r="G103" s="47">
        <f t="shared" si="9"/>
        <v>154117.67000000004</v>
      </c>
    </row>
    <row r="104" spans="1:7" x14ac:dyDescent="0.25">
      <c r="A104" s="70">
        <v>43225</v>
      </c>
      <c r="B104" s="46">
        <f t="shared" si="12"/>
        <v>30</v>
      </c>
      <c r="C104" s="68">
        <f t="shared" si="15"/>
        <v>39339</v>
      </c>
      <c r="D104" s="48">
        <f t="shared" si="7"/>
        <v>38054.69</v>
      </c>
      <c r="E104" s="68">
        <f t="shared" si="11"/>
        <v>1284.31</v>
      </c>
      <c r="F104" s="47">
        <f t="shared" si="8"/>
        <v>154117.67000000004</v>
      </c>
      <c r="G104" s="47">
        <f t="shared" si="9"/>
        <v>116062.98000000004</v>
      </c>
    </row>
    <row r="105" spans="1:7" x14ac:dyDescent="0.25">
      <c r="A105" s="70">
        <v>43256</v>
      </c>
      <c r="B105" s="46">
        <f t="shared" si="12"/>
        <v>30</v>
      </c>
      <c r="C105" s="68">
        <f t="shared" si="15"/>
        <v>39339</v>
      </c>
      <c r="D105" s="48">
        <f t="shared" si="7"/>
        <v>38371.81</v>
      </c>
      <c r="E105" s="68">
        <f t="shared" si="11"/>
        <v>967.19</v>
      </c>
      <c r="F105" s="47">
        <f t="shared" si="8"/>
        <v>116062.98000000004</v>
      </c>
      <c r="G105" s="47">
        <f t="shared" si="9"/>
        <v>77691.170000000042</v>
      </c>
    </row>
    <row r="106" spans="1:7" x14ac:dyDescent="0.25">
      <c r="A106" s="70">
        <v>43286</v>
      </c>
      <c r="B106" s="46">
        <f t="shared" si="12"/>
        <v>30</v>
      </c>
      <c r="C106" s="68">
        <f t="shared" si="15"/>
        <v>39339</v>
      </c>
      <c r="D106" s="48">
        <f t="shared" si="7"/>
        <v>38691.57</v>
      </c>
      <c r="E106" s="68">
        <f t="shared" si="11"/>
        <v>647.42999999999995</v>
      </c>
      <c r="F106" s="47">
        <f t="shared" si="8"/>
        <v>77691.170000000042</v>
      </c>
      <c r="G106" s="47">
        <f t="shared" si="9"/>
        <v>38999.600000000042</v>
      </c>
    </row>
    <row r="107" spans="1:7" x14ac:dyDescent="0.25">
      <c r="A107" s="70">
        <v>43317</v>
      </c>
      <c r="B107" s="46">
        <f t="shared" si="12"/>
        <v>30</v>
      </c>
      <c r="C107" s="68">
        <f t="shared" si="15"/>
        <v>39339</v>
      </c>
      <c r="D107" s="48">
        <f t="shared" si="7"/>
        <v>38999.600000000042</v>
      </c>
      <c r="E107" s="68">
        <v>339.3999999999578</v>
      </c>
      <c r="F107" s="47">
        <f t="shared" si="8"/>
        <v>38999.600000000042</v>
      </c>
      <c r="G107" s="47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63AE00-7778-4720-BFB6-57519527AB79}">
  <dimension ref="A1:AA3"/>
  <sheetViews>
    <sheetView workbookViewId="0">
      <selection activeCell="F13" sqref="F1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6" width="16.85546875" customWidth="1"/>
    <col min="27" max="27" width="51.425781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184</v>
      </c>
      <c r="G2" s="9" t="s">
        <v>24</v>
      </c>
      <c r="H2" s="9" t="s">
        <v>172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185</v>
      </c>
      <c r="P2" s="20" t="s">
        <v>21</v>
      </c>
      <c r="Q2" s="20" t="s">
        <v>84</v>
      </c>
      <c r="R2" s="20" t="s">
        <v>186</v>
      </c>
      <c r="S2" s="20" t="s">
        <v>45</v>
      </c>
      <c r="T2" s="20" t="s">
        <v>142</v>
      </c>
      <c r="U2" s="20" t="s">
        <v>187</v>
      </c>
      <c r="V2" s="20" t="s">
        <v>141</v>
      </c>
      <c r="W2" s="20" t="s">
        <v>180</v>
      </c>
      <c r="X2" s="20" t="s">
        <v>188</v>
      </c>
      <c r="Y2" s="20" t="s">
        <v>104</v>
      </c>
      <c r="Z2" s="20" t="s">
        <v>181</v>
      </c>
      <c r="AA2" s="50" t="s">
        <v>189</v>
      </c>
    </row>
    <row r="3" spans="1:27" x14ac:dyDescent="0.25">
      <c r="A3" s="7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184</v>
      </c>
      <c r="G3" s="9" t="s">
        <v>24</v>
      </c>
      <c r="H3" s="9" t="s">
        <v>172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185</v>
      </c>
      <c r="P3" s="20" t="s">
        <v>21</v>
      </c>
      <c r="Q3" s="20" t="s">
        <v>84</v>
      </c>
      <c r="R3" s="20" t="s">
        <v>186</v>
      </c>
      <c r="S3" s="20" t="s">
        <v>45</v>
      </c>
      <c r="T3" s="20" t="s">
        <v>142</v>
      </c>
      <c r="U3" s="20" t="s">
        <v>187</v>
      </c>
      <c r="V3" s="20" t="s">
        <v>141</v>
      </c>
      <c r="W3" s="20" t="s">
        <v>180</v>
      </c>
      <c r="X3" s="20" t="s">
        <v>188</v>
      </c>
      <c r="Y3" s="20" t="s">
        <v>104</v>
      </c>
      <c r="Z3" s="20" t="s">
        <v>181</v>
      </c>
      <c r="AA3" s="50" t="s">
        <v>190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D8FB5A-D81E-4BA4-A622-11068CC0C981}">
  <dimension ref="A1:P107"/>
  <sheetViews>
    <sheetView zoomScale="80" zoomScaleNormal="80" workbookViewId="0">
      <pane ySplit="3" topLeftCell="A82" activePane="bottomLeft" state="frozen"/>
      <selection activeCell="A3" sqref="A3"/>
      <selection pane="bottomLeft" activeCell="A3" sqref="A3"/>
    </sheetView>
  </sheetViews>
  <sheetFormatPr defaultColWidth="13.42578125"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8.7109375" bestFit="1" customWidth="1"/>
    <col min="6" max="6" width="17" bestFit="1" customWidth="1"/>
    <col min="7" max="7" width="18.7109375" bestFit="1" customWidth="1"/>
    <col min="8" max="8" width="16.7109375" bestFit="1" customWidth="1"/>
    <col min="9" max="9" width="17.42578125" bestFit="1" customWidth="1"/>
    <col min="10" max="10" width="9.28515625" bestFit="1" customWidth="1"/>
    <col min="11" max="11" width="18.7109375" bestFit="1" customWidth="1"/>
    <col min="12" max="12" width="10.85546875" bestFit="1" customWidth="1"/>
    <col min="13" max="13" width="17.42578125" bestFit="1" customWidth="1"/>
    <col min="14" max="14" width="6.5703125" bestFit="1" customWidth="1"/>
    <col min="15" max="15" width="15.85546875" bestFit="1" customWidth="1"/>
    <col min="16" max="16" width="6.5703125" bestFit="1" customWidth="1"/>
  </cols>
  <sheetData>
    <row r="1" spans="1:16" x14ac:dyDescent="0.25">
      <c r="A1" s="17" t="s">
        <v>33</v>
      </c>
      <c r="B1" s="78">
        <v>44778</v>
      </c>
      <c r="C1" s="17" t="s">
        <v>37</v>
      </c>
      <c r="D1" s="79">
        <f>ROUNDUP(23797.2324459771,0)</f>
        <v>23798</v>
      </c>
      <c r="E1" s="73" t="s">
        <v>147</v>
      </c>
      <c r="F1" s="74">
        <v>42009</v>
      </c>
      <c r="G1" s="73" t="s">
        <v>150</v>
      </c>
      <c r="H1" s="79">
        <f>ROUNDUP(21430.8531468448,0)</f>
        <v>21431</v>
      </c>
      <c r="I1" s="73" t="s">
        <v>175</v>
      </c>
      <c r="J1" s="87">
        <v>0.1</v>
      </c>
      <c r="K1" s="73" t="s">
        <v>148</v>
      </c>
      <c r="L1" s="74">
        <v>42129</v>
      </c>
      <c r="M1" s="73" t="s">
        <v>149</v>
      </c>
      <c r="N1" s="69">
        <f>ROUNDUP(20222.8411378017,0)</f>
        <v>20223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42495</v>
      </c>
      <c r="E2" s="73" t="s">
        <v>177</v>
      </c>
      <c r="F2" s="69">
        <v>15000</v>
      </c>
      <c r="G2" s="73" t="s">
        <v>173</v>
      </c>
      <c r="H2" s="74">
        <v>42860</v>
      </c>
      <c r="I2" s="73" t="s">
        <v>174</v>
      </c>
      <c r="J2" s="89">
        <f>ROUNDUP(39355.0439220358,0)</f>
        <v>39356</v>
      </c>
      <c r="K2" s="73" t="s">
        <v>178</v>
      </c>
      <c r="L2" s="88">
        <v>48</v>
      </c>
    </row>
    <row r="3" spans="1:16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6" x14ac:dyDescent="0.25">
      <c r="A4" s="36">
        <v>44809</v>
      </c>
      <c r="B4" s="46">
        <f>A4-B1</f>
        <v>31</v>
      </c>
      <c r="C4" s="47">
        <f>$D$1</f>
        <v>23798</v>
      </c>
      <c r="D4" s="48">
        <f t="shared" ref="D4:D63" si="0">C4-E4</f>
        <v>11058.27</v>
      </c>
      <c r="E4" s="68">
        <f t="shared" ref="E4:E62" si="1">ROUND(F4*$B$2*B4/365,2)</f>
        <v>12739.73</v>
      </c>
      <c r="F4" s="47">
        <v>1000000</v>
      </c>
      <c r="G4" s="47">
        <f t="shared" ref="G4:G67" si="2">F4-D4</f>
        <v>988941.73</v>
      </c>
    </row>
    <row r="5" spans="1:16" x14ac:dyDescent="0.25">
      <c r="A5" s="36">
        <v>44839</v>
      </c>
      <c r="B5" s="46">
        <f>A5-A4</f>
        <v>30</v>
      </c>
      <c r="C5" s="47">
        <f t="shared" ref="C5:C64" si="3">$D$1</f>
        <v>23798</v>
      </c>
      <c r="D5" s="48">
        <f t="shared" si="0"/>
        <v>11605.57</v>
      </c>
      <c r="E5" s="68">
        <f t="shared" si="1"/>
        <v>12192.43</v>
      </c>
      <c r="F5" s="47">
        <f>G4</f>
        <v>988941.73</v>
      </c>
      <c r="G5" s="47">
        <f t="shared" si="2"/>
        <v>977336.16</v>
      </c>
    </row>
    <row r="6" spans="1:16" x14ac:dyDescent="0.25">
      <c r="A6" s="36">
        <v>44870</v>
      </c>
      <c r="B6" s="46">
        <f t="shared" ref="B6:B69" si="4">A6-A5</f>
        <v>31</v>
      </c>
      <c r="C6" s="47">
        <f t="shared" si="3"/>
        <v>23798</v>
      </c>
      <c r="D6" s="48">
        <f t="shared" si="0"/>
        <v>11347.01</v>
      </c>
      <c r="E6" s="68">
        <f t="shared" si="1"/>
        <v>12450.99</v>
      </c>
      <c r="F6" s="47">
        <f t="shared" ref="F6:F68" si="5">G5</f>
        <v>977336.16</v>
      </c>
      <c r="G6" s="47">
        <f t="shared" si="2"/>
        <v>965989.15</v>
      </c>
    </row>
    <row r="7" spans="1:16" x14ac:dyDescent="0.25">
      <c r="A7" s="36">
        <v>44900</v>
      </c>
      <c r="B7" s="46">
        <f t="shared" si="4"/>
        <v>30</v>
      </c>
      <c r="C7" s="47">
        <f t="shared" si="3"/>
        <v>23798</v>
      </c>
      <c r="D7" s="48">
        <f t="shared" si="0"/>
        <v>11888.54</v>
      </c>
      <c r="E7" s="68">
        <f t="shared" si="1"/>
        <v>11909.46</v>
      </c>
      <c r="F7" s="47">
        <f t="shared" si="5"/>
        <v>965989.15</v>
      </c>
      <c r="G7" s="47">
        <f t="shared" si="2"/>
        <v>954100.61</v>
      </c>
    </row>
    <row r="8" spans="1:16" x14ac:dyDescent="0.25">
      <c r="A8" s="36">
        <v>44931</v>
      </c>
      <c r="B8" s="46">
        <f t="shared" si="4"/>
        <v>31</v>
      </c>
      <c r="C8" s="47">
        <f t="shared" si="3"/>
        <v>23798</v>
      </c>
      <c r="D8" s="48">
        <f t="shared" si="0"/>
        <v>11643.02</v>
      </c>
      <c r="E8" s="68">
        <f t="shared" si="1"/>
        <v>12154.98</v>
      </c>
      <c r="F8" s="47">
        <f t="shared" si="5"/>
        <v>954100.61</v>
      </c>
      <c r="G8" s="47">
        <f t="shared" si="2"/>
        <v>942457.59</v>
      </c>
    </row>
    <row r="9" spans="1:16" x14ac:dyDescent="0.25">
      <c r="A9" s="36">
        <v>44962</v>
      </c>
      <c r="B9" s="46">
        <f t="shared" si="4"/>
        <v>31</v>
      </c>
      <c r="C9" s="47">
        <f t="shared" si="3"/>
        <v>23798</v>
      </c>
      <c r="D9" s="48">
        <f t="shared" si="0"/>
        <v>11791.35</v>
      </c>
      <c r="E9" s="68">
        <f t="shared" si="1"/>
        <v>12006.65</v>
      </c>
      <c r="F9" s="47">
        <f t="shared" si="5"/>
        <v>942457.59</v>
      </c>
      <c r="G9" s="47">
        <f t="shared" si="2"/>
        <v>930666.24</v>
      </c>
    </row>
    <row r="10" spans="1:16" x14ac:dyDescent="0.25">
      <c r="A10" s="36">
        <v>44990</v>
      </c>
      <c r="B10" s="46">
        <f t="shared" si="4"/>
        <v>28</v>
      </c>
      <c r="C10" s="47">
        <f t="shared" si="3"/>
        <v>23798</v>
      </c>
      <c r="D10" s="48">
        <f t="shared" si="0"/>
        <v>13088.96</v>
      </c>
      <c r="E10" s="68">
        <f t="shared" si="1"/>
        <v>10709.04</v>
      </c>
      <c r="F10" s="47">
        <f t="shared" si="5"/>
        <v>930666.24</v>
      </c>
      <c r="G10" s="47">
        <f t="shared" si="2"/>
        <v>917577.28</v>
      </c>
    </row>
    <row r="11" spans="1:16" x14ac:dyDescent="0.25">
      <c r="A11" s="36">
        <v>45021</v>
      </c>
      <c r="B11" s="46">
        <f t="shared" si="4"/>
        <v>31</v>
      </c>
      <c r="C11" s="47">
        <f t="shared" si="3"/>
        <v>23798</v>
      </c>
      <c r="D11" s="48">
        <f t="shared" si="0"/>
        <v>12108.32</v>
      </c>
      <c r="E11" s="68">
        <f t="shared" si="1"/>
        <v>11689.68</v>
      </c>
      <c r="F11" s="47">
        <f t="shared" si="5"/>
        <v>917577.28</v>
      </c>
      <c r="G11" s="47">
        <f t="shared" si="2"/>
        <v>905468.96000000008</v>
      </c>
    </row>
    <row r="12" spans="1:16" x14ac:dyDescent="0.25">
      <c r="A12" s="36">
        <v>45051</v>
      </c>
      <c r="B12" s="46">
        <f t="shared" si="4"/>
        <v>30</v>
      </c>
      <c r="C12" s="47">
        <f t="shared" si="3"/>
        <v>23798</v>
      </c>
      <c r="D12" s="48">
        <f t="shared" si="0"/>
        <v>12634.68</v>
      </c>
      <c r="E12" s="68">
        <f t="shared" si="1"/>
        <v>11163.32</v>
      </c>
      <c r="F12" s="47">
        <f t="shared" si="5"/>
        <v>905468.96000000008</v>
      </c>
      <c r="G12" s="47">
        <f t="shared" si="2"/>
        <v>892834.28</v>
      </c>
    </row>
    <row r="13" spans="1:16" x14ac:dyDescent="0.25">
      <c r="A13" s="36">
        <v>45082</v>
      </c>
      <c r="B13" s="46">
        <f t="shared" si="4"/>
        <v>31</v>
      </c>
      <c r="C13" s="47">
        <f t="shared" si="3"/>
        <v>23798</v>
      </c>
      <c r="D13" s="48">
        <f t="shared" si="0"/>
        <v>12423.54</v>
      </c>
      <c r="E13" s="68">
        <f t="shared" si="1"/>
        <v>11374.46</v>
      </c>
      <c r="F13" s="47">
        <f t="shared" si="5"/>
        <v>892834.28</v>
      </c>
      <c r="G13" s="47">
        <f t="shared" si="2"/>
        <v>880410.74</v>
      </c>
    </row>
    <row r="14" spans="1:16" x14ac:dyDescent="0.25">
      <c r="A14" s="36">
        <v>45112</v>
      </c>
      <c r="B14" s="46">
        <f t="shared" si="4"/>
        <v>30</v>
      </c>
      <c r="C14" s="47">
        <f t="shared" si="3"/>
        <v>23798</v>
      </c>
      <c r="D14" s="48">
        <f t="shared" si="0"/>
        <v>12943.62</v>
      </c>
      <c r="E14" s="68">
        <f t="shared" si="1"/>
        <v>10854.38</v>
      </c>
      <c r="F14" s="47">
        <f t="shared" si="5"/>
        <v>880410.74</v>
      </c>
      <c r="G14" s="47">
        <f t="shared" si="2"/>
        <v>867467.12</v>
      </c>
    </row>
    <row r="15" spans="1:16" x14ac:dyDescent="0.25">
      <c r="A15" s="36">
        <v>45143</v>
      </c>
      <c r="B15" s="46">
        <f t="shared" si="4"/>
        <v>31</v>
      </c>
      <c r="C15" s="47">
        <f t="shared" si="3"/>
        <v>23798</v>
      </c>
      <c r="D15" s="48">
        <f t="shared" si="0"/>
        <v>12746.71</v>
      </c>
      <c r="E15" s="68">
        <f t="shared" si="1"/>
        <v>11051.29</v>
      </c>
      <c r="F15" s="47">
        <f t="shared" si="5"/>
        <v>867467.12</v>
      </c>
      <c r="G15" s="47">
        <f t="shared" si="2"/>
        <v>854720.41</v>
      </c>
    </row>
    <row r="16" spans="1:16" x14ac:dyDescent="0.25">
      <c r="A16" s="36">
        <v>45174</v>
      </c>
      <c r="B16" s="46">
        <f t="shared" si="4"/>
        <v>31</v>
      </c>
      <c r="C16" s="47">
        <f t="shared" si="3"/>
        <v>23798</v>
      </c>
      <c r="D16" s="48">
        <f t="shared" si="0"/>
        <v>12909.1</v>
      </c>
      <c r="E16" s="68">
        <f t="shared" si="1"/>
        <v>10888.9</v>
      </c>
      <c r="F16" s="47">
        <f t="shared" si="5"/>
        <v>854720.41</v>
      </c>
      <c r="G16" s="47">
        <f t="shared" si="2"/>
        <v>841811.31</v>
      </c>
    </row>
    <row r="17" spans="1:7" x14ac:dyDescent="0.25">
      <c r="A17" s="36">
        <v>45204</v>
      </c>
      <c r="B17" s="46">
        <f t="shared" si="4"/>
        <v>30</v>
      </c>
      <c r="C17" s="47">
        <f t="shared" si="3"/>
        <v>23798</v>
      </c>
      <c r="D17" s="48">
        <f t="shared" si="0"/>
        <v>13419.5</v>
      </c>
      <c r="E17" s="68">
        <f t="shared" si="1"/>
        <v>10378.5</v>
      </c>
      <c r="F17" s="47">
        <f t="shared" si="5"/>
        <v>841811.31</v>
      </c>
      <c r="G17" s="47">
        <f t="shared" si="2"/>
        <v>828391.81</v>
      </c>
    </row>
    <row r="18" spans="1:7" x14ac:dyDescent="0.25">
      <c r="A18" s="36">
        <v>45235</v>
      </c>
      <c r="B18" s="46">
        <f t="shared" si="4"/>
        <v>31</v>
      </c>
      <c r="C18" s="47">
        <f t="shared" si="3"/>
        <v>23798</v>
      </c>
      <c r="D18" s="48">
        <f t="shared" si="0"/>
        <v>13244.52</v>
      </c>
      <c r="E18" s="68">
        <f t="shared" si="1"/>
        <v>10553.48</v>
      </c>
      <c r="F18" s="47">
        <f t="shared" si="5"/>
        <v>828391.81</v>
      </c>
      <c r="G18" s="47">
        <f t="shared" si="2"/>
        <v>815147.29</v>
      </c>
    </row>
    <row r="19" spans="1:7" x14ac:dyDescent="0.25">
      <c r="A19" s="36">
        <v>45265</v>
      </c>
      <c r="B19" s="46">
        <f t="shared" si="4"/>
        <v>30</v>
      </c>
      <c r="C19" s="47">
        <f t="shared" si="3"/>
        <v>23798</v>
      </c>
      <c r="D19" s="48">
        <f t="shared" si="0"/>
        <v>13748.24</v>
      </c>
      <c r="E19" s="68">
        <f t="shared" si="1"/>
        <v>10049.76</v>
      </c>
      <c r="F19" s="47">
        <f t="shared" si="5"/>
        <v>815147.29</v>
      </c>
      <c r="G19" s="47">
        <f t="shared" si="2"/>
        <v>801399.05</v>
      </c>
    </row>
    <row r="20" spans="1:7" x14ac:dyDescent="0.25">
      <c r="A20" s="36">
        <v>45296</v>
      </c>
      <c r="B20" s="46">
        <f t="shared" si="4"/>
        <v>31</v>
      </c>
      <c r="C20" s="47">
        <f t="shared" si="3"/>
        <v>23798</v>
      </c>
      <c r="D20" s="48">
        <f t="shared" si="0"/>
        <v>13588.4</v>
      </c>
      <c r="E20" s="68">
        <f t="shared" si="1"/>
        <v>10209.6</v>
      </c>
      <c r="F20" s="47">
        <f t="shared" si="5"/>
        <v>801399.05</v>
      </c>
      <c r="G20" s="47">
        <f t="shared" si="2"/>
        <v>787810.65</v>
      </c>
    </row>
    <row r="21" spans="1:7" x14ac:dyDescent="0.25">
      <c r="A21" s="36">
        <v>45327</v>
      </c>
      <c r="B21" s="46">
        <f t="shared" si="4"/>
        <v>31</v>
      </c>
      <c r="C21" s="47">
        <f t="shared" si="3"/>
        <v>23798</v>
      </c>
      <c r="D21" s="48">
        <f t="shared" si="0"/>
        <v>13761.51</v>
      </c>
      <c r="E21" s="68">
        <f t="shared" si="1"/>
        <v>10036.49</v>
      </c>
      <c r="F21" s="47">
        <f t="shared" si="5"/>
        <v>787810.65</v>
      </c>
      <c r="G21" s="47">
        <f t="shared" si="2"/>
        <v>774049.14</v>
      </c>
    </row>
    <row r="22" spans="1:7" x14ac:dyDescent="0.25">
      <c r="A22" s="36">
        <v>45356</v>
      </c>
      <c r="B22" s="46">
        <f t="shared" si="4"/>
        <v>29</v>
      </c>
      <c r="C22" s="47">
        <f t="shared" si="3"/>
        <v>23798</v>
      </c>
      <c r="D22" s="48">
        <f t="shared" si="0"/>
        <v>14573.03</v>
      </c>
      <c r="E22" s="68">
        <f t="shared" si="1"/>
        <v>9224.9699999999993</v>
      </c>
      <c r="F22" s="47">
        <f t="shared" si="5"/>
        <v>774049.14</v>
      </c>
      <c r="G22" s="47">
        <f t="shared" si="2"/>
        <v>759476.11</v>
      </c>
    </row>
    <row r="23" spans="1:7" x14ac:dyDescent="0.25">
      <c r="A23" s="36">
        <v>45387</v>
      </c>
      <c r="B23" s="46">
        <f t="shared" si="4"/>
        <v>31</v>
      </c>
      <c r="C23" s="47">
        <f t="shared" si="3"/>
        <v>23798</v>
      </c>
      <c r="D23" s="48">
        <f t="shared" si="0"/>
        <v>14122.48</v>
      </c>
      <c r="E23" s="68">
        <f t="shared" si="1"/>
        <v>9675.52</v>
      </c>
      <c r="F23" s="47">
        <f t="shared" si="5"/>
        <v>759476.11</v>
      </c>
      <c r="G23" s="47">
        <f t="shared" si="2"/>
        <v>745353.63</v>
      </c>
    </row>
    <row r="24" spans="1:7" x14ac:dyDescent="0.25">
      <c r="A24" s="36">
        <v>45417</v>
      </c>
      <c r="B24" s="46">
        <f t="shared" si="4"/>
        <v>30</v>
      </c>
      <c r="C24" s="47">
        <f t="shared" si="3"/>
        <v>23798</v>
      </c>
      <c r="D24" s="48">
        <f t="shared" si="0"/>
        <v>14608.71</v>
      </c>
      <c r="E24" s="68">
        <f t="shared" si="1"/>
        <v>9189.2900000000009</v>
      </c>
      <c r="F24" s="47">
        <f t="shared" si="5"/>
        <v>745353.63</v>
      </c>
      <c r="G24" s="47">
        <f t="shared" si="2"/>
        <v>730744.92</v>
      </c>
    </row>
    <row r="25" spans="1:7" x14ac:dyDescent="0.25">
      <c r="A25" s="36">
        <v>45448</v>
      </c>
      <c r="B25" s="46">
        <f t="shared" si="4"/>
        <v>31</v>
      </c>
      <c r="C25" s="47">
        <f t="shared" si="3"/>
        <v>23798</v>
      </c>
      <c r="D25" s="48">
        <f t="shared" si="0"/>
        <v>14488.51</v>
      </c>
      <c r="E25" s="68">
        <f t="shared" si="1"/>
        <v>9309.49</v>
      </c>
      <c r="F25" s="47">
        <f t="shared" si="5"/>
        <v>730744.92</v>
      </c>
      <c r="G25" s="47">
        <f t="shared" si="2"/>
        <v>716256.41</v>
      </c>
    </row>
    <row r="26" spans="1:7" x14ac:dyDescent="0.25">
      <c r="A26" s="36">
        <v>45478</v>
      </c>
      <c r="B26" s="46">
        <f t="shared" si="4"/>
        <v>30</v>
      </c>
      <c r="C26" s="47">
        <f t="shared" si="3"/>
        <v>23798</v>
      </c>
      <c r="D26" s="48">
        <f t="shared" si="0"/>
        <v>14967.44</v>
      </c>
      <c r="E26" s="68">
        <f t="shared" si="1"/>
        <v>8830.56</v>
      </c>
      <c r="F26" s="47">
        <f t="shared" si="5"/>
        <v>716256.41</v>
      </c>
      <c r="G26" s="47">
        <f t="shared" si="2"/>
        <v>701288.97000000009</v>
      </c>
    </row>
    <row r="27" spans="1:7" x14ac:dyDescent="0.25">
      <c r="A27" s="36">
        <v>45509</v>
      </c>
      <c r="B27" s="46">
        <f t="shared" si="4"/>
        <v>31</v>
      </c>
      <c r="C27" s="47">
        <f t="shared" si="3"/>
        <v>23798</v>
      </c>
      <c r="D27" s="48">
        <f t="shared" si="0"/>
        <v>14863.77</v>
      </c>
      <c r="E27" s="68">
        <f t="shared" si="1"/>
        <v>8934.23</v>
      </c>
      <c r="F27" s="47">
        <f t="shared" si="5"/>
        <v>701288.97000000009</v>
      </c>
      <c r="G27" s="47">
        <f t="shared" si="2"/>
        <v>686425.20000000007</v>
      </c>
    </row>
    <row r="28" spans="1:7" x14ac:dyDescent="0.25">
      <c r="A28" s="36">
        <v>45540</v>
      </c>
      <c r="B28" s="46">
        <f t="shared" si="4"/>
        <v>31</v>
      </c>
      <c r="C28" s="47">
        <f t="shared" si="3"/>
        <v>23798</v>
      </c>
      <c r="D28" s="48">
        <f t="shared" si="0"/>
        <v>15053.13</v>
      </c>
      <c r="E28" s="68">
        <f t="shared" si="1"/>
        <v>8744.8700000000008</v>
      </c>
      <c r="F28" s="47">
        <f t="shared" si="5"/>
        <v>686425.20000000007</v>
      </c>
      <c r="G28" s="47">
        <f t="shared" si="2"/>
        <v>671372.07000000007</v>
      </c>
    </row>
    <row r="29" spans="1:7" x14ac:dyDescent="0.25">
      <c r="A29" s="36">
        <v>45570</v>
      </c>
      <c r="B29" s="46">
        <f t="shared" si="4"/>
        <v>30</v>
      </c>
      <c r="C29" s="47">
        <f t="shared" si="3"/>
        <v>23798</v>
      </c>
      <c r="D29" s="48">
        <f t="shared" si="0"/>
        <v>15520.81</v>
      </c>
      <c r="E29" s="68">
        <f t="shared" si="1"/>
        <v>8277.19</v>
      </c>
      <c r="F29" s="47">
        <f t="shared" si="5"/>
        <v>671372.07000000007</v>
      </c>
      <c r="G29" s="47">
        <f t="shared" si="2"/>
        <v>655851.26</v>
      </c>
    </row>
    <row r="30" spans="1:7" x14ac:dyDescent="0.25">
      <c r="A30" s="36">
        <v>45601</v>
      </c>
      <c r="B30" s="46">
        <f t="shared" si="4"/>
        <v>31</v>
      </c>
      <c r="C30" s="47">
        <f t="shared" si="3"/>
        <v>23798</v>
      </c>
      <c r="D30" s="48">
        <f t="shared" si="0"/>
        <v>15442.63</v>
      </c>
      <c r="E30" s="68">
        <f t="shared" si="1"/>
        <v>8355.3700000000008</v>
      </c>
      <c r="F30" s="47">
        <f t="shared" si="5"/>
        <v>655851.26</v>
      </c>
      <c r="G30" s="47">
        <f t="shared" si="2"/>
        <v>640408.63</v>
      </c>
    </row>
    <row r="31" spans="1:7" x14ac:dyDescent="0.25">
      <c r="A31" s="36">
        <v>45631</v>
      </c>
      <c r="B31" s="46">
        <f t="shared" si="4"/>
        <v>30</v>
      </c>
      <c r="C31" s="47">
        <f t="shared" si="3"/>
        <v>23798</v>
      </c>
      <c r="D31" s="48">
        <f t="shared" si="0"/>
        <v>15902.55</v>
      </c>
      <c r="E31" s="68">
        <f t="shared" si="1"/>
        <v>7895.45</v>
      </c>
      <c r="F31" s="47">
        <f t="shared" si="5"/>
        <v>640408.63</v>
      </c>
      <c r="G31" s="47">
        <f t="shared" si="2"/>
        <v>624506.07999999996</v>
      </c>
    </row>
    <row r="32" spans="1:7" x14ac:dyDescent="0.25">
      <c r="A32" s="36">
        <v>45662</v>
      </c>
      <c r="B32" s="46">
        <f t="shared" si="4"/>
        <v>31</v>
      </c>
      <c r="C32" s="47">
        <f t="shared" si="3"/>
        <v>23798</v>
      </c>
      <c r="D32" s="48">
        <f t="shared" si="0"/>
        <v>15841.96</v>
      </c>
      <c r="E32" s="68">
        <f t="shared" si="1"/>
        <v>7956.04</v>
      </c>
      <c r="F32" s="47">
        <f t="shared" si="5"/>
        <v>624506.07999999996</v>
      </c>
      <c r="G32" s="47">
        <f t="shared" si="2"/>
        <v>608664.12</v>
      </c>
    </row>
    <row r="33" spans="1:7" x14ac:dyDescent="0.25">
      <c r="A33" s="36">
        <v>45693</v>
      </c>
      <c r="B33" s="46">
        <f t="shared" si="4"/>
        <v>31</v>
      </c>
      <c r="C33" s="47">
        <f t="shared" si="3"/>
        <v>23798</v>
      </c>
      <c r="D33" s="48">
        <f t="shared" si="0"/>
        <v>16043.79</v>
      </c>
      <c r="E33" s="68">
        <f t="shared" si="1"/>
        <v>7754.21</v>
      </c>
      <c r="F33" s="47">
        <f t="shared" si="5"/>
        <v>608664.12</v>
      </c>
      <c r="G33" s="47">
        <f t="shared" si="2"/>
        <v>592620.32999999996</v>
      </c>
    </row>
    <row r="34" spans="1:7" x14ac:dyDescent="0.25">
      <c r="A34" s="36">
        <v>45721</v>
      </c>
      <c r="B34" s="46">
        <f t="shared" si="4"/>
        <v>28</v>
      </c>
      <c r="C34" s="47">
        <f t="shared" si="3"/>
        <v>23798</v>
      </c>
      <c r="D34" s="48">
        <f t="shared" si="0"/>
        <v>16978.810000000001</v>
      </c>
      <c r="E34" s="68">
        <f t="shared" si="1"/>
        <v>6819.19</v>
      </c>
      <c r="F34" s="47">
        <f t="shared" si="5"/>
        <v>592620.32999999996</v>
      </c>
      <c r="G34" s="47">
        <f t="shared" si="2"/>
        <v>575641.5199999999</v>
      </c>
    </row>
    <row r="35" spans="1:7" x14ac:dyDescent="0.25">
      <c r="A35" s="36">
        <v>45752</v>
      </c>
      <c r="B35" s="46">
        <f t="shared" si="4"/>
        <v>31</v>
      </c>
      <c r="C35" s="47">
        <f t="shared" si="3"/>
        <v>23798</v>
      </c>
      <c r="D35" s="48">
        <f t="shared" si="0"/>
        <v>16464.48</v>
      </c>
      <c r="E35" s="68">
        <f t="shared" si="1"/>
        <v>7333.52</v>
      </c>
      <c r="F35" s="47">
        <f t="shared" si="5"/>
        <v>575641.5199999999</v>
      </c>
      <c r="G35" s="47">
        <f t="shared" si="2"/>
        <v>559177.03999999992</v>
      </c>
    </row>
    <row r="36" spans="1:7" x14ac:dyDescent="0.25">
      <c r="A36" s="36">
        <v>45782</v>
      </c>
      <c r="B36" s="46">
        <f t="shared" si="4"/>
        <v>30</v>
      </c>
      <c r="C36" s="47">
        <f t="shared" si="3"/>
        <v>23798</v>
      </c>
      <c r="D36" s="48">
        <f t="shared" si="0"/>
        <v>16904.04</v>
      </c>
      <c r="E36" s="68">
        <f t="shared" si="1"/>
        <v>6893.96</v>
      </c>
      <c r="F36" s="47">
        <f t="shared" si="5"/>
        <v>559177.03999999992</v>
      </c>
      <c r="G36" s="47">
        <f t="shared" si="2"/>
        <v>542272.99999999988</v>
      </c>
    </row>
    <row r="37" spans="1:7" x14ac:dyDescent="0.25">
      <c r="A37" s="36">
        <v>45813</v>
      </c>
      <c r="B37" s="46">
        <f t="shared" si="4"/>
        <v>31</v>
      </c>
      <c r="C37" s="47">
        <f t="shared" si="3"/>
        <v>23798</v>
      </c>
      <c r="D37" s="48">
        <f t="shared" si="0"/>
        <v>16889.59</v>
      </c>
      <c r="E37" s="68">
        <f t="shared" si="1"/>
        <v>6908.41</v>
      </c>
      <c r="F37" s="47">
        <f t="shared" si="5"/>
        <v>542272.99999999988</v>
      </c>
      <c r="G37" s="47">
        <f t="shared" si="2"/>
        <v>525383.40999999992</v>
      </c>
    </row>
    <row r="38" spans="1:7" x14ac:dyDescent="0.25">
      <c r="A38" s="36">
        <v>45843</v>
      </c>
      <c r="B38" s="46">
        <f t="shared" si="4"/>
        <v>30</v>
      </c>
      <c r="C38" s="47">
        <f t="shared" si="3"/>
        <v>23798</v>
      </c>
      <c r="D38" s="48">
        <f t="shared" si="0"/>
        <v>17320.669999999998</v>
      </c>
      <c r="E38" s="68">
        <f t="shared" si="1"/>
        <v>6477.33</v>
      </c>
      <c r="F38" s="47">
        <f t="shared" si="5"/>
        <v>525383.40999999992</v>
      </c>
      <c r="G38" s="47">
        <f t="shared" si="2"/>
        <v>508062.73999999993</v>
      </c>
    </row>
    <row r="39" spans="1:7" x14ac:dyDescent="0.25">
      <c r="A39" s="36">
        <v>45874</v>
      </c>
      <c r="B39" s="46">
        <f t="shared" si="4"/>
        <v>31</v>
      </c>
      <c r="C39" s="47">
        <f t="shared" si="3"/>
        <v>23798</v>
      </c>
      <c r="D39" s="48">
        <f t="shared" si="0"/>
        <v>17325.419999999998</v>
      </c>
      <c r="E39" s="68">
        <f t="shared" si="1"/>
        <v>6472.58</v>
      </c>
      <c r="F39" s="47">
        <f t="shared" si="5"/>
        <v>508062.73999999993</v>
      </c>
      <c r="G39" s="47">
        <f t="shared" si="2"/>
        <v>490737.31999999995</v>
      </c>
    </row>
    <row r="40" spans="1:7" x14ac:dyDescent="0.25">
      <c r="A40" s="36">
        <v>45905</v>
      </c>
      <c r="B40" s="46">
        <f t="shared" si="4"/>
        <v>31</v>
      </c>
      <c r="C40" s="47">
        <f t="shared" si="3"/>
        <v>23798</v>
      </c>
      <c r="D40" s="48">
        <f t="shared" si="0"/>
        <v>17546.14</v>
      </c>
      <c r="E40" s="68">
        <f t="shared" si="1"/>
        <v>6251.86</v>
      </c>
      <c r="F40" s="47">
        <f t="shared" si="5"/>
        <v>490737.31999999995</v>
      </c>
      <c r="G40" s="47">
        <f t="shared" si="2"/>
        <v>473191.17999999993</v>
      </c>
    </row>
    <row r="41" spans="1:7" x14ac:dyDescent="0.25">
      <c r="A41" s="36">
        <v>45935</v>
      </c>
      <c r="B41" s="46">
        <f t="shared" si="4"/>
        <v>30</v>
      </c>
      <c r="C41" s="47">
        <f t="shared" si="3"/>
        <v>23798</v>
      </c>
      <c r="D41" s="48">
        <f t="shared" si="0"/>
        <v>17964.14</v>
      </c>
      <c r="E41" s="68">
        <f t="shared" si="1"/>
        <v>5833.86</v>
      </c>
      <c r="F41" s="47">
        <f t="shared" si="5"/>
        <v>473191.17999999993</v>
      </c>
      <c r="G41" s="47">
        <f t="shared" si="2"/>
        <v>455227.03999999992</v>
      </c>
    </row>
    <row r="42" spans="1:7" x14ac:dyDescent="0.25">
      <c r="A42" s="36">
        <v>45966</v>
      </c>
      <c r="B42" s="46">
        <f t="shared" si="4"/>
        <v>31</v>
      </c>
      <c r="C42" s="47">
        <f t="shared" si="3"/>
        <v>23798</v>
      </c>
      <c r="D42" s="48">
        <f t="shared" si="0"/>
        <v>17998.53</v>
      </c>
      <c r="E42" s="68">
        <f t="shared" si="1"/>
        <v>5799.47</v>
      </c>
      <c r="F42" s="47">
        <f t="shared" si="5"/>
        <v>455227.03999999992</v>
      </c>
      <c r="G42" s="47">
        <f t="shared" si="2"/>
        <v>437228.50999999989</v>
      </c>
    </row>
    <row r="43" spans="1:7" x14ac:dyDescent="0.25">
      <c r="A43" s="36">
        <v>45996</v>
      </c>
      <c r="B43" s="46">
        <f t="shared" si="4"/>
        <v>30</v>
      </c>
      <c r="C43" s="47">
        <f t="shared" si="3"/>
        <v>23798</v>
      </c>
      <c r="D43" s="48">
        <f t="shared" si="0"/>
        <v>18407.510000000002</v>
      </c>
      <c r="E43" s="68">
        <f t="shared" si="1"/>
        <v>5390.49</v>
      </c>
      <c r="F43" s="47">
        <f t="shared" si="5"/>
        <v>437228.50999999989</v>
      </c>
      <c r="G43" s="47">
        <f t="shared" si="2"/>
        <v>418820.99999999988</v>
      </c>
    </row>
    <row r="44" spans="1:7" x14ac:dyDescent="0.25">
      <c r="A44" s="36">
        <v>46027</v>
      </c>
      <c r="B44" s="46">
        <f t="shared" si="4"/>
        <v>31</v>
      </c>
      <c r="C44" s="47">
        <f t="shared" si="3"/>
        <v>23798</v>
      </c>
      <c r="D44" s="48">
        <f t="shared" si="0"/>
        <v>18462.34</v>
      </c>
      <c r="E44" s="68">
        <f t="shared" si="1"/>
        <v>5335.66</v>
      </c>
      <c r="F44" s="47">
        <f t="shared" si="5"/>
        <v>418820.99999999988</v>
      </c>
      <c r="G44" s="47">
        <f t="shared" si="2"/>
        <v>400358.65999999986</v>
      </c>
    </row>
    <row r="45" spans="1:7" x14ac:dyDescent="0.25">
      <c r="A45" s="36">
        <v>46058</v>
      </c>
      <c r="B45" s="46">
        <f t="shared" si="4"/>
        <v>31</v>
      </c>
      <c r="C45" s="47">
        <f t="shared" si="3"/>
        <v>23798</v>
      </c>
      <c r="D45" s="48">
        <f t="shared" si="0"/>
        <v>18697.54</v>
      </c>
      <c r="E45" s="68">
        <f t="shared" si="1"/>
        <v>5100.46</v>
      </c>
      <c r="F45" s="47">
        <f t="shared" si="5"/>
        <v>400358.65999999986</v>
      </c>
      <c r="G45" s="47">
        <f t="shared" si="2"/>
        <v>381661.11999999988</v>
      </c>
    </row>
    <row r="46" spans="1:7" x14ac:dyDescent="0.25">
      <c r="A46" s="36">
        <v>46086</v>
      </c>
      <c r="B46" s="46">
        <f t="shared" si="4"/>
        <v>28</v>
      </c>
      <c r="C46" s="47">
        <f t="shared" si="3"/>
        <v>23798</v>
      </c>
      <c r="D46" s="48">
        <f t="shared" si="0"/>
        <v>19406.28</v>
      </c>
      <c r="E46" s="68">
        <f t="shared" si="1"/>
        <v>4391.72</v>
      </c>
      <c r="F46" s="47">
        <f t="shared" si="5"/>
        <v>381661.11999999988</v>
      </c>
      <c r="G46" s="47">
        <f t="shared" si="2"/>
        <v>362254.83999999985</v>
      </c>
    </row>
    <row r="47" spans="1:7" x14ac:dyDescent="0.25">
      <c r="A47" s="36">
        <v>46117</v>
      </c>
      <c r="B47" s="46">
        <f t="shared" si="4"/>
        <v>31</v>
      </c>
      <c r="C47" s="47">
        <f t="shared" si="3"/>
        <v>23798</v>
      </c>
      <c r="D47" s="48">
        <f t="shared" si="0"/>
        <v>19182.97</v>
      </c>
      <c r="E47" s="68">
        <f t="shared" si="1"/>
        <v>4615.03</v>
      </c>
      <c r="F47" s="47">
        <f t="shared" si="5"/>
        <v>362254.83999999985</v>
      </c>
      <c r="G47" s="47">
        <f t="shared" si="2"/>
        <v>343071.86999999988</v>
      </c>
    </row>
    <row r="48" spans="1:7" x14ac:dyDescent="0.25">
      <c r="A48" s="36">
        <v>46147</v>
      </c>
      <c r="B48" s="46">
        <f t="shared" si="4"/>
        <v>30</v>
      </c>
      <c r="C48" s="47">
        <f t="shared" si="3"/>
        <v>23798</v>
      </c>
      <c r="D48" s="48">
        <f t="shared" si="0"/>
        <v>19568.349999999999</v>
      </c>
      <c r="E48" s="68">
        <f t="shared" si="1"/>
        <v>4229.6499999999996</v>
      </c>
      <c r="F48" s="47">
        <f t="shared" si="5"/>
        <v>343071.86999999988</v>
      </c>
      <c r="G48" s="47">
        <f t="shared" si="2"/>
        <v>323503.5199999999</v>
      </c>
    </row>
    <row r="49" spans="1:7" x14ac:dyDescent="0.25">
      <c r="A49" s="36">
        <v>46178</v>
      </c>
      <c r="B49" s="46">
        <f t="shared" si="4"/>
        <v>31</v>
      </c>
      <c r="C49" s="47">
        <f t="shared" si="3"/>
        <v>23798</v>
      </c>
      <c r="D49" s="48">
        <f t="shared" si="0"/>
        <v>19676.650000000001</v>
      </c>
      <c r="E49" s="68">
        <f t="shared" si="1"/>
        <v>4121.3500000000004</v>
      </c>
      <c r="F49" s="47">
        <f t="shared" si="5"/>
        <v>323503.5199999999</v>
      </c>
      <c r="G49" s="47">
        <f t="shared" si="2"/>
        <v>303826.86999999988</v>
      </c>
    </row>
    <row r="50" spans="1:7" x14ac:dyDescent="0.25">
      <c r="A50" s="36">
        <v>46208</v>
      </c>
      <c r="B50" s="46">
        <f t="shared" si="4"/>
        <v>30</v>
      </c>
      <c r="C50" s="47">
        <f t="shared" si="3"/>
        <v>23798</v>
      </c>
      <c r="D50" s="48">
        <f t="shared" si="0"/>
        <v>20052.189999999999</v>
      </c>
      <c r="E50" s="68">
        <f t="shared" si="1"/>
        <v>3745.81</v>
      </c>
      <c r="F50" s="47">
        <f t="shared" si="5"/>
        <v>303826.86999999988</v>
      </c>
      <c r="G50" s="47">
        <f t="shared" si="2"/>
        <v>283774.67999999988</v>
      </c>
    </row>
    <row r="51" spans="1:7" x14ac:dyDescent="0.25">
      <c r="A51" s="36">
        <v>46239</v>
      </c>
      <c r="B51" s="46">
        <f t="shared" si="4"/>
        <v>31</v>
      </c>
      <c r="C51" s="47">
        <f t="shared" si="3"/>
        <v>23798</v>
      </c>
      <c r="D51" s="48">
        <f t="shared" si="0"/>
        <v>20182.79</v>
      </c>
      <c r="E51" s="68">
        <f t="shared" si="1"/>
        <v>3615.21</v>
      </c>
      <c r="F51" s="47">
        <f t="shared" si="5"/>
        <v>283774.67999999988</v>
      </c>
      <c r="G51" s="47">
        <f t="shared" si="2"/>
        <v>263591.8899999999</v>
      </c>
    </row>
    <row r="52" spans="1:7" x14ac:dyDescent="0.25">
      <c r="A52" s="54">
        <v>46270</v>
      </c>
      <c r="B52" s="46">
        <f t="shared" si="4"/>
        <v>31</v>
      </c>
      <c r="C52" s="47">
        <f t="shared" si="3"/>
        <v>23798</v>
      </c>
      <c r="D52" s="48">
        <f t="shared" si="0"/>
        <v>20439.91</v>
      </c>
      <c r="E52" s="68">
        <f t="shared" si="1"/>
        <v>3358.09</v>
      </c>
      <c r="F52" s="47">
        <f t="shared" si="5"/>
        <v>263591.8899999999</v>
      </c>
      <c r="G52" s="47">
        <f t="shared" si="2"/>
        <v>243151.97999999989</v>
      </c>
    </row>
    <row r="53" spans="1:7" x14ac:dyDescent="0.25">
      <c r="A53" s="54">
        <v>46300</v>
      </c>
      <c r="B53" s="46">
        <f t="shared" si="4"/>
        <v>30</v>
      </c>
      <c r="C53" s="47">
        <f t="shared" si="3"/>
        <v>23798</v>
      </c>
      <c r="D53" s="48">
        <f t="shared" si="0"/>
        <v>20800.239999999998</v>
      </c>
      <c r="E53" s="68">
        <f t="shared" si="1"/>
        <v>2997.76</v>
      </c>
      <c r="F53" s="47">
        <f t="shared" si="5"/>
        <v>243151.97999999989</v>
      </c>
      <c r="G53" s="47">
        <f t="shared" si="2"/>
        <v>222351.7399999999</v>
      </c>
    </row>
    <row r="54" spans="1:7" x14ac:dyDescent="0.25">
      <c r="A54" s="54">
        <v>46331</v>
      </c>
      <c r="B54" s="46">
        <f t="shared" si="4"/>
        <v>31</v>
      </c>
      <c r="C54" s="47">
        <f t="shared" si="3"/>
        <v>23798</v>
      </c>
      <c r="D54" s="48">
        <f t="shared" si="0"/>
        <v>20965.3</v>
      </c>
      <c r="E54" s="68">
        <f t="shared" si="1"/>
        <v>2832.7</v>
      </c>
      <c r="F54" s="47">
        <f t="shared" si="5"/>
        <v>222351.7399999999</v>
      </c>
      <c r="G54" s="47">
        <f t="shared" si="2"/>
        <v>201386.43999999992</v>
      </c>
    </row>
    <row r="55" spans="1:7" x14ac:dyDescent="0.25">
      <c r="A55" s="54">
        <v>46361</v>
      </c>
      <c r="B55" s="46">
        <f t="shared" si="4"/>
        <v>30</v>
      </c>
      <c r="C55" s="47">
        <f t="shared" si="3"/>
        <v>23798</v>
      </c>
      <c r="D55" s="48">
        <f t="shared" si="0"/>
        <v>21315.15</v>
      </c>
      <c r="E55" s="68">
        <f t="shared" si="1"/>
        <v>2482.85</v>
      </c>
      <c r="F55" s="47">
        <f t="shared" si="5"/>
        <v>201386.43999999992</v>
      </c>
      <c r="G55" s="47">
        <f t="shared" si="2"/>
        <v>180071.28999999992</v>
      </c>
    </row>
    <row r="56" spans="1:7" x14ac:dyDescent="0.25">
      <c r="A56" s="54">
        <v>46392</v>
      </c>
      <c r="B56" s="46">
        <f t="shared" si="4"/>
        <v>31</v>
      </c>
      <c r="C56" s="47">
        <f t="shared" si="3"/>
        <v>23798</v>
      </c>
      <c r="D56" s="48">
        <f t="shared" si="0"/>
        <v>21503.94</v>
      </c>
      <c r="E56" s="68">
        <f t="shared" si="1"/>
        <v>2294.06</v>
      </c>
      <c r="F56" s="47">
        <f t="shared" si="5"/>
        <v>180071.28999999992</v>
      </c>
      <c r="G56" s="47">
        <f t="shared" si="2"/>
        <v>158567.34999999992</v>
      </c>
    </row>
    <row r="57" spans="1:7" x14ac:dyDescent="0.25">
      <c r="A57" s="54">
        <v>46423</v>
      </c>
      <c r="B57" s="46">
        <f t="shared" si="4"/>
        <v>31</v>
      </c>
      <c r="C57" s="47">
        <f t="shared" si="3"/>
        <v>23798</v>
      </c>
      <c r="D57" s="48">
        <f t="shared" si="0"/>
        <v>21777.9</v>
      </c>
      <c r="E57" s="68">
        <f t="shared" si="1"/>
        <v>2020.1</v>
      </c>
      <c r="F57" s="47">
        <f t="shared" si="5"/>
        <v>158567.34999999992</v>
      </c>
      <c r="G57" s="47">
        <f t="shared" si="2"/>
        <v>136789.44999999992</v>
      </c>
    </row>
    <row r="58" spans="1:7" x14ac:dyDescent="0.25">
      <c r="A58" s="54">
        <v>46451</v>
      </c>
      <c r="B58" s="46">
        <f t="shared" si="4"/>
        <v>28</v>
      </c>
      <c r="C58" s="47">
        <f t="shared" si="3"/>
        <v>23798</v>
      </c>
      <c r="D58" s="48">
        <f t="shared" si="0"/>
        <v>22223.98</v>
      </c>
      <c r="E58" s="68">
        <f t="shared" si="1"/>
        <v>1574.02</v>
      </c>
      <c r="F58" s="47">
        <f t="shared" si="5"/>
        <v>136789.44999999992</v>
      </c>
      <c r="G58" s="47">
        <f t="shared" si="2"/>
        <v>114565.46999999993</v>
      </c>
    </row>
    <row r="59" spans="1:7" x14ac:dyDescent="0.25">
      <c r="A59" s="54">
        <v>46482</v>
      </c>
      <c r="B59" s="46">
        <f t="shared" si="4"/>
        <v>31</v>
      </c>
      <c r="C59" s="47">
        <f t="shared" si="3"/>
        <v>23798</v>
      </c>
      <c r="D59" s="48">
        <f t="shared" si="0"/>
        <v>22338.47</v>
      </c>
      <c r="E59" s="68">
        <f t="shared" si="1"/>
        <v>1459.53</v>
      </c>
      <c r="F59" s="47">
        <f t="shared" si="5"/>
        <v>114565.46999999993</v>
      </c>
      <c r="G59" s="47">
        <f t="shared" si="2"/>
        <v>92226.999999999927</v>
      </c>
    </row>
    <row r="60" spans="1:7" x14ac:dyDescent="0.25">
      <c r="A60" s="54">
        <v>46512</v>
      </c>
      <c r="B60" s="46">
        <f t="shared" si="4"/>
        <v>30</v>
      </c>
      <c r="C60" s="47">
        <f t="shared" si="3"/>
        <v>23798</v>
      </c>
      <c r="D60" s="48">
        <f t="shared" si="0"/>
        <v>22660.95</v>
      </c>
      <c r="E60" s="68">
        <f t="shared" si="1"/>
        <v>1137.05</v>
      </c>
      <c r="F60" s="47">
        <f t="shared" si="5"/>
        <v>92226.999999999927</v>
      </c>
      <c r="G60" s="47">
        <f t="shared" si="2"/>
        <v>69566.04999999993</v>
      </c>
    </row>
    <row r="61" spans="1:7" x14ac:dyDescent="0.25">
      <c r="A61" s="54">
        <v>46543</v>
      </c>
      <c r="B61" s="46">
        <f t="shared" si="4"/>
        <v>31</v>
      </c>
      <c r="C61" s="47">
        <f t="shared" si="3"/>
        <v>23798</v>
      </c>
      <c r="D61" s="48">
        <f t="shared" si="0"/>
        <v>22911.75</v>
      </c>
      <c r="E61" s="68">
        <f t="shared" si="1"/>
        <v>886.25</v>
      </c>
      <c r="F61" s="47">
        <f t="shared" si="5"/>
        <v>69566.04999999993</v>
      </c>
      <c r="G61" s="47">
        <f t="shared" si="2"/>
        <v>46654.29999999993</v>
      </c>
    </row>
    <row r="62" spans="1:7" x14ac:dyDescent="0.25">
      <c r="A62" s="54">
        <v>46573</v>
      </c>
      <c r="B62" s="46">
        <f t="shared" si="4"/>
        <v>30</v>
      </c>
      <c r="C62" s="47">
        <f t="shared" si="3"/>
        <v>23798</v>
      </c>
      <c r="D62" s="48">
        <f t="shared" si="0"/>
        <v>23222.81</v>
      </c>
      <c r="E62" s="68">
        <f t="shared" si="1"/>
        <v>575.19000000000005</v>
      </c>
      <c r="F62" s="47">
        <f t="shared" si="5"/>
        <v>46654.29999999993</v>
      </c>
      <c r="G62" s="47">
        <f t="shared" si="2"/>
        <v>23431.489999999929</v>
      </c>
    </row>
    <row r="63" spans="1:7" x14ac:dyDescent="0.25">
      <c r="A63" s="54">
        <v>46604</v>
      </c>
      <c r="B63" s="46">
        <f t="shared" si="4"/>
        <v>31</v>
      </c>
      <c r="C63" s="47">
        <f t="shared" si="3"/>
        <v>23798</v>
      </c>
      <c r="D63" s="48">
        <f t="shared" si="0"/>
        <v>23431.489999999929</v>
      </c>
      <c r="E63" s="68">
        <v>366.51000000007275</v>
      </c>
      <c r="F63" s="47">
        <f t="shared" si="5"/>
        <v>23431.489999999929</v>
      </c>
      <c r="G63" s="47">
        <f t="shared" si="2"/>
        <v>0</v>
      </c>
    </row>
    <row r="64" spans="1:7" x14ac:dyDescent="0.25">
      <c r="A64" s="70">
        <v>44931</v>
      </c>
      <c r="B64" s="46">
        <f>A8-A7</f>
        <v>31</v>
      </c>
      <c r="C64" s="47">
        <f t="shared" si="3"/>
        <v>23798</v>
      </c>
      <c r="D64" s="48">
        <f>C8-E8</f>
        <v>11643.02</v>
      </c>
      <c r="E64" s="68">
        <f>ROUND(F8*$B$2*B8/365,2)</f>
        <v>12154.98</v>
      </c>
      <c r="F64" s="47">
        <f>G7</f>
        <v>954100.61</v>
      </c>
      <c r="G64" s="47">
        <f t="shared" si="2"/>
        <v>942457.59</v>
      </c>
    </row>
    <row r="65" spans="1:7" x14ac:dyDescent="0.25">
      <c r="A65" s="70">
        <v>44962</v>
      </c>
      <c r="B65" s="84">
        <f t="shared" si="4"/>
        <v>31</v>
      </c>
      <c r="C65" s="90">
        <f t="shared" ref="C65:C68" si="6">$H$1</f>
        <v>21431</v>
      </c>
      <c r="D65" s="91">
        <f t="shared" ref="D65:D107" si="7">C65-E65</f>
        <v>13426.57</v>
      </c>
      <c r="E65" s="90">
        <f>ROUND(F65*$J$1*B65/365,2)</f>
        <v>8004.43</v>
      </c>
      <c r="F65" s="90">
        <f t="shared" si="5"/>
        <v>942457.59</v>
      </c>
      <c r="G65" s="90">
        <f t="shared" si="2"/>
        <v>929031.02</v>
      </c>
    </row>
    <row r="66" spans="1:7" x14ac:dyDescent="0.25">
      <c r="A66" s="70">
        <v>44990</v>
      </c>
      <c r="B66" s="46">
        <f t="shared" si="4"/>
        <v>28</v>
      </c>
      <c r="C66" s="47">
        <f t="shared" si="6"/>
        <v>21431</v>
      </c>
      <c r="D66" s="48">
        <f t="shared" si="7"/>
        <v>14304.189999999999</v>
      </c>
      <c r="E66" s="68">
        <f t="shared" ref="E66:E106" si="8">ROUND(F66*$J$1*B66/365,2)</f>
        <v>7126.81</v>
      </c>
      <c r="F66" s="47">
        <f t="shared" si="5"/>
        <v>929031.02</v>
      </c>
      <c r="G66" s="47">
        <f t="shared" si="2"/>
        <v>914726.83000000007</v>
      </c>
    </row>
    <row r="67" spans="1:7" x14ac:dyDescent="0.25">
      <c r="A67" s="70">
        <v>45021</v>
      </c>
      <c r="B67" s="46">
        <f t="shared" si="4"/>
        <v>31</v>
      </c>
      <c r="C67" s="47">
        <f t="shared" si="6"/>
        <v>21431</v>
      </c>
      <c r="D67" s="48">
        <f t="shared" si="7"/>
        <v>13662.09</v>
      </c>
      <c r="E67" s="68">
        <f t="shared" si="8"/>
        <v>7768.91</v>
      </c>
      <c r="F67" s="47">
        <f t="shared" si="5"/>
        <v>914726.83000000007</v>
      </c>
      <c r="G67" s="47">
        <f t="shared" si="2"/>
        <v>901064.74000000011</v>
      </c>
    </row>
    <row r="68" spans="1:7" x14ac:dyDescent="0.25">
      <c r="A68" s="70">
        <v>45051</v>
      </c>
      <c r="B68" s="46">
        <f t="shared" si="4"/>
        <v>30</v>
      </c>
      <c r="C68" s="47">
        <f t="shared" si="6"/>
        <v>21431</v>
      </c>
      <c r="D68" s="48">
        <f t="shared" si="7"/>
        <v>14024.99</v>
      </c>
      <c r="E68" s="68">
        <f t="shared" si="8"/>
        <v>7406.01</v>
      </c>
      <c r="F68" s="47">
        <f t="shared" si="5"/>
        <v>901064.74000000011</v>
      </c>
      <c r="G68" s="47">
        <f t="shared" ref="G68:G107" si="9">F68-D68</f>
        <v>887039.75000000012</v>
      </c>
    </row>
    <row r="69" spans="1:7" x14ac:dyDescent="0.25">
      <c r="A69" s="70">
        <v>45082</v>
      </c>
      <c r="B69" s="84">
        <f t="shared" si="4"/>
        <v>31</v>
      </c>
      <c r="C69" s="90">
        <f>$N$1</f>
        <v>20223</v>
      </c>
      <c r="D69" s="91">
        <f t="shared" si="7"/>
        <v>13113.9</v>
      </c>
      <c r="E69" s="90">
        <f t="shared" si="8"/>
        <v>7109.1</v>
      </c>
      <c r="F69" s="90">
        <f>G68-P1</f>
        <v>837039.75000000012</v>
      </c>
      <c r="G69" s="90">
        <f t="shared" si="9"/>
        <v>823925.85000000009</v>
      </c>
    </row>
    <row r="70" spans="1:7" x14ac:dyDescent="0.25">
      <c r="A70" s="70">
        <v>45112</v>
      </c>
      <c r="B70" s="46">
        <f t="shared" ref="B70:B107" si="10">A70-A69</f>
        <v>30</v>
      </c>
      <c r="C70" s="68">
        <f t="shared" ref="C70:C80" si="11">$N$1</f>
        <v>20223</v>
      </c>
      <c r="D70" s="48">
        <f t="shared" si="7"/>
        <v>13451.01</v>
      </c>
      <c r="E70" s="68">
        <f t="shared" si="8"/>
        <v>6771.99</v>
      </c>
      <c r="F70" s="47">
        <f t="shared" ref="F70:F107" si="12">G69</f>
        <v>823925.85000000009</v>
      </c>
      <c r="G70" s="47">
        <f t="shared" si="9"/>
        <v>810474.84000000008</v>
      </c>
    </row>
    <row r="71" spans="1:7" x14ac:dyDescent="0.25">
      <c r="A71" s="70">
        <v>45143</v>
      </c>
      <c r="B71" s="46">
        <f t="shared" si="10"/>
        <v>31</v>
      </c>
      <c r="C71" s="68">
        <f t="shared" si="11"/>
        <v>20223</v>
      </c>
      <c r="D71" s="48">
        <f t="shared" si="7"/>
        <v>13339.52</v>
      </c>
      <c r="E71" s="68">
        <f t="shared" si="8"/>
        <v>6883.48</v>
      </c>
      <c r="F71" s="47">
        <f t="shared" si="12"/>
        <v>810474.84000000008</v>
      </c>
      <c r="G71" s="47">
        <f t="shared" si="9"/>
        <v>797135.32000000007</v>
      </c>
    </row>
    <row r="72" spans="1:7" x14ac:dyDescent="0.25">
      <c r="A72" s="70">
        <v>45174</v>
      </c>
      <c r="B72" s="46">
        <f t="shared" si="10"/>
        <v>31</v>
      </c>
      <c r="C72" s="68">
        <f t="shared" si="11"/>
        <v>20223</v>
      </c>
      <c r="D72" s="48">
        <f t="shared" si="7"/>
        <v>13452.810000000001</v>
      </c>
      <c r="E72" s="68">
        <f t="shared" si="8"/>
        <v>6770.19</v>
      </c>
      <c r="F72" s="47">
        <f t="shared" si="12"/>
        <v>797135.32000000007</v>
      </c>
      <c r="G72" s="47">
        <f t="shared" si="9"/>
        <v>783682.51</v>
      </c>
    </row>
    <row r="73" spans="1:7" x14ac:dyDescent="0.25">
      <c r="A73" s="70">
        <v>45204</v>
      </c>
      <c r="B73" s="46">
        <f t="shared" si="10"/>
        <v>30</v>
      </c>
      <c r="C73" s="68">
        <f t="shared" si="11"/>
        <v>20223</v>
      </c>
      <c r="D73" s="48">
        <f t="shared" si="7"/>
        <v>13781.77</v>
      </c>
      <c r="E73" s="68">
        <f t="shared" si="8"/>
        <v>6441.23</v>
      </c>
      <c r="F73" s="47">
        <f t="shared" si="12"/>
        <v>783682.51</v>
      </c>
      <c r="G73" s="47">
        <f t="shared" si="9"/>
        <v>769900.74</v>
      </c>
    </row>
    <row r="74" spans="1:7" x14ac:dyDescent="0.25">
      <c r="A74" s="70">
        <v>45235</v>
      </c>
      <c r="B74" s="46">
        <f t="shared" si="10"/>
        <v>31</v>
      </c>
      <c r="C74" s="68">
        <f t="shared" si="11"/>
        <v>20223</v>
      </c>
      <c r="D74" s="48">
        <f t="shared" si="7"/>
        <v>13684.119999999999</v>
      </c>
      <c r="E74" s="68">
        <f t="shared" si="8"/>
        <v>6538.88</v>
      </c>
      <c r="F74" s="47">
        <f t="shared" si="12"/>
        <v>769900.74</v>
      </c>
      <c r="G74" s="47">
        <f t="shared" si="9"/>
        <v>756216.62</v>
      </c>
    </row>
    <row r="75" spans="1:7" x14ac:dyDescent="0.25">
      <c r="A75" s="70">
        <v>45265</v>
      </c>
      <c r="B75" s="46">
        <f t="shared" si="10"/>
        <v>30</v>
      </c>
      <c r="C75" s="68">
        <f t="shared" si="11"/>
        <v>20223</v>
      </c>
      <c r="D75" s="48">
        <f t="shared" si="7"/>
        <v>14007.52</v>
      </c>
      <c r="E75" s="68">
        <f t="shared" si="8"/>
        <v>6215.48</v>
      </c>
      <c r="F75" s="47">
        <f t="shared" si="12"/>
        <v>756216.62</v>
      </c>
      <c r="G75" s="47">
        <f t="shared" si="9"/>
        <v>742209.1</v>
      </c>
    </row>
    <row r="76" spans="1:7" x14ac:dyDescent="0.25">
      <c r="A76" s="70">
        <v>45296</v>
      </c>
      <c r="B76" s="46">
        <f t="shared" si="10"/>
        <v>31</v>
      </c>
      <c r="C76" s="68">
        <f t="shared" si="11"/>
        <v>20223</v>
      </c>
      <c r="D76" s="48">
        <f t="shared" si="7"/>
        <v>13919.310000000001</v>
      </c>
      <c r="E76" s="68">
        <f t="shared" si="8"/>
        <v>6303.69</v>
      </c>
      <c r="F76" s="47">
        <f t="shared" si="12"/>
        <v>742209.1</v>
      </c>
      <c r="G76" s="47">
        <f t="shared" si="9"/>
        <v>728289.78999999992</v>
      </c>
    </row>
    <row r="77" spans="1:7" x14ac:dyDescent="0.25">
      <c r="A77" s="70">
        <v>45327</v>
      </c>
      <c r="B77" s="46">
        <f t="shared" si="10"/>
        <v>31</v>
      </c>
      <c r="C77" s="68">
        <f t="shared" si="11"/>
        <v>20223</v>
      </c>
      <c r="D77" s="48">
        <f t="shared" si="7"/>
        <v>14037.529999999999</v>
      </c>
      <c r="E77" s="68">
        <f t="shared" si="8"/>
        <v>6185.47</v>
      </c>
      <c r="F77" s="47">
        <f t="shared" si="12"/>
        <v>728289.78999999992</v>
      </c>
      <c r="G77" s="47">
        <f t="shared" si="9"/>
        <v>714252.25999999989</v>
      </c>
    </row>
    <row r="78" spans="1:7" x14ac:dyDescent="0.25">
      <c r="A78" s="70">
        <v>45356</v>
      </c>
      <c r="B78" s="46">
        <f t="shared" si="10"/>
        <v>29</v>
      </c>
      <c r="C78" s="68">
        <f t="shared" si="11"/>
        <v>20223</v>
      </c>
      <c r="D78" s="48">
        <f t="shared" si="7"/>
        <v>14548.119999999999</v>
      </c>
      <c r="E78" s="68">
        <f t="shared" si="8"/>
        <v>5674.88</v>
      </c>
      <c r="F78" s="47">
        <f t="shared" si="12"/>
        <v>714252.25999999989</v>
      </c>
      <c r="G78" s="47">
        <f t="shared" si="9"/>
        <v>699704.1399999999</v>
      </c>
    </row>
    <row r="79" spans="1:7" x14ac:dyDescent="0.25">
      <c r="A79" s="70">
        <v>45387</v>
      </c>
      <c r="B79" s="46">
        <f t="shared" si="10"/>
        <v>31</v>
      </c>
      <c r="C79" s="68">
        <f t="shared" si="11"/>
        <v>20223</v>
      </c>
      <c r="D79" s="48">
        <f t="shared" si="7"/>
        <v>14280.310000000001</v>
      </c>
      <c r="E79" s="68">
        <f t="shared" si="8"/>
        <v>5942.69</v>
      </c>
      <c r="F79" s="47">
        <f t="shared" si="12"/>
        <v>699704.1399999999</v>
      </c>
      <c r="G79" s="47">
        <f t="shared" si="9"/>
        <v>685423.82999999984</v>
      </c>
    </row>
    <row r="80" spans="1:7" x14ac:dyDescent="0.25">
      <c r="A80" s="70">
        <v>45417</v>
      </c>
      <c r="B80" s="46">
        <f t="shared" si="10"/>
        <v>30</v>
      </c>
      <c r="C80" s="68">
        <f t="shared" si="11"/>
        <v>20223</v>
      </c>
      <c r="D80" s="48">
        <f t="shared" si="7"/>
        <v>14589.380000000001</v>
      </c>
      <c r="E80" s="68">
        <f t="shared" si="8"/>
        <v>5633.62</v>
      </c>
      <c r="F80" s="47">
        <f t="shared" si="12"/>
        <v>685423.82999999984</v>
      </c>
      <c r="G80" s="47">
        <f t="shared" si="9"/>
        <v>670834.44999999984</v>
      </c>
    </row>
    <row r="81" spans="1:7" x14ac:dyDescent="0.25">
      <c r="A81" s="70">
        <v>45448</v>
      </c>
      <c r="B81" s="84">
        <f t="shared" si="10"/>
        <v>31</v>
      </c>
      <c r="C81" s="90">
        <f>$F$2</f>
        <v>15000</v>
      </c>
      <c r="D81" s="91">
        <f t="shared" si="7"/>
        <v>9302.5</v>
      </c>
      <c r="E81" s="90">
        <f t="shared" si="8"/>
        <v>5697.5</v>
      </c>
      <c r="F81" s="90">
        <f t="shared" si="12"/>
        <v>670834.44999999984</v>
      </c>
      <c r="G81" s="90">
        <f t="shared" si="9"/>
        <v>661531.94999999984</v>
      </c>
    </row>
    <row r="82" spans="1:7" x14ac:dyDescent="0.25">
      <c r="A82" s="70">
        <v>45478</v>
      </c>
      <c r="B82" s="46">
        <f t="shared" si="10"/>
        <v>30</v>
      </c>
      <c r="C82" s="68">
        <f t="shared" ref="C82:C92" si="13">$F$2</f>
        <v>15000</v>
      </c>
      <c r="D82" s="48">
        <f t="shared" si="7"/>
        <v>9562.75</v>
      </c>
      <c r="E82" s="68">
        <f t="shared" si="8"/>
        <v>5437.25</v>
      </c>
      <c r="F82" s="47">
        <f t="shared" si="12"/>
        <v>661531.94999999984</v>
      </c>
      <c r="G82" s="47">
        <f t="shared" si="9"/>
        <v>651969.19999999984</v>
      </c>
    </row>
    <row r="83" spans="1:7" x14ac:dyDescent="0.25">
      <c r="A83" s="70">
        <v>45509</v>
      </c>
      <c r="B83" s="46">
        <f t="shared" si="10"/>
        <v>31</v>
      </c>
      <c r="C83" s="68">
        <f t="shared" si="13"/>
        <v>15000</v>
      </c>
      <c r="D83" s="48">
        <f t="shared" si="7"/>
        <v>9462.73</v>
      </c>
      <c r="E83" s="68">
        <f t="shared" si="8"/>
        <v>5537.27</v>
      </c>
      <c r="F83" s="47">
        <f t="shared" si="12"/>
        <v>651969.19999999984</v>
      </c>
      <c r="G83" s="47">
        <f t="shared" si="9"/>
        <v>642506.46999999986</v>
      </c>
    </row>
    <row r="84" spans="1:7" x14ac:dyDescent="0.25">
      <c r="A84" s="70">
        <v>45540</v>
      </c>
      <c r="B84" s="46">
        <f t="shared" si="10"/>
        <v>31</v>
      </c>
      <c r="C84" s="68">
        <f t="shared" si="13"/>
        <v>15000</v>
      </c>
      <c r="D84" s="48">
        <f t="shared" si="7"/>
        <v>9543.1</v>
      </c>
      <c r="E84" s="68">
        <f t="shared" si="8"/>
        <v>5456.9</v>
      </c>
      <c r="F84" s="47">
        <f t="shared" si="12"/>
        <v>642506.46999999986</v>
      </c>
      <c r="G84" s="47">
        <f t="shared" si="9"/>
        <v>632963.36999999988</v>
      </c>
    </row>
    <row r="85" spans="1:7" x14ac:dyDescent="0.25">
      <c r="A85" s="70">
        <v>45570</v>
      </c>
      <c r="B85" s="46">
        <f t="shared" si="10"/>
        <v>30</v>
      </c>
      <c r="C85" s="68">
        <f t="shared" si="13"/>
        <v>15000</v>
      </c>
      <c r="D85" s="48">
        <f t="shared" si="7"/>
        <v>9797.5600000000013</v>
      </c>
      <c r="E85" s="68">
        <f t="shared" si="8"/>
        <v>5202.4399999999996</v>
      </c>
      <c r="F85" s="47">
        <f t="shared" si="12"/>
        <v>632963.36999999988</v>
      </c>
      <c r="G85" s="47">
        <f t="shared" si="9"/>
        <v>623165.80999999982</v>
      </c>
    </row>
    <row r="86" spans="1:7" x14ac:dyDescent="0.25">
      <c r="A86" s="70">
        <v>45601</v>
      </c>
      <c r="B86" s="46">
        <f t="shared" si="10"/>
        <v>31</v>
      </c>
      <c r="C86" s="68">
        <f t="shared" si="13"/>
        <v>15000</v>
      </c>
      <c r="D86" s="48">
        <f t="shared" si="7"/>
        <v>9707.36</v>
      </c>
      <c r="E86" s="68">
        <f t="shared" si="8"/>
        <v>5292.64</v>
      </c>
      <c r="F86" s="47">
        <f t="shared" si="12"/>
        <v>623165.80999999982</v>
      </c>
      <c r="G86" s="47">
        <f t="shared" si="9"/>
        <v>613458.44999999984</v>
      </c>
    </row>
    <row r="87" spans="1:7" x14ac:dyDescent="0.25">
      <c r="A87" s="70">
        <v>45631</v>
      </c>
      <c r="B87" s="46">
        <f t="shared" si="10"/>
        <v>30</v>
      </c>
      <c r="C87" s="68">
        <f t="shared" si="13"/>
        <v>15000</v>
      </c>
      <c r="D87" s="48">
        <f t="shared" si="7"/>
        <v>9957.880000000001</v>
      </c>
      <c r="E87" s="68">
        <f t="shared" si="8"/>
        <v>5042.12</v>
      </c>
      <c r="F87" s="47">
        <f t="shared" si="12"/>
        <v>613458.44999999984</v>
      </c>
      <c r="G87" s="47">
        <f t="shared" si="9"/>
        <v>603500.56999999983</v>
      </c>
    </row>
    <row r="88" spans="1:7" x14ac:dyDescent="0.25">
      <c r="A88" s="70">
        <v>45662</v>
      </c>
      <c r="B88" s="46">
        <f t="shared" si="10"/>
        <v>31</v>
      </c>
      <c r="C88" s="68">
        <f t="shared" si="13"/>
        <v>15000</v>
      </c>
      <c r="D88" s="48">
        <f t="shared" si="7"/>
        <v>9874.380000000001</v>
      </c>
      <c r="E88" s="68">
        <f t="shared" si="8"/>
        <v>5125.62</v>
      </c>
      <c r="F88" s="47">
        <f t="shared" si="12"/>
        <v>603500.56999999983</v>
      </c>
      <c r="G88" s="47">
        <f t="shared" si="9"/>
        <v>593626.18999999983</v>
      </c>
    </row>
    <row r="89" spans="1:7" x14ac:dyDescent="0.25">
      <c r="A89" s="70">
        <v>45693</v>
      </c>
      <c r="B89" s="46">
        <f t="shared" si="10"/>
        <v>31</v>
      </c>
      <c r="C89" s="68">
        <f t="shared" si="13"/>
        <v>15000</v>
      </c>
      <c r="D89" s="48">
        <f t="shared" si="7"/>
        <v>9958.24</v>
      </c>
      <c r="E89" s="68">
        <f t="shared" si="8"/>
        <v>5041.76</v>
      </c>
      <c r="F89" s="47">
        <f t="shared" si="12"/>
        <v>593626.18999999983</v>
      </c>
      <c r="G89" s="47">
        <f t="shared" si="9"/>
        <v>583667.94999999984</v>
      </c>
    </row>
    <row r="90" spans="1:7" x14ac:dyDescent="0.25">
      <c r="A90" s="70">
        <v>45721</v>
      </c>
      <c r="B90" s="46">
        <f t="shared" si="10"/>
        <v>28</v>
      </c>
      <c r="C90" s="68">
        <f t="shared" si="13"/>
        <v>15000</v>
      </c>
      <c r="D90" s="48">
        <f t="shared" si="7"/>
        <v>10522.55</v>
      </c>
      <c r="E90" s="68">
        <f t="shared" si="8"/>
        <v>4477.45</v>
      </c>
      <c r="F90" s="47">
        <f t="shared" si="12"/>
        <v>583667.94999999984</v>
      </c>
      <c r="G90" s="47">
        <f t="shared" si="9"/>
        <v>573145.39999999979</v>
      </c>
    </row>
    <row r="91" spans="1:7" x14ac:dyDescent="0.25">
      <c r="A91" s="70">
        <v>45752</v>
      </c>
      <c r="B91" s="46">
        <f t="shared" si="10"/>
        <v>31</v>
      </c>
      <c r="C91" s="68">
        <f t="shared" si="13"/>
        <v>15000</v>
      </c>
      <c r="D91" s="48">
        <f t="shared" si="7"/>
        <v>10132.189999999999</v>
      </c>
      <c r="E91" s="68">
        <f t="shared" si="8"/>
        <v>4867.8100000000004</v>
      </c>
      <c r="F91" s="47">
        <f t="shared" si="12"/>
        <v>573145.39999999979</v>
      </c>
      <c r="G91" s="47">
        <f t="shared" si="9"/>
        <v>563013.20999999985</v>
      </c>
    </row>
    <row r="92" spans="1:7" x14ac:dyDescent="0.25">
      <c r="A92" s="70">
        <v>45782</v>
      </c>
      <c r="B92" s="46">
        <f t="shared" si="10"/>
        <v>30</v>
      </c>
      <c r="C92" s="68">
        <f t="shared" si="13"/>
        <v>15000</v>
      </c>
      <c r="D92" s="48">
        <f t="shared" si="7"/>
        <v>10372.49</v>
      </c>
      <c r="E92" s="68">
        <f t="shared" si="8"/>
        <v>4627.51</v>
      </c>
      <c r="F92" s="47">
        <f t="shared" si="12"/>
        <v>563013.20999999985</v>
      </c>
      <c r="G92" s="47">
        <f t="shared" si="9"/>
        <v>552640.71999999986</v>
      </c>
    </row>
    <row r="93" spans="1:7" x14ac:dyDescent="0.25">
      <c r="A93" s="70">
        <v>45813</v>
      </c>
      <c r="B93" s="46">
        <f t="shared" si="10"/>
        <v>31</v>
      </c>
      <c r="C93" s="47">
        <f>$J$2</f>
        <v>39356</v>
      </c>
      <c r="D93" s="48">
        <f t="shared" si="7"/>
        <v>34662.339999999997</v>
      </c>
      <c r="E93" s="68">
        <f t="shared" si="8"/>
        <v>4693.66</v>
      </c>
      <c r="F93" s="47">
        <f t="shared" si="12"/>
        <v>552640.71999999986</v>
      </c>
      <c r="G93" s="47">
        <f t="shared" si="9"/>
        <v>517978.37999999989</v>
      </c>
    </row>
    <row r="94" spans="1:7" x14ac:dyDescent="0.25">
      <c r="A94" s="70">
        <v>45843</v>
      </c>
      <c r="B94" s="46">
        <f t="shared" si="10"/>
        <v>30</v>
      </c>
      <c r="C94" s="47">
        <f t="shared" ref="C94:C107" si="14">$J$2</f>
        <v>39356</v>
      </c>
      <c r="D94" s="48">
        <f t="shared" si="7"/>
        <v>35098.639999999999</v>
      </c>
      <c r="E94" s="68">
        <f t="shared" si="8"/>
        <v>4257.3599999999997</v>
      </c>
      <c r="F94" s="47">
        <f t="shared" si="12"/>
        <v>517978.37999999989</v>
      </c>
      <c r="G94" s="47">
        <f t="shared" si="9"/>
        <v>482879.73999999987</v>
      </c>
    </row>
    <row r="95" spans="1:7" x14ac:dyDescent="0.25">
      <c r="A95" s="70">
        <v>45874</v>
      </c>
      <c r="B95" s="46">
        <f t="shared" si="10"/>
        <v>31</v>
      </c>
      <c r="C95" s="47">
        <f t="shared" si="14"/>
        <v>39356</v>
      </c>
      <c r="D95" s="48">
        <f t="shared" si="7"/>
        <v>35254.83</v>
      </c>
      <c r="E95" s="68">
        <f t="shared" si="8"/>
        <v>4101.17</v>
      </c>
      <c r="F95" s="47">
        <f t="shared" si="12"/>
        <v>482879.73999999987</v>
      </c>
      <c r="G95" s="47">
        <f t="shared" si="9"/>
        <v>447624.90999999986</v>
      </c>
    </row>
    <row r="96" spans="1:7" x14ac:dyDescent="0.25">
      <c r="A96" s="70">
        <v>45905</v>
      </c>
      <c r="B96" s="46">
        <f t="shared" si="10"/>
        <v>31</v>
      </c>
      <c r="C96" s="47">
        <f t="shared" si="14"/>
        <v>39356</v>
      </c>
      <c r="D96" s="48">
        <f t="shared" si="7"/>
        <v>35554.25</v>
      </c>
      <c r="E96" s="68">
        <f t="shared" si="8"/>
        <v>3801.75</v>
      </c>
      <c r="F96" s="47">
        <f t="shared" si="12"/>
        <v>447624.90999999986</v>
      </c>
      <c r="G96" s="47">
        <f t="shared" si="9"/>
        <v>412070.65999999986</v>
      </c>
    </row>
    <row r="97" spans="1:7" x14ac:dyDescent="0.25">
      <c r="A97" s="70">
        <v>45935</v>
      </c>
      <c r="B97" s="46">
        <f t="shared" si="10"/>
        <v>30</v>
      </c>
      <c r="C97" s="47">
        <f t="shared" si="14"/>
        <v>39356</v>
      </c>
      <c r="D97" s="48">
        <f t="shared" si="7"/>
        <v>35969.120000000003</v>
      </c>
      <c r="E97" s="68">
        <f t="shared" si="8"/>
        <v>3386.88</v>
      </c>
      <c r="F97" s="47">
        <f t="shared" si="12"/>
        <v>412070.65999999986</v>
      </c>
      <c r="G97" s="47">
        <f t="shared" si="9"/>
        <v>376101.53999999986</v>
      </c>
    </row>
    <row r="98" spans="1:7" x14ac:dyDescent="0.25">
      <c r="A98" s="70">
        <v>45966</v>
      </c>
      <c r="B98" s="46">
        <f t="shared" si="10"/>
        <v>31</v>
      </c>
      <c r="C98" s="47">
        <f t="shared" si="14"/>
        <v>39356</v>
      </c>
      <c r="D98" s="48">
        <f t="shared" si="7"/>
        <v>36161.71</v>
      </c>
      <c r="E98" s="68">
        <f t="shared" si="8"/>
        <v>3194.29</v>
      </c>
      <c r="F98" s="47">
        <f t="shared" si="12"/>
        <v>376101.53999999986</v>
      </c>
      <c r="G98" s="47">
        <f t="shared" si="9"/>
        <v>339939.82999999984</v>
      </c>
    </row>
    <row r="99" spans="1:7" x14ac:dyDescent="0.25">
      <c r="A99" s="70">
        <v>45996</v>
      </c>
      <c r="B99" s="46">
        <f t="shared" si="10"/>
        <v>30</v>
      </c>
      <c r="C99" s="47">
        <f t="shared" si="14"/>
        <v>39356</v>
      </c>
      <c r="D99" s="48">
        <f t="shared" si="7"/>
        <v>36561.97</v>
      </c>
      <c r="E99" s="68">
        <f t="shared" si="8"/>
        <v>2794.03</v>
      </c>
      <c r="F99" s="47">
        <f t="shared" si="12"/>
        <v>339939.82999999984</v>
      </c>
      <c r="G99" s="47">
        <f t="shared" si="9"/>
        <v>303377.85999999987</v>
      </c>
    </row>
    <row r="100" spans="1:7" x14ac:dyDescent="0.25">
      <c r="A100" s="70">
        <v>46027</v>
      </c>
      <c r="B100" s="46">
        <f t="shared" si="10"/>
        <v>31</v>
      </c>
      <c r="C100" s="47">
        <f t="shared" si="14"/>
        <v>39356</v>
      </c>
      <c r="D100" s="48">
        <f t="shared" si="7"/>
        <v>36779.370000000003</v>
      </c>
      <c r="E100" s="68">
        <f t="shared" si="8"/>
        <v>2576.63</v>
      </c>
      <c r="F100" s="47">
        <f t="shared" si="12"/>
        <v>303377.85999999987</v>
      </c>
      <c r="G100" s="47">
        <f t="shared" si="9"/>
        <v>266598.48999999987</v>
      </c>
    </row>
    <row r="101" spans="1:7" x14ac:dyDescent="0.25">
      <c r="A101" s="70">
        <v>46058</v>
      </c>
      <c r="B101" s="46">
        <f t="shared" si="10"/>
        <v>31</v>
      </c>
      <c r="C101" s="47">
        <f t="shared" si="14"/>
        <v>39356</v>
      </c>
      <c r="D101" s="48">
        <f t="shared" si="7"/>
        <v>37091.74</v>
      </c>
      <c r="E101" s="68">
        <f t="shared" si="8"/>
        <v>2264.2600000000002</v>
      </c>
      <c r="F101" s="47">
        <f t="shared" si="12"/>
        <v>266598.48999999987</v>
      </c>
      <c r="G101" s="47">
        <f t="shared" si="9"/>
        <v>229506.74999999988</v>
      </c>
    </row>
    <row r="102" spans="1:7" x14ac:dyDescent="0.25">
      <c r="A102" s="70">
        <v>46086</v>
      </c>
      <c r="B102" s="46">
        <f t="shared" si="10"/>
        <v>28</v>
      </c>
      <c r="C102" s="47">
        <f t="shared" si="14"/>
        <v>39356</v>
      </c>
      <c r="D102" s="48">
        <f t="shared" si="7"/>
        <v>37595.4</v>
      </c>
      <c r="E102" s="68">
        <f t="shared" si="8"/>
        <v>1760.6</v>
      </c>
      <c r="F102" s="47">
        <f t="shared" si="12"/>
        <v>229506.74999999988</v>
      </c>
      <c r="G102" s="47">
        <f t="shared" si="9"/>
        <v>191911.34999999989</v>
      </c>
    </row>
    <row r="103" spans="1:7" x14ac:dyDescent="0.25">
      <c r="A103" s="70">
        <v>46117</v>
      </c>
      <c r="B103" s="46">
        <f t="shared" si="10"/>
        <v>31</v>
      </c>
      <c r="C103" s="47">
        <f t="shared" si="14"/>
        <v>39356</v>
      </c>
      <c r="D103" s="48">
        <f t="shared" si="7"/>
        <v>37726.07</v>
      </c>
      <c r="E103" s="68">
        <f t="shared" si="8"/>
        <v>1629.93</v>
      </c>
      <c r="F103" s="47">
        <f t="shared" si="12"/>
        <v>191911.34999999989</v>
      </c>
      <c r="G103" s="47">
        <f t="shared" si="9"/>
        <v>154185.27999999988</v>
      </c>
    </row>
    <row r="104" spans="1:7" x14ac:dyDescent="0.25">
      <c r="A104" s="70">
        <v>46147</v>
      </c>
      <c r="B104" s="46">
        <f t="shared" si="10"/>
        <v>30</v>
      </c>
      <c r="C104" s="47">
        <f t="shared" si="14"/>
        <v>39356</v>
      </c>
      <c r="D104" s="48">
        <f t="shared" si="7"/>
        <v>38088.720000000001</v>
      </c>
      <c r="E104" s="68">
        <f t="shared" si="8"/>
        <v>1267.28</v>
      </c>
      <c r="F104" s="47">
        <f t="shared" si="12"/>
        <v>154185.27999999988</v>
      </c>
      <c r="G104" s="47">
        <f t="shared" si="9"/>
        <v>116096.55999999988</v>
      </c>
    </row>
    <row r="105" spans="1:7" x14ac:dyDescent="0.25">
      <c r="A105" s="70">
        <v>46178</v>
      </c>
      <c r="B105" s="46">
        <f t="shared" si="10"/>
        <v>31</v>
      </c>
      <c r="C105" s="47">
        <f t="shared" si="14"/>
        <v>39356</v>
      </c>
      <c r="D105" s="48">
        <f t="shared" si="7"/>
        <v>38369.97</v>
      </c>
      <c r="E105" s="68">
        <f t="shared" si="8"/>
        <v>986.03</v>
      </c>
      <c r="F105" s="47">
        <f t="shared" si="12"/>
        <v>116096.55999999988</v>
      </c>
      <c r="G105" s="47">
        <f t="shared" si="9"/>
        <v>77726.58999999988</v>
      </c>
    </row>
    <row r="106" spans="1:7" x14ac:dyDescent="0.25">
      <c r="A106" s="70">
        <v>46208</v>
      </c>
      <c r="B106" s="46">
        <f t="shared" si="10"/>
        <v>30</v>
      </c>
      <c r="C106" s="47">
        <f t="shared" si="14"/>
        <v>39356</v>
      </c>
      <c r="D106" s="48">
        <f t="shared" si="7"/>
        <v>38717.15</v>
      </c>
      <c r="E106" s="68">
        <f t="shared" si="8"/>
        <v>638.85</v>
      </c>
      <c r="F106" s="47">
        <f t="shared" si="12"/>
        <v>77726.58999999988</v>
      </c>
      <c r="G106" s="47">
        <f t="shared" si="9"/>
        <v>39009.439999999879</v>
      </c>
    </row>
    <row r="107" spans="1:7" x14ac:dyDescent="0.25">
      <c r="A107" s="70">
        <v>46239</v>
      </c>
      <c r="B107" s="46">
        <f t="shared" si="10"/>
        <v>31</v>
      </c>
      <c r="C107" s="47">
        <f t="shared" si="14"/>
        <v>39356</v>
      </c>
      <c r="D107" s="48">
        <f t="shared" si="7"/>
        <v>39009.439999999879</v>
      </c>
      <c r="E107" s="68">
        <v>346.56000000012369</v>
      </c>
      <c r="F107" s="47">
        <f t="shared" si="12"/>
        <v>39009.439999999879</v>
      </c>
      <c r="G107" s="47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15C382-EC79-473E-9768-7BB01D8B98CA}">
  <dimension ref="A1:P107"/>
  <sheetViews>
    <sheetView zoomScale="85" zoomScaleNormal="85" workbookViewId="0">
      <pane ySplit="3" topLeftCell="A4" activePane="bottomLeft" state="frozen"/>
      <selection activeCell="A3" sqref="A3"/>
      <selection pane="bottomLeft" activeCell="D11" sqref="D11"/>
    </sheetView>
  </sheetViews>
  <sheetFormatPr defaultRowHeight="15" x14ac:dyDescent="0.25"/>
  <cols>
    <col min="1" max="1" width="15.7109375" bestFit="1" customWidth="1"/>
    <col min="2" max="2" width="12.7109375" bestFit="1" customWidth="1"/>
    <col min="3" max="3" width="23.7109375" bestFit="1" customWidth="1"/>
    <col min="4" max="4" width="10.7109375" bestFit="1" customWidth="1"/>
    <col min="5" max="5" width="17.5703125" bestFit="1" customWidth="1"/>
    <col min="6" max="6" width="16" bestFit="1" customWidth="1"/>
    <col min="7" max="7" width="17.5703125" bestFit="1" customWidth="1"/>
    <col min="8" max="8" width="15.7109375" bestFit="1" customWidth="1"/>
    <col min="9" max="9" width="16.42578125" bestFit="1" customWidth="1"/>
    <col min="10" max="10" width="8.7109375" bestFit="1" customWidth="1"/>
    <col min="11" max="11" width="17.5703125" bestFit="1" customWidth="1"/>
    <col min="12" max="12" width="10.28515625" bestFit="1" customWidth="1"/>
    <col min="13" max="13" width="16.42578125" bestFit="1" customWidth="1"/>
    <col min="14" max="14" width="6.140625" bestFit="1" customWidth="1"/>
    <col min="15" max="15" width="15" bestFit="1" customWidth="1"/>
    <col min="16" max="16" width="6.140625" bestFit="1" customWidth="1"/>
  </cols>
  <sheetData>
    <row r="1" spans="1:16" x14ac:dyDescent="0.25">
      <c r="A1" s="17" t="s">
        <v>33</v>
      </c>
      <c r="B1" s="78">
        <v>44778</v>
      </c>
      <c r="C1" s="17" t="s">
        <v>37</v>
      </c>
      <c r="D1" s="79">
        <f>ROUNDUP(23789.5343079289,0)</f>
        <v>23790</v>
      </c>
      <c r="E1" s="73" t="s">
        <v>147</v>
      </c>
      <c r="F1" s="74">
        <v>42009</v>
      </c>
      <c r="G1" s="73" t="s">
        <v>150</v>
      </c>
      <c r="H1" s="79">
        <f>ROUNDUP(21423.509131071,0)</f>
        <v>21424</v>
      </c>
      <c r="I1" s="73" t="s">
        <v>175</v>
      </c>
      <c r="J1" s="87">
        <v>0.1</v>
      </c>
      <c r="K1" s="73" t="s">
        <v>148</v>
      </c>
      <c r="L1" s="74">
        <v>42129</v>
      </c>
      <c r="M1" s="73" t="s">
        <v>149</v>
      </c>
      <c r="N1" s="69">
        <f>ROUNDUP(20216.1092297972,0)</f>
        <v>20217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42495</v>
      </c>
      <c r="E2" s="73" t="s">
        <v>177</v>
      </c>
      <c r="F2" s="69">
        <v>15000</v>
      </c>
      <c r="G2" s="73" t="s">
        <v>173</v>
      </c>
      <c r="H2" s="74">
        <v>42860</v>
      </c>
      <c r="I2" s="73" t="s">
        <v>174</v>
      </c>
      <c r="J2" s="89">
        <f>ROUNDUP(39338.3579334102,0)</f>
        <v>39339</v>
      </c>
      <c r="K2" s="73" t="s">
        <v>178</v>
      </c>
      <c r="L2" s="88">
        <v>48</v>
      </c>
    </row>
    <row r="3" spans="1:16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6" x14ac:dyDescent="0.25">
      <c r="A4" s="36">
        <v>44809</v>
      </c>
      <c r="B4" s="46">
        <f>DAYS360(B1,A4,TRUE)</f>
        <v>30</v>
      </c>
      <c r="C4" s="47">
        <f>$D$1</f>
        <v>23790</v>
      </c>
      <c r="D4" s="48">
        <f t="shared" ref="D4:D63" si="0">C4-E4</f>
        <v>11290</v>
      </c>
      <c r="E4" s="68">
        <f>ROUND(F4*$B$2*B4/360,2)</f>
        <v>12500</v>
      </c>
      <c r="F4" s="47">
        <v>1000000</v>
      </c>
      <c r="G4" s="47">
        <f t="shared" ref="G4" si="1">F4-D4</f>
        <v>988710</v>
      </c>
    </row>
    <row r="5" spans="1:16" x14ac:dyDescent="0.25">
      <c r="A5" s="36">
        <v>44839</v>
      </c>
      <c r="B5" s="46">
        <f>DAYS360(A4,A5,TRUE)</f>
        <v>30</v>
      </c>
      <c r="C5" s="47">
        <f>$D$1</f>
        <v>23790</v>
      </c>
      <c r="D5" s="48">
        <f t="shared" si="0"/>
        <v>11431.12</v>
      </c>
      <c r="E5" s="68">
        <f>ROUND(F5*$B$2*B5/360,2)</f>
        <v>12358.88</v>
      </c>
      <c r="F5" s="47">
        <f>G4</f>
        <v>988710</v>
      </c>
      <c r="G5" s="47">
        <f>F5-D5</f>
        <v>977278.88</v>
      </c>
    </row>
    <row r="6" spans="1:16" x14ac:dyDescent="0.25">
      <c r="A6" s="36">
        <v>44870</v>
      </c>
      <c r="B6" s="46">
        <f t="shared" ref="B6:B69" si="2">DAYS360(A5,A6,TRUE)</f>
        <v>30</v>
      </c>
      <c r="C6" s="47">
        <f t="shared" ref="C6:C64" si="3">$D$1</f>
        <v>23790</v>
      </c>
      <c r="D6" s="48">
        <f t="shared" si="0"/>
        <v>11574.01</v>
      </c>
      <c r="E6" s="68">
        <f t="shared" ref="E6:E62" si="4">ROUND(F6*$B$2*B6/360,2)</f>
        <v>12215.99</v>
      </c>
      <c r="F6" s="47">
        <f t="shared" ref="F6:F63" si="5">G5</f>
        <v>977278.88</v>
      </c>
      <c r="G6" s="47">
        <f t="shared" ref="G6:G63" si="6">F6-D6</f>
        <v>965704.87</v>
      </c>
    </row>
    <row r="7" spans="1:16" x14ac:dyDescent="0.25">
      <c r="A7" s="36">
        <v>44900</v>
      </c>
      <c r="B7" s="46">
        <f t="shared" si="2"/>
        <v>30</v>
      </c>
      <c r="C7" s="47">
        <f t="shared" si="3"/>
        <v>23790</v>
      </c>
      <c r="D7" s="48">
        <f t="shared" si="0"/>
        <v>11718.69</v>
      </c>
      <c r="E7" s="68">
        <f t="shared" si="4"/>
        <v>12071.31</v>
      </c>
      <c r="F7" s="47">
        <f t="shared" si="5"/>
        <v>965704.87</v>
      </c>
      <c r="G7" s="47">
        <f t="shared" si="6"/>
        <v>953986.18</v>
      </c>
    </row>
    <row r="8" spans="1:16" x14ac:dyDescent="0.25">
      <c r="A8" s="36">
        <v>44931</v>
      </c>
      <c r="B8" s="46">
        <f t="shared" si="2"/>
        <v>30</v>
      </c>
      <c r="C8" s="47">
        <f t="shared" si="3"/>
        <v>23790</v>
      </c>
      <c r="D8" s="48">
        <f t="shared" si="0"/>
        <v>11865.17</v>
      </c>
      <c r="E8" s="68">
        <f t="shared" si="4"/>
        <v>11924.83</v>
      </c>
      <c r="F8" s="47">
        <f t="shared" si="5"/>
        <v>953986.18</v>
      </c>
      <c r="G8" s="47">
        <f t="shared" si="6"/>
        <v>942121.01</v>
      </c>
    </row>
    <row r="9" spans="1:16" x14ac:dyDescent="0.25">
      <c r="A9" s="36">
        <v>44962</v>
      </c>
      <c r="B9" s="46">
        <f t="shared" si="2"/>
        <v>30</v>
      </c>
      <c r="C9" s="47">
        <f t="shared" si="3"/>
        <v>23790</v>
      </c>
      <c r="D9" s="48">
        <f t="shared" si="0"/>
        <v>12013.49</v>
      </c>
      <c r="E9" s="68">
        <f t="shared" si="4"/>
        <v>11776.51</v>
      </c>
      <c r="F9" s="47">
        <f t="shared" si="5"/>
        <v>942121.01</v>
      </c>
      <c r="G9" s="47">
        <f t="shared" si="6"/>
        <v>930107.52</v>
      </c>
    </row>
    <row r="10" spans="1:16" x14ac:dyDescent="0.25">
      <c r="A10" s="36">
        <v>44990</v>
      </c>
      <c r="B10" s="46">
        <f t="shared" si="2"/>
        <v>30</v>
      </c>
      <c r="C10" s="47">
        <f t="shared" si="3"/>
        <v>23790</v>
      </c>
      <c r="D10" s="48">
        <f t="shared" si="0"/>
        <v>12163.66</v>
      </c>
      <c r="E10" s="68">
        <f t="shared" si="4"/>
        <v>11626.34</v>
      </c>
      <c r="F10" s="47">
        <f t="shared" si="5"/>
        <v>930107.52</v>
      </c>
      <c r="G10" s="47">
        <f t="shared" si="6"/>
        <v>917943.86</v>
      </c>
    </row>
    <row r="11" spans="1:16" x14ac:dyDescent="0.25">
      <c r="A11" s="36">
        <v>45021</v>
      </c>
      <c r="B11" s="46">
        <f t="shared" si="2"/>
        <v>30</v>
      </c>
      <c r="C11" s="47">
        <f t="shared" si="3"/>
        <v>23790</v>
      </c>
      <c r="D11" s="48">
        <f t="shared" si="0"/>
        <v>12315.7</v>
      </c>
      <c r="E11" s="68">
        <f t="shared" si="4"/>
        <v>11474.3</v>
      </c>
      <c r="F11" s="47">
        <f t="shared" si="5"/>
        <v>917943.86</v>
      </c>
      <c r="G11" s="47">
        <f t="shared" si="6"/>
        <v>905628.16000000003</v>
      </c>
    </row>
    <row r="12" spans="1:16" x14ac:dyDescent="0.25">
      <c r="A12" s="36">
        <v>45051</v>
      </c>
      <c r="B12" s="46">
        <f t="shared" si="2"/>
        <v>30</v>
      </c>
      <c r="C12" s="47">
        <f t="shared" si="3"/>
        <v>23790</v>
      </c>
      <c r="D12" s="48">
        <f t="shared" si="0"/>
        <v>12469.65</v>
      </c>
      <c r="E12" s="68">
        <f t="shared" si="4"/>
        <v>11320.35</v>
      </c>
      <c r="F12" s="47">
        <f t="shared" si="5"/>
        <v>905628.16000000003</v>
      </c>
      <c r="G12" s="47">
        <f t="shared" si="6"/>
        <v>893158.51</v>
      </c>
    </row>
    <row r="13" spans="1:16" x14ac:dyDescent="0.25">
      <c r="A13" s="36">
        <v>45082</v>
      </c>
      <c r="B13" s="46">
        <f t="shared" si="2"/>
        <v>30</v>
      </c>
      <c r="C13" s="47">
        <f t="shared" si="3"/>
        <v>23790</v>
      </c>
      <c r="D13" s="48">
        <f t="shared" si="0"/>
        <v>12625.52</v>
      </c>
      <c r="E13" s="68">
        <f t="shared" si="4"/>
        <v>11164.48</v>
      </c>
      <c r="F13" s="47">
        <f t="shared" si="5"/>
        <v>893158.51</v>
      </c>
      <c r="G13" s="47">
        <f t="shared" si="6"/>
        <v>880532.99</v>
      </c>
    </row>
    <row r="14" spans="1:16" x14ac:dyDescent="0.25">
      <c r="A14" s="36">
        <v>45112</v>
      </c>
      <c r="B14" s="46">
        <f t="shared" si="2"/>
        <v>30</v>
      </c>
      <c r="C14" s="47">
        <f t="shared" si="3"/>
        <v>23790</v>
      </c>
      <c r="D14" s="48">
        <f t="shared" si="0"/>
        <v>12783.34</v>
      </c>
      <c r="E14" s="68">
        <f t="shared" si="4"/>
        <v>11006.66</v>
      </c>
      <c r="F14" s="47">
        <f t="shared" si="5"/>
        <v>880532.99</v>
      </c>
      <c r="G14" s="47">
        <f t="shared" si="6"/>
        <v>867749.65</v>
      </c>
    </row>
    <row r="15" spans="1:16" x14ac:dyDescent="0.25">
      <c r="A15" s="36">
        <v>45143</v>
      </c>
      <c r="B15" s="46">
        <f t="shared" si="2"/>
        <v>30</v>
      </c>
      <c r="C15" s="47">
        <f t="shared" si="3"/>
        <v>23790</v>
      </c>
      <c r="D15" s="48">
        <f t="shared" si="0"/>
        <v>12943.13</v>
      </c>
      <c r="E15" s="68">
        <f t="shared" si="4"/>
        <v>10846.87</v>
      </c>
      <c r="F15" s="47">
        <f t="shared" si="5"/>
        <v>867749.65</v>
      </c>
      <c r="G15" s="47">
        <f t="shared" si="6"/>
        <v>854806.52</v>
      </c>
    </row>
    <row r="16" spans="1:16" x14ac:dyDescent="0.25">
      <c r="A16" s="36">
        <v>45174</v>
      </c>
      <c r="B16" s="46">
        <f t="shared" si="2"/>
        <v>30</v>
      </c>
      <c r="C16" s="47">
        <f t="shared" si="3"/>
        <v>23790</v>
      </c>
      <c r="D16" s="48">
        <f t="shared" si="0"/>
        <v>13104.92</v>
      </c>
      <c r="E16" s="68">
        <f t="shared" si="4"/>
        <v>10685.08</v>
      </c>
      <c r="F16" s="47">
        <f t="shared" si="5"/>
        <v>854806.52</v>
      </c>
      <c r="G16" s="47">
        <f t="shared" si="6"/>
        <v>841701.6</v>
      </c>
    </row>
    <row r="17" spans="1:7" x14ac:dyDescent="0.25">
      <c r="A17" s="36">
        <v>45204</v>
      </c>
      <c r="B17" s="46">
        <f t="shared" si="2"/>
        <v>30</v>
      </c>
      <c r="C17" s="47">
        <f t="shared" si="3"/>
        <v>23790</v>
      </c>
      <c r="D17" s="48">
        <f t="shared" si="0"/>
        <v>13268.73</v>
      </c>
      <c r="E17" s="68">
        <f t="shared" si="4"/>
        <v>10521.27</v>
      </c>
      <c r="F17" s="47">
        <f t="shared" si="5"/>
        <v>841701.6</v>
      </c>
      <c r="G17" s="47">
        <f t="shared" si="6"/>
        <v>828432.87</v>
      </c>
    </row>
    <row r="18" spans="1:7" x14ac:dyDescent="0.25">
      <c r="A18" s="36">
        <v>45235</v>
      </c>
      <c r="B18" s="46">
        <f t="shared" si="2"/>
        <v>30</v>
      </c>
      <c r="C18" s="47">
        <f t="shared" si="3"/>
        <v>23790</v>
      </c>
      <c r="D18" s="48">
        <f t="shared" si="0"/>
        <v>13434.59</v>
      </c>
      <c r="E18" s="68">
        <f t="shared" si="4"/>
        <v>10355.41</v>
      </c>
      <c r="F18" s="47">
        <f t="shared" si="5"/>
        <v>828432.87</v>
      </c>
      <c r="G18" s="47">
        <f t="shared" si="6"/>
        <v>814998.28</v>
      </c>
    </row>
    <row r="19" spans="1:7" x14ac:dyDescent="0.25">
      <c r="A19" s="36">
        <v>45265</v>
      </c>
      <c r="B19" s="46">
        <f t="shared" si="2"/>
        <v>30</v>
      </c>
      <c r="C19" s="47">
        <f t="shared" si="3"/>
        <v>23790</v>
      </c>
      <c r="D19" s="48">
        <f t="shared" si="0"/>
        <v>13602.52</v>
      </c>
      <c r="E19" s="68">
        <f t="shared" si="4"/>
        <v>10187.48</v>
      </c>
      <c r="F19" s="47">
        <f t="shared" si="5"/>
        <v>814998.28</v>
      </c>
      <c r="G19" s="47">
        <f t="shared" si="6"/>
        <v>801395.76</v>
      </c>
    </row>
    <row r="20" spans="1:7" x14ac:dyDescent="0.25">
      <c r="A20" s="36">
        <v>45296</v>
      </c>
      <c r="B20" s="46">
        <f t="shared" si="2"/>
        <v>30</v>
      </c>
      <c r="C20" s="47">
        <f t="shared" si="3"/>
        <v>23790</v>
      </c>
      <c r="D20" s="48">
        <f t="shared" si="0"/>
        <v>13772.55</v>
      </c>
      <c r="E20" s="68">
        <f t="shared" si="4"/>
        <v>10017.450000000001</v>
      </c>
      <c r="F20" s="47">
        <f t="shared" si="5"/>
        <v>801395.76</v>
      </c>
      <c r="G20" s="47">
        <f t="shared" si="6"/>
        <v>787623.21</v>
      </c>
    </row>
    <row r="21" spans="1:7" x14ac:dyDescent="0.25">
      <c r="A21" s="36">
        <v>45327</v>
      </c>
      <c r="B21" s="46">
        <f t="shared" si="2"/>
        <v>30</v>
      </c>
      <c r="C21" s="47">
        <f t="shared" si="3"/>
        <v>23790</v>
      </c>
      <c r="D21" s="48">
        <f t="shared" si="0"/>
        <v>13944.71</v>
      </c>
      <c r="E21" s="68">
        <f t="shared" si="4"/>
        <v>9845.2900000000009</v>
      </c>
      <c r="F21" s="47">
        <f t="shared" si="5"/>
        <v>787623.21</v>
      </c>
      <c r="G21" s="47">
        <f t="shared" si="6"/>
        <v>773678.5</v>
      </c>
    </row>
    <row r="22" spans="1:7" x14ac:dyDescent="0.25">
      <c r="A22" s="36">
        <v>45356</v>
      </c>
      <c r="B22" s="46">
        <f t="shared" si="2"/>
        <v>30</v>
      </c>
      <c r="C22" s="47">
        <f t="shared" si="3"/>
        <v>23790</v>
      </c>
      <c r="D22" s="48">
        <f t="shared" si="0"/>
        <v>14119.02</v>
      </c>
      <c r="E22" s="68">
        <f t="shared" si="4"/>
        <v>9670.98</v>
      </c>
      <c r="F22" s="47">
        <f t="shared" si="5"/>
        <v>773678.5</v>
      </c>
      <c r="G22" s="47">
        <f t="shared" si="6"/>
        <v>759559.48</v>
      </c>
    </row>
    <row r="23" spans="1:7" x14ac:dyDescent="0.25">
      <c r="A23" s="36">
        <v>45387</v>
      </c>
      <c r="B23" s="46">
        <f t="shared" si="2"/>
        <v>30</v>
      </c>
      <c r="C23" s="47">
        <f t="shared" si="3"/>
        <v>23790</v>
      </c>
      <c r="D23" s="48">
        <f t="shared" si="0"/>
        <v>14295.51</v>
      </c>
      <c r="E23" s="68">
        <f t="shared" si="4"/>
        <v>9494.49</v>
      </c>
      <c r="F23" s="47">
        <f t="shared" si="5"/>
        <v>759559.48</v>
      </c>
      <c r="G23" s="47">
        <f t="shared" si="6"/>
        <v>745263.97</v>
      </c>
    </row>
    <row r="24" spans="1:7" x14ac:dyDescent="0.25">
      <c r="A24" s="36">
        <v>45417</v>
      </c>
      <c r="B24" s="46">
        <f t="shared" si="2"/>
        <v>30</v>
      </c>
      <c r="C24" s="47">
        <f t="shared" si="3"/>
        <v>23790</v>
      </c>
      <c r="D24" s="48">
        <f t="shared" si="0"/>
        <v>14474.2</v>
      </c>
      <c r="E24" s="68">
        <f t="shared" si="4"/>
        <v>9315.7999999999993</v>
      </c>
      <c r="F24" s="47">
        <f t="shared" si="5"/>
        <v>745263.97</v>
      </c>
      <c r="G24" s="47">
        <f t="shared" si="6"/>
        <v>730789.77</v>
      </c>
    </row>
    <row r="25" spans="1:7" x14ac:dyDescent="0.25">
      <c r="A25" s="36">
        <v>45448</v>
      </c>
      <c r="B25" s="46">
        <f t="shared" si="2"/>
        <v>30</v>
      </c>
      <c r="C25" s="47">
        <f t="shared" si="3"/>
        <v>23790</v>
      </c>
      <c r="D25" s="48">
        <f t="shared" si="0"/>
        <v>14655.13</v>
      </c>
      <c r="E25" s="68">
        <f t="shared" si="4"/>
        <v>9134.8700000000008</v>
      </c>
      <c r="F25" s="47">
        <f t="shared" si="5"/>
        <v>730789.77</v>
      </c>
      <c r="G25" s="47">
        <f t="shared" si="6"/>
        <v>716134.64</v>
      </c>
    </row>
    <row r="26" spans="1:7" x14ac:dyDescent="0.25">
      <c r="A26" s="36">
        <v>45478</v>
      </c>
      <c r="B26" s="46">
        <f t="shared" si="2"/>
        <v>30</v>
      </c>
      <c r="C26" s="47">
        <f t="shared" si="3"/>
        <v>23790</v>
      </c>
      <c r="D26" s="48">
        <f t="shared" si="0"/>
        <v>14838.32</v>
      </c>
      <c r="E26" s="68">
        <f t="shared" si="4"/>
        <v>8951.68</v>
      </c>
      <c r="F26" s="47">
        <f t="shared" si="5"/>
        <v>716134.64</v>
      </c>
      <c r="G26" s="47">
        <f t="shared" si="6"/>
        <v>701296.32000000007</v>
      </c>
    </row>
    <row r="27" spans="1:7" x14ac:dyDescent="0.25">
      <c r="A27" s="36">
        <v>45509</v>
      </c>
      <c r="B27" s="46">
        <f t="shared" si="2"/>
        <v>30</v>
      </c>
      <c r="C27" s="47">
        <f t="shared" si="3"/>
        <v>23790</v>
      </c>
      <c r="D27" s="48">
        <f t="shared" si="0"/>
        <v>15023.8</v>
      </c>
      <c r="E27" s="68">
        <f t="shared" si="4"/>
        <v>8766.2000000000007</v>
      </c>
      <c r="F27" s="47">
        <f t="shared" si="5"/>
        <v>701296.32000000007</v>
      </c>
      <c r="G27" s="47">
        <f t="shared" si="6"/>
        <v>686272.52</v>
      </c>
    </row>
    <row r="28" spans="1:7" x14ac:dyDescent="0.25">
      <c r="A28" s="36">
        <v>45540</v>
      </c>
      <c r="B28" s="46">
        <f t="shared" si="2"/>
        <v>30</v>
      </c>
      <c r="C28" s="47">
        <f t="shared" si="3"/>
        <v>23790</v>
      </c>
      <c r="D28" s="48">
        <f t="shared" si="0"/>
        <v>15211.59</v>
      </c>
      <c r="E28" s="68">
        <f t="shared" si="4"/>
        <v>8578.41</v>
      </c>
      <c r="F28" s="47">
        <f t="shared" si="5"/>
        <v>686272.52</v>
      </c>
      <c r="G28" s="47">
        <f t="shared" si="6"/>
        <v>671060.93000000005</v>
      </c>
    </row>
    <row r="29" spans="1:7" x14ac:dyDescent="0.25">
      <c r="A29" s="36">
        <v>45570</v>
      </c>
      <c r="B29" s="46">
        <f t="shared" si="2"/>
        <v>30</v>
      </c>
      <c r="C29" s="47">
        <f t="shared" si="3"/>
        <v>23790</v>
      </c>
      <c r="D29" s="48">
        <f t="shared" si="0"/>
        <v>15401.74</v>
      </c>
      <c r="E29" s="68">
        <f t="shared" si="4"/>
        <v>8388.26</v>
      </c>
      <c r="F29" s="47">
        <f t="shared" si="5"/>
        <v>671060.93000000005</v>
      </c>
      <c r="G29" s="47">
        <f t="shared" si="6"/>
        <v>655659.19000000006</v>
      </c>
    </row>
    <row r="30" spans="1:7" x14ac:dyDescent="0.25">
      <c r="A30" s="36">
        <v>45601</v>
      </c>
      <c r="B30" s="46">
        <f t="shared" si="2"/>
        <v>30</v>
      </c>
      <c r="C30" s="47">
        <f t="shared" si="3"/>
        <v>23790</v>
      </c>
      <c r="D30" s="48">
        <f t="shared" si="0"/>
        <v>15594.26</v>
      </c>
      <c r="E30" s="68">
        <f t="shared" si="4"/>
        <v>8195.74</v>
      </c>
      <c r="F30" s="47">
        <f t="shared" si="5"/>
        <v>655659.19000000006</v>
      </c>
      <c r="G30" s="47">
        <f t="shared" si="6"/>
        <v>640064.93000000005</v>
      </c>
    </row>
    <row r="31" spans="1:7" x14ac:dyDescent="0.25">
      <c r="A31" s="36">
        <v>45631</v>
      </c>
      <c r="B31" s="46">
        <f t="shared" si="2"/>
        <v>30</v>
      </c>
      <c r="C31" s="47">
        <f t="shared" si="3"/>
        <v>23790</v>
      </c>
      <c r="D31" s="48">
        <f t="shared" si="0"/>
        <v>15789.189999999999</v>
      </c>
      <c r="E31" s="68">
        <f t="shared" si="4"/>
        <v>8000.81</v>
      </c>
      <c r="F31" s="47">
        <f t="shared" si="5"/>
        <v>640064.93000000005</v>
      </c>
      <c r="G31" s="47">
        <f t="shared" si="6"/>
        <v>624275.74000000011</v>
      </c>
    </row>
    <row r="32" spans="1:7" x14ac:dyDescent="0.25">
      <c r="A32" s="36">
        <v>45662</v>
      </c>
      <c r="B32" s="46">
        <f t="shared" si="2"/>
        <v>30</v>
      </c>
      <c r="C32" s="47">
        <f t="shared" si="3"/>
        <v>23790</v>
      </c>
      <c r="D32" s="48">
        <f t="shared" si="0"/>
        <v>15986.55</v>
      </c>
      <c r="E32" s="68">
        <f t="shared" si="4"/>
        <v>7803.45</v>
      </c>
      <c r="F32" s="47">
        <f t="shared" si="5"/>
        <v>624275.74000000011</v>
      </c>
      <c r="G32" s="47">
        <f t="shared" si="6"/>
        <v>608289.19000000006</v>
      </c>
    </row>
    <row r="33" spans="1:7" x14ac:dyDescent="0.25">
      <c r="A33" s="36">
        <v>45693</v>
      </c>
      <c r="B33" s="46">
        <f t="shared" si="2"/>
        <v>30</v>
      </c>
      <c r="C33" s="47">
        <f t="shared" si="3"/>
        <v>23790</v>
      </c>
      <c r="D33" s="48">
        <f t="shared" si="0"/>
        <v>16186.39</v>
      </c>
      <c r="E33" s="68">
        <f t="shared" si="4"/>
        <v>7603.61</v>
      </c>
      <c r="F33" s="47">
        <f t="shared" si="5"/>
        <v>608289.19000000006</v>
      </c>
      <c r="G33" s="47">
        <f t="shared" si="6"/>
        <v>592102.80000000005</v>
      </c>
    </row>
    <row r="34" spans="1:7" x14ac:dyDescent="0.25">
      <c r="A34" s="36">
        <v>45721</v>
      </c>
      <c r="B34" s="46">
        <f t="shared" si="2"/>
        <v>30</v>
      </c>
      <c r="C34" s="47">
        <f t="shared" si="3"/>
        <v>23790</v>
      </c>
      <c r="D34" s="48">
        <f t="shared" si="0"/>
        <v>16388.71</v>
      </c>
      <c r="E34" s="68">
        <f t="shared" si="4"/>
        <v>7401.29</v>
      </c>
      <c r="F34" s="47">
        <f t="shared" si="5"/>
        <v>592102.80000000005</v>
      </c>
      <c r="G34" s="47">
        <f t="shared" si="6"/>
        <v>575714.09000000008</v>
      </c>
    </row>
    <row r="35" spans="1:7" x14ac:dyDescent="0.25">
      <c r="A35" s="36">
        <v>45752</v>
      </c>
      <c r="B35" s="46">
        <f t="shared" si="2"/>
        <v>30</v>
      </c>
      <c r="C35" s="47">
        <f t="shared" si="3"/>
        <v>23790</v>
      </c>
      <c r="D35" s="48">
        <f t="shared" si="0"/>
        <v>16593.57</v>
      </c>
      <c r="E35" s="68">
        <f t="shared" si="4"/>
        <v>7196.43</v>
      </c>
      <c r="F35" s="47">
        <f t="shared" si="5"/>
        <v>575714.09000000008</v>
      </c>
      <c r="G35" s="47">
        <f t="shared" si="6"/>
        <v>559120.52000000014</v>
      </c>
    </row>
    <row r="36" spans="1:7" x14ac:dyDescent="0.25">
      <c r="A36" s="36">
        <v>45782</v>
      </c>
      <c r="B36" s="46">
        <f t="shared" si="2"/>
        <v>30</v>
      </c>
      <c r="C36" s="47">
        <f t="shared" si="3"/>
        <v>23790</v>
      </c>
      <c r="D36" s="48">
        <f t="shared" si="0"/>
        <v>16800.989999999998</v>
      </c>
      <c r="E36" s="68">
        <f t="shared" si="4"/>
        <v>6989.01</v>
      </c>
      <c r="F36" s="47">
        <f t="shared" si="5"/>
        <v>559120.52000000014</v>
      </c>
      <c r="G36" s="47">
        <f t="shared" si="6"/>
        <v>542319.53000000014</v>
      </c>
    </row>
    <row r="37" spans="1:7" x14ac:dyDescent="0.25">
      <c r="A37" s="36">
        <v>45813</v>
      </c>
      <c r="B37" s="46">
        <f t="shared" si="2"/>
        <v>30</v>
      </c>
      <c r="C37" s="47">
        <f t="shared" si="3"/>
        <v>23790</v>
      </c>
      <c r="D37" s="48">
        <f t="shared" si="0"/>
        <v>17011.010000000002</v>
      </c>
      <c r="E37" s="68">
        <f t="shared" si="4"/>
        <v>6778.99</v>
      </c>
      <c r="F37" s="47">
        <f t="shared" si="5"/>
        <v>542319.53000000014</v>
      </c>
      <c r="G37" s="47">
        <f t="shared" si="6"/>
        <v>525308.52000000014</v>
      </c>
    </row>
    <row r="38" spans="1:7" x14ac:dyDescent="0.25">
      <c r="A38" s="36">
        <v>45843</v>
      </c>
      <c r="B38" s="46">
        <f t="shared" si="2"/>
        <v>30</v>
      </c>
      <c r="C38" s="47">
        <f t="shared" si="3"/>
        <v>23790</v>
      </c>
      <c r="D38" s="48">
        <f t="shared" si="0"/>
        <v>17223.64</v>
      </c>
      <c r="E38" s="68">
        <f t="shared" si="4"/>
        <v>6566.36</v>
      </c>
      <c r="F38" s="47">
        <f t="shared" si="5"/>
        <v>525308.52000000014</v>
      </c>
      <c r="G38" s="47">
        <f t="shared" si="6"/>
        <v>508084.88000000012</v>
      </c>
    </row>
    <row r="39" spans="1:7" x14ac:dyDescent="0.25">
      <c r="A39" s="36">
        <v>45874</v>
      </c>
      <c r="B39" s="46">
        <f t="shared" si="2"/>
        <v>30</v>
      </c>
      <c r="C39" s="47">
        <f t="shared" si="3"/>
        <v>23790</v>
      </c>
      <c r="D39" s="48">
        <f t="shared" si="0"/>
        <v>17438.939999999999</v>
      </c>
      <c r="E39" s="68">
        <f t="shared" si="4"/>
        <v>6351.06</v>
      </c>
      <c r="F39" s="47">
        <f t="shared" si="5"/>
        <v>508084.88000000012</v>
      </c>
      <c r="G39" s="47">
        <f t="shared" si="6"/>
        <v>490645.94000000012</v>
      </c>
    </row>
    <row r="40" spans="1:7" x14ac:dyDescent="0.25">
      <c r="A40" s="36">
        <v>45905</v>
      </c>
      <c r="B40" s="46">
        <f t="shared" si="2"/>
        <v>30</v>
      </c>
      <c r="C40" s="47">
        <f t="shared" si="3"/>
        <v>23790</v>
      </c>
      <c r="D40" s="48">
        <f t="shared" si="0"/>
        <v>17656.93</v>
      </c>
      <c r="E40" s="68">
        <f t="shared" si="4"/>
        <v>6133.07</v>
      </c>
      <c r="F40" s="47">
        <f t="shared" si="5"/>
        <v>490645.94000000012</v>
      </c>
      <c r="G40" s="47">
        <f t="shared" si="6"/>
        <v>472989.01000000013</v>
      </c>
    </row>
    <row r="41" spans="1:7" x14ac:dyDescent="0.25">
      <c r="A41" s="36">
        <v>45935</v>
      </c>
      <c r="B41" s="46">
        <f t="shared" si="2"/>
        <v>30</v>
      </c>
      <c r="C41" s="47">
        <f t="shared" si="3"/>
        <v>23790</v>
      </c>
      <c r="D41" s="48">
        <f t="shared" si="0"/>
        <v>17877.64</v>
      </c>
      <c r="E41" s="68">
        <f t="shared" si="4"/>
        <v>5912.36</v>
      </c>
      <c r="F41" s="47">
        <f t="shared" si="5"/>
        <v>472989.01000000013</v>
      </c>
      <c r="G41" s="47">
        <f t="shared" si="6"/>
        <v>455111.37000000011</v>
      </c>
    </row>
    <row r="42" spans="1:7" x14ac:dyDescent="0.25">
      <c r="A42" s="36">
        <v>45966</v>
      </c>
      <c r="B42" s="46">
        <f t="shared" si="2"/>
        <v>30</v>
      </c>
      <c r="C42" s="47">
        <f t="shared" si="3"/>
        <v>23790</v>
      </c>
      <c r="D42" s="48">
        <f t="shared" si="0"/>
        <v>18101.11</v>
      </c>
      <c r="E42" s="68">
        <f t="shared" si="4"/>
        <v>5688.89</v>
      </c>
      <c r="F42" s="47">
        <f t="shared" si="5"/>
        <v>455111.37000000011</v>
      </c>
      <c r="G42" s="47">
        <f t="shared" si="6"/>
        <v>437010.26000000013</v>
      </c>
    </row>
    <row r="43" spans="1:7" x14ac:dyDescent="0.25">
      <c r="A43" s="36">
        <v>45996</v>
      </c>
      <c r="B43" s="46">
        <f t="shared" si="2"/>
        <v>30</v>
      </c>
      <c r="C43" s="47">
        <f t="shared" si="3"/>
        <v>23790</v>
      </c>
      <c r="D43" s="48">
        <f t="shared" si="0"/>
        <v>18327.37</v>
      </c>
      <c r="E43" s="68">
        <f t="shared" si="4"/>
        <v>5462.63</v>
      </c>
      <c r="F43" s="47">
        <f t="shared" si="5"/>
        <v>437010.26000000013</v>
      </c>
      <c r="G43" s="47">
        <f t="shared" si="6"/>
        <v>418682.89000000013</v>
      </c>
    </row>
    <row r="44" spans="1:7" x14ac:dyDescent="0.25">
      <c r="A44" s="36">
        <v>46027</v>
      </c>
      <c r="B44" s="46">
        <f t="shared" si="2"/>
        <v>30</v>
      </c>
      <c r="C44" s="47">
        <f t="shared" si="3"/>
        <v>23790</v>
      </c>
      <c r="D44" s="48">
        <f t="shared" si="0"/>
        <v>18556.46</v>
      </c>
      <c r="E44" s="68">
        <f t="shared" si="4"/>
        <v>5233.54</v>
      </c>
      <c r="F44" s="47">
        <f t="shared" si="5"/>
        <v>418682.89000000013</v>
      </c>
      <c r="G44" s="47">
        <f t="shared" si="6"/>
        <v>400126.43000000011</v>
      </c>
    </row>
    <row r="45" spans="1:7" x14ac:dyDescent="0.25">
      <c r="A45" s="36">
        <v>46058</v>
      </c>
      <c r="B45" s="46">
        <f t="shared" si="2"/>
        <v>30</v>
      </c>
      <c r="C45" s="47">
        <f t="shared" si="3"/>
        <v>23790</v>
      </c>
      <c r="D45" s="48">
        <f t="shared" si="0"/>
        <v>18788.419999999998</v>
      </c>
      <c r="E45" s="68">
        <f t="shared" si="4"/>
        <v>5001.58</v>
      </c>
      <c r="F45" s="47">
        <f t="shared" si="5"/>
        <v>400126.43000000011</v>
      </c>
      <c r="G45" s="47">
        <f t="shared" si="6"/>
        <v>381338.01000000013</v>
      </c>
    </row>
    <row r="46" spans="1:7" x14ac:dyDescent="0.25">
      <c r="A46" s="36">
        <v>46086</v>
      </c>
      <c r="B46" s="46">
        <f t="shared" si="2"/>
        <v>30</v>
      </c>
      <c r="C46" s="47">
        <f t="shared" si="3"/>
        <v>23790</v>
      </c>
      <c r="D46" s="48">
        <f t="shared" si="0"/>
        <v>19023.27</v>
      </c>
      <c r="E46" s="68">
        <f t="shared" si="4"/>
        <v>4766.7299999999996</v>
      </c>
      <c r="F46" s="47">
        <f t="shared" si="5"/>
        <v>381338.01000000013</v>
      </c>
      <c r="G46" s="47">
        <f t="shared" si="6"/>
        <v>362314.74000000011</v>
      </c>
    </row>
    <row r="47" spans="1:7" x14ac:dyDescent="0.25">
      <c r="A47" s="36">
        <v>46117</v>
      </c>
      <c r="B47" s="46">
        <f t="shared" si="2"/>
        <v>30</v>
      </c>
      <c r="C47" s="47">
        <f t="shared" si="3"/>
        <v>23790</v>
      </c>
      <c r="D47" s="48">
        <f t="shared" si="0"/>
        <v>19261.07</v>
      </c>
      <c r="E47" s="68">
        <f t="shared" si="4"/>
        <v>4528.93</v>
      </c>
      <c r="F47" s="47">
        <f t="shared" si="5"/>
        <v>362314.74000000011</v>
      </c>
      <c r="G47" s="47">
        <f t="shared" si="6"/>
        <v>343053.6700000001</v>
      </c>
    </row>
    <row r="48" spans="1:7" x14ac:dyDescent="0.25">
      <c r="A48" s="36">
        <v>46147</v>
      </c>
      <c r="B48" s="46">
        <f t="shared" si="2"/>
        <v>30</v>
      </c>
      <c r="C48" s="47">
        <f t="shared" si="3"/>
        <v>23790</v>
      </c>
      <c r="D48" s="48">
        <f t="shared" si="0"/>
        <v>19501.830000000002</v>
      </c>
      <c r="E48" s="68">
        <f t="shared" si="4"/>
        <v>4288.17</v>
      </c>
      <c r="F48" s="47">
        <f t="shared" si="5"/>
        <v>343053.6700000001</v>
      </c>
      <c r="G48" s="47">
        <f t="shared" si="6"/>
        <v>323551.84000000008</v>
      </c>
    </row>
    <row r="49" spans="1:7" x14ac:dyDescent="0.25">
      <c r="A49" s="36">
        <v>46178</v>
      </c>
      <c r="B49" s="46">
        <f t="shared" si="2"/>
        <v>30</v>
      </c>
      <c r="C49" s="47">
        <f t="shared" si="3"/>
        <v>23790</v>
      </c>
      <c r="D49" s="48">
        <f t="shared" si="0"/>
        <v>19745.599999999999</v>
      </c>
      <c r="E49" s="68">
        <f t="shared" si="4"/>
        <v>4044.4</v>
      </c>
      <c r="F49" s="47">
        <f t="shared" si="5"/>
        <v>323551.84000000008</v>
      </c>
      <c r="G49" s="47">
        <f t="shared" si="6"/>
        <v>303806.24000000011</v>
      </c>
    </row>
    <row r="50" spans="1:7" x14ac:dyDescent="0.25">
      <c r="A50" s="36">
        <v>46208</v>
      </c>
      <c r="B50" s="46">
        <f t="shared" si="2"/>
        <v>30</v>
      </c>
      <c r="C50" s="47">
        <f t="shared" si="3"/>
        <v>23790</v>
      </c>
      <c r="D50" s="48">
        <f t="shared" si="0"/>
        <v>19992.419999999998</v>
      </c>
      <c r="E50" s="68">
        <f t="shared" si="4"/>
        <v>3797.58</v>
      </c>
      <c r="F50" s="47">
        <f t="shared" si="5"/>
        <v>303806.24000000011</v>
      </c>
      <c r="G50" s="47">
        <f t="shared" si="6"/>
        <v>283813.82000000012</v>
      </c>
    </row>
    <row r="51" spans="1:7" x14ac:dyDescent="0.25">
      <c r="A51" s="36">
        <v>46239</v>
      </c>
      <c r="B51" s="46">
        <f t="shared" si="2"/>
        <v>30</v>
      </c>
      <c r="C51" s="47">
        <f t="shared" si="3"/>
        <v>23790</v>
      </c>
      <c r="D51" s="48">
        <f t="shared" si="0"/>
        <v>20242.330000000002</v>
      </c>
      <c r="E51" s="68">
        <f t="shared" si="4"/>
        <v>3547.67</v>
      </c>
      <c r="F51" s="47">
        <f t="shared" si="5"/>
        <v>283813.82000000012</v>
      </c>
      <c r="G51" s="47">
        <f t="shared" si="6"/>
        <v>263571.49000000011</v>
      </c>
    </row>
    <row r="52" spans="1:7" x14ac:dyDescent="0.25">
      <c r="A52" s="54">
        <v>46270</v>
      </c>
      <c r="B52" s="46">
        <f t="shared" si="2"/>
        <v>30</v>
      </c>
      <c r="C52" s="47">
        <f t="shared" si="3"/>
        <v>23790</v>
      </c>
      <c r="D52" s="48">
        <f t="shared" si="0"/>
        <v>20495.36</v>
      </c>
      <c r="E52" s="68">
        <f t="shared" si="4"/>
        <v>3294.64</v>
      </c>
      <c r="F52" s="47">
        <f t="shared" si="5"/>
        <v>263571.49000000011</v>
      </c>
      <c r="G52" s="47">
        <f t="shared" si="6"/>
        <v>243076.13000000012</v>
      </c>
    </row>
    <row r="53" spans="1:7" x14ac:dyDescent="0.25">
      <c r="A53" s="54">
        <v>46300</v>
      </c>
      <c r="B53" s="46">
        <f t="shared" si="2"/>
        <v>30</v>
      </c>
      <c r="C53" s="47">
        <f t="shared" si="3"/>
        <v>23790</v>
      </c>
      <c r="D53" s="48">
        <f t="shared" si="0"/>
        <v>20751.55</v>
      </c>
      <c r="E53" s="68">
        <f t="shared" si="4"/>
        <v>3038.45</v>
      </c>
      <c r="F53" s="47">
        <f t="shared" si="5"/>
        <v>243076.13000000012</v>
      </c>
      <c r="G53" s="47">
        <f t="shared" si="6"/>
        <v>222324.58000000013</v>
      </c>
    </row>
    <row r="54" spans="1:7" x14ac:dyDescent="0.25">
      <c r="A54" s="54">
        <v>46331</v>
      </c>
      <c r="B54" s="46">
        <f t="shared" si="2"/>
        <v>30</v>
      </c>
      <c r="C54" s="47">
        <f t="shared" si="3"/>
        <v>23790</v>
      </c>
      <c r="D54" s="48">
        <f t="shared" si="0"/>
        <v>21010.94</v>
      </c>
      <c r="E54" s="68">
        <f t="shared" si="4"/>
        <v>2779.06</v>
      </c>
      <c r="F54" s="47">
        <f t="shared" si="5"/>
        <v>222324.58000000013</v>
      </c>
      <c r="G54" s="47">
        <f t="shared" si="6"/>
        <v>201313.64000000013</v>
      </c>
    </row>
    <row r="55" spans="1:7" x14ac:dyDescent="0.25">
      <c r="A55" s="54">
        <v>46361</v>
      </c>
      <c r="B55" s="46">
        <f t="shared" si="2"/>
        <v>30</v>
      </c>
      <c r="C55" s="47">
        <f t="shared" si="3"/>
        <v>23790</v>
      </c>
      <c r="D55" s="48">
        <f t="shared" si="0"/>
        <v>21273.58</v>
      </c>
      <c r="E55" s="68">
        <f t="shared" si="4"/>
        <v>2516.42</v>
      </c>
      <c r="F55" s="47">
        <f t="shared" si="5"/>
        <v>201313.64000000013</v>
      </c>
      <c r="G55" s="47">
        <f t="shared" si="6"/>
        <v>180040.06000000011</v>
      </c>
    </row>
    <row r="56" spans="1:7" x14ac:dyDescent="0.25">
      <c r="A56" s="54">
        <v>46392</v>
      </c>
      <c r="B56" s="46">
        <f t="shared" si="2"/>
        <v>30</v>
      </c>
      <c r="C56" s="47">
        <f t="shared" si="3"/>
        <v>23790</v>
      </c>
      <c r="D56" s="48">
        <f t="shared" si="0"/>
        <v>21539.5</v>
      </c>
      <c r="E56" s="68">
        <f t="shared" si="4"/>
        <v>2250.5</v>
      </c>
      <c r="F56" s="47">
        <f t="shared" si="5"/>
        <v>180040.06000000011</v>
      </c>
      <c r="G56" s="47">
        <f t="shared" si="6"/>
        <v>158500.56000000011</v>
      </c>
    </row>
    <row r="57" spans="1:7" x14ac:dyDescent="0.25">
      <c r="A57" s="54">
        <v>46423</v>
      </c>
      <c r="B57" s="46">
        <f t="shared" si="2"/>
        <v>30</v>
      </c>
      <c r="C57" s="47">
        <f t="shared" si="3"/>
        <v>23790</v>
      </c>
      <c r="D57" s="48">
        <f t="shared" si="0"/>
        <v>21808.74</v>
      </c>
      <c r="E57" s="68">
        <f t="shared" si="4"/>
        <v>1981.26</v>
      </c>
      <c r="F57" s="47">
        <f t="shared" si="5"/>
        <v>158500.56000000011</v>
      </c>
      <c r="G57" s="47">
        <f t="shared" si="6"/>
        <v>136691.82000000012</v>
      </c>
    </row>
    <row r="58" spans="1:7" x14ac:dyDescent="0.25">
      <c r="A58" s="54">
        <v>46451</v>
      </c>
      <c r="B58" s="46">
        <f t="shared" si="2"/>
        <v>30</v>
      </c>
      <c r="C58" s="47">
        <f t="shared" si="3"/>
        <v>23790</v>
      </c>
      <c r="D58" s="48">
        <f t="shared" si="0"/>
        <v>22081.35</v>
      </c>
      <c r="E58" s="68">
        <f t="shared" si="4"/>
        <v>1708.65</v>
      </c>
      <c r="F58" s="47">
        <f t="shared" si="5"/>
        <v>136691.82000000012</v>
      </c>
      <c r="G58" s="47">
        <f t="shared" si="6"/>
        <v>114610.47000000012</v>
      </c>
    </row>
    <row r="59" spans="1:7" x14ac:dyDescent="0.25">
      <c r="A59" s="54">
        <v>46482</v>
      </c>
      <c r="B59" s="46">
        <f t="shared" si="2"/>
        <v>30</v>
      </c>
      <c r="C59" s="47">
        <f t="shared" si="3"/>
        <v>23790</v>
      </c>
      <c r="D59" s="48">
        <f t="shared" si="0"/>
        <v>22357.37</v>
      </c>
      <c r="E59" s="68">
        <f t="shared" si="4"/>
        <v>1432.63</v>
      </c>
      <c r="F59" s="47">
        <f t="shared" si="5"/>
        <v>114610.47000000012</v>
      </c>
      <c r="G59" s="47">
        <f t="shared" si="6"/>
        <v>92253.100000000122</v>
      </c>
    </row>
    <row r="60" spans="1:7" x14ac:dyDescent="0.25">
      <c r="A60" s="54">
        <v>46512</v>
      </c>
      <c r="B60" s="46">
        <f t="shared" si="2"/>
        <v>30</v>
      </c>
      <c r="C60" s="47">
        <f t="shared" si="3"/>
        <v>23790</v>
      </c>
      <c r="D60" s="48">
        <f t="shared" si="0"/>
        <v>22636.84</v>
      </c>
      <c r="E60" s="68">
        <f t="shared" si="4"/>
        <v>1153.1600000000001</v>
      </c>
      <c r="F60" s="47">
        <f t="shared" si="5"/>
        <v>92253.100000000122</v>
      </c>
      <c r="G60" s="47">
        <f t="shared" si="6"/>
        <v>69616.260000000126</v>
      </c>
    </row>
    <row r="61" spans="1:7" x14ac:dyDescent="0.25">
      <c r="A61" s="54">
        <v>46543</v>
      </c>
      <c r="B61" s="46">
        <f t="shared" si="2"/>
        <v>30</v>
      </c>
      <c r="C61" s="47">
        <f t="shared" si="3"/>
        <v>23790</v>
      </c>
      <c r="D61" s="48">
        <f t="shared" si="0"/>
        <v>22919.8</v>
      </c>
      <c r="E61" s="68">
        <f t="shared" si="4"/>
        <v>870.2</v>
      </c>
      <c r="F61" s="47">
        <f t="shared" si="5"/>
        <v>69616.260000000126</v>
      </c>
      <c r="G61" s="47">
        <f t="shared" si="6"/>
        <v>46696.460000000123</v>
      </c>
    </row>
    <row r="62" spans="1:7" x14ac:dyDescent="0.25">
      <c r="A62" s="54">
        <v>46573</v>
      </c>
      <c r="B62" s="46">
        <f t="shared" si="2"/>
        <v>30</v>
      </c>
      <c r="C62" s="47">
        <f t="shared" si="3"/>
        <v>23790</v>
      </c>
      <c r="D62" s="48">
        <f t="shared" si="0"/>
        <v>23206.29</v>
      </c>
      <c r="E62" s="68">
        <f t="shared" si="4"/>
        <v>583.71</v>
      </c>
      <c r="F62" s="47">
        <f t="shared" si="5"/>
        <v>46696.460000000123</v>
      </c>
      <c r="G62" s="47">
        <f t="shared" si="6"/>
        <v>23490.170000000122</v>
      </c>
    </row>
    <row r="63" spans="1:7" x14ac:dyDescent="0.25">
      <c r="A63" s="54">
        <v>46604</v>
      </c>
      <c r="B63" s="46">
        <f t="shared" si="2"/>
        <v>30</v>
      </c>
      <c r="C63" s="47">
        <f t="shared" si="3"/>
        <v>23790</v>
      </c>
      <c r="D63" s="48">
        <f t="shared" si="0"/>
        <v>23490.170000000122</v>
      </c>
      <c r="E63" s="68">
        <v>299.82999999987703</v>
      </c>
      <c r="F63" s="47">
        <f t="shared" si="5"/>
        <v>23490.170000000122</v>
      </c>
      <c r="G63" s="47">
        <f t="shared" si="6"/>
        <v>0</v>
      </c>
    </row>
    <row r="64" spans="1:7" x14ac:dyDescent="0.25">
      <c r="A64" s="70">
        <v>44931</v>
      </c>
      <c r="B64" s="46">
        <f>DAYS360(A7,A8,TRUE)</f>
        <v>30</v>
      </c>
      <c r="C64" s="47">
        <f t="shared" si="3"/>
        <v>23790</v>
      </c>
      <c r="D64" s="48">
        <f>C8-E8</f>
        <v>11865.17</v>
      </c>
      <c r="E64" s="68">
        <f>ROUND(F8*$B$2*B8/360,2)</f>
        <v>11924.83</v>
      </c>
      <c r="F64" s="47">
        <f>G7</f>
        <v>953986.18</v>
      </c>
      <c r="G64" s="47">
        <f>F64-D64</f>
        <v>942121.01</v>
      </c>
    </row>
    <row r="65" spans="1:7" x14ac:dyDescent="0.25">
      <c r="A65" s="70">
        <v>44962</v>
      </c>
      <c r="B65" s="84">
        <f t="shared" si="2"/>
        <v>30</v>
      </c>
      <c r="C65" s="90">
        <f>$H$1</f>
        <v>21424</v>
      </c>
      <c r="D65" s="91">
        <f t="shared" ref="D65:D107" si="7">C65-E65</f>
        <v>13572.99</v>
      </c>
      <c r="E65" s="90">
        <f>ROUND(F65*$J$1*B65/360,2)</f>
        <v>7851.01</v>
      </c>
      <c r="F65" s="90">
        <f t="shared" ref="F65:F107" si="8">G64</f>
        <v>942121.01</v>
      </c>
      <c r="G65" s="90">
        <f t="shared" ref="G65:G107" si="9">F65-D65</f>
        <v>928548.02</v>
      </c>
    </row>
    <row r="66" spans="1:7" x14ac:dyDescent="0.25">
      <c r="A66" s="70">
        <v>44990</v>
      </c>
      <c r="B66" s="46">
        <f t="shared" si="2"/>
        <v>30</v>
      </c>
      <c r="C66" s="47">
        <f t="shared" ref="C66:C68" si="10">$H$1</f>
        <v>21424</v>
      </c>
      <c r="D66" s="48">
        <f t="shared" si="7"/>
        <v>13686.1</v>
      </c>
      <c r="E66" s="68">
        <f t="shared" ref="E66:E106" si="11">ROUND(F66*$J$1*B66/360,2)</f>
        <v>7737.9</v>
      </c>
      <c r="F66" s="47">
        <f t="shared" si="8"/>
        <v>928548.02</v>
      </c>
      <c r="G66" s="47">
        <f t="shared" si="9"/>
        <v>914861.92</v>
      </c>
    </row>
    <row r="67" spans="1:7" x14ac:dyDescent="0.25">
      <c r="A67" s="70">
        <v>45021</v>
      </c>
      <c r="B67" s="46">
        <f t="shared" si="2"/>
        <v>30</v>
      </c>
      <c r="C67" s="47">
        <f t="shared" si="10"/>
        <v>21424</v>
      </c>
      <c r="D67" s="48">
        <f t="shared" si="7"/>
        <v>13800.15</v>
      </c>
      <c r="E67" s="68">
        <f t="shared" si="11"/>
        <v>7623.85</v>
      </c>
      <c r="F67" s="47">
        <f t="shared" si="8"/>
        <v>914861.92</v>
      </c>
      <c r="G67" s="47">
        <f t="shared" si="9"/>
        <v>901061.77</v>
      </c>
    </row>
    <row r="68" spans="1:7" x14ac:dyDescent="0.25">
      <c r="A68" s="70">
        <v>45051</v>
      </c>
      <c r="B68" s="46">
        <f t="shared" si="2"/>
        <v>30</v>
      </c>
      <c r="C68" s="47">
        <f t="shared" si="10"/>
        <v>21424</v>
      </c>
      <c r="D68" s="48">
        <f t="shared" si="7"/>
        <v>13915.15</v>
      </c>
      <c r="E68" s="68">
        <f t="shared" si="11"/>
        <v>7508.85</v>
      </c>
      <c r="F68" s="47">
        <f t="shared" si="8"/>
        <v>901061.77</v>
      </c>
      <c r="G68" s="47">
        <f t="shared" si="9"/>
        <v>887146.62</v>
      </c>
    </row>
    <row r="69" spans="1:7" x14ac:dyDescent="0.25">
      <c r="A69" s="70">
        <v>45082</v>
      </c>
      <c r="B69" s="84">
        <f t="shared" si="2"/>
        <v>30</v>
      </c>
      <c r="C69" s="90">
        <f>$N$1</f>
        <v>20217</v>
      </c>
      <c r="D69" s="91">
        <f t="shared" si="7"/>
        <v>13240.779999999999</v>
      </c>
      <c r="E69" s="90">
        <f t="shared" si="11"/>
        <v>6976.22</v>
      </c>
      <c r="F69" s="90">
        <f>G68-P1</f>
        <v>837146.62</v>
      </c>
      <c r="G69" s="90">
        <f t="shared" si="9"/>
        <v>823905.84</v>
      </c>
    </row>
    <row r="70" spans="1:7" x14ac:dyDescent="0.25">
      <c r="A70" s="70">
        <v>45112</v>
      </c>
      <c r="B70" s="46">
        <f t="shared" ref="B70:B107" si="12">DAYS360(A69,A70,TRUE)</f>
        <v>30</v>
      </c>
      <c r="C70" s="47">
        <f t="shared" ref="C70:C80" si="13">$N$1</f>
        <v>20217</v>
      </c>
      <c r="D70" s="48">
        <f t="shared" si="7"/>
        <v>13351.119999999999</v>
      </c>
      <c r="E70" s="68">
        <f t="shared" si="11"/>
        <v>6865.88</v>
      </c>
      <c r="F70" s="47">
        <f t="shared" si="8"/>
        <v>823905.84</v>
      </c>
      <c r="G70" s="47">
        <f t="shared" si="9"/>
        <v>810554.72</v>
      </c>
    </row>
    <row r="71" spans="1:7" x14ac:dyDescent="0.25">
      <c r="A71" s="70">
        <v>45143</v>
      </c>
      <c r="B71" s="46">
        <f t="shared" si="12"/>
        <v>30</v>
      </c>
      <c r="C71" s="47">
        <f t="shared" si="13"/>
        <v>20217</v>
      </c>
      <c r="D71" s="48">
        <f t="shared" si="7"/>
        <v>13462.380000000001</v>
      </c>
      <c r="E71" s="68">
        <f t="shared" si="11"/>
        <v>6754.62</v>
      </c>
      <c r="F71" s="47">
        <f t="shared" si="8"/>
        <v>810554.72</v>
      </c>
      <c r="G71" s="47">
        <f t="shared" si="9"/>
        <v>797092.34</v>
      </c>
    </row>
    <row r="72" spans="1:7" x14ac:dyDescent="0.25">
      <c r="A72" s="70">
        <v>45174</v>
      </c>
      <c r="B72" s="46">
        <f t="shared" si="12"/>
        <v>30</v>
      </c>
      <c r="C72" s="47">
        <f t="shared" si="13"/>
        <v>20217</v>
      </c>
      <c r="D72" s="48">
        <f t="shared" si="7"/>
        <v>13574.560000000001</v>
      </c>
      <c r="E72" s="68">
        <f t="shared" si="11"/>
        <v>6642.44</v>
      </c>
      <c r="F72" s="47">
        <f t="shared" si="8"/>
        <v>797092.34</v>
      </c>
      <c r="G72" s="47">
        <f t="shared" si="9"/>
        <v>783517.77999999991</v>
      </c>
    </row>
    <row r="73" spans="1:7" x14ac:dyDescent="0.25">
      <c r="A73" s="70">
        <v>45204</v>
      </c>
      <c r="B73" s="46">
        <f t="shared" si="12"/>
        <v>30</v>
      </c>
      <c r="C73" s="47">
        <f t="shared" si="13"/>
        <v>20217</v>
      </c>
      <c r="D73" s="48">
        <f t="shared" si="7"/>
        <v>13687.689999999999</v>
      </c>
      <c r="E73" s="68">
        <f t="shared" si="11"/>
        <v>6529.31</v>
      </c>
      <c r="F73" s="47">
        <f t="shared" si="8"/>
        <v>783517.77999999991</v>
      </c>
      <c r="G73" s="47">
        <f t="shared" si="9"/>
        <v>769830.09</v>
      </c>
    </row>
    <row r="74" spans="1:7" x14ac:dyDescent="0.25">
      <c r="A74" s="70">
        <v>45235</v>
      </c>
      <c r="B74" s="46">
        <f t="shared" si="12"/>
        <v>30</v>
      </c>
      <c r="C74" s="47">
        <f t="shared" si="13"/>
        <v>20217</v>
      </c>
      <c r="D74" s="48">
        <f t="shared" si="7"/>
        <v>13801.75</v>
      </c>
      <c r="E74" s="68">
        <f t="shared" si="11"/>
        <v>6415.25</v>
      </c>
      <c r="F74" s="47">
        <f t="shared" si="8"/>
        <v>769830.09</v>
      </c>
      <c r="G74" s="47">
        <f t="shared" si="9"/>
        <v>756028.34</v>
      </c>
    </row>
    <row r="75" spans="1:7" x14ac:dyDescent="0.25">
      <c r="A75" s="70">
        <v>45265</v>
      </c>
      <c r="B75" s="46">
        <f t="shared" si="12"/>
        <v>30</v>
      </c>
      <c r="C75" s="47">
        <f t="shared" si="13"/>
        <v>20217</v>
      </c>
      <c r="D75" s="48">
        <f t="shared" si="7"/>
        <v>13916.76</v>
      </c>
      <c r="E75" s="68">
        <f t="shared" si="11"/>
        <v>6300.24</v>
      </c>
      <c r="F75" s="47">
        <f t="shared" si="8"/>
        <v>756028.34</v>
      </c>
      <c r="G75" s="47">
        <f t="shared" si="9"/>
        <v>742111.58</v>
      </c>
    </row>
    <row r="76" spans="1:7" x14ac:dyDescent="0.25">
      <c r="A76" s="70">
        <v>45296</v>
      </c>
      <c r="B76" s="46">
        <f t="shared" si="12"/>
        <v>30</v>
      </c>
      <c r="C76" s="47">
        <f t="shared" si="13"/>
        <v>20217</v>
      </c>
      <c r="D76" s="48">
        <f t="shared" si="7"/>
        <v>14032.74</v>
      </c>
      <c r="E76" s="68">
        <f t="shared" si="11"/>
        <v>6184.26</v>
      </c>
      <c r="F76" s="47">
        <f t="shared" si="8"/>
        <v>742111.58</v>
      </c>
      <c r="G76" s="47">
        <f t="shared" si="9"/>
        <v>728078.84</v>
      </c>
    </row>
    <row r="77" spans="1:7" x14ac:dyDescent="0.25">
      <c r="A77" s="70">
        <v>45327</v>
      </c>
      <c r="B77" s="46">
        <f t="shared" si="12"/>
        <v>30</v>
      </c>
      <c r="C77" s="47">
        <f t="shared" si="13"/>
        <v>20217</v>
      </c>
      <c r="D77" s="48">
        <f t="shared" si="7"/>
        <v>14149.68</v>
      </c>
      <c r="E77" s="68">
        <f t="shared" si="11"/>
        <v>6067.32</v>
      </c>
      <c r="F77" s="47">
        <f t="shared" si="8"/>
        <v>728078.84</v>
      </c>
      <c r="G77" s="47">
        <f t="shared" si="9"/>
        <v>713929.15999999992</v>
      </c>
    </row>
    <row r="78" spans="1:7" x14ac:dyDescent="0.25">
      <c r="A78" s="70">
        <v>45356</v>
      </c>
      <c r="B78" s="46">
        <f t="shared" si="12"/>
        <v>30</v>
      </c>
      <c r="C78" s="47">
        <f t="shared" si="13"/>
        <v>20217</v>
      </c>
      <c r="D78" s="48">
        <f t="shared" si="7"/>
        <v>14267.59</v>
      </c>
      <c r="E78" s="68">
        <f t="shared" si="11"/>
        <v>5949.41</v>
      </c>
      <c r="F78" s="47">
        <f t="shared" si="8"/>
        <v>713929.15999999992</v>
      </c>
      <c r="G78" s="47">
        <f t="shared" si="9"/>
        <v>699661.57</v>
      </c>
    </row>
    <row r="79" spans="1:7" x14ac:dyDescent="0.25">
      <c r="A79" s="70">
        <v>45387</v>
      </c>
      <c r="B79" s="46">
        <f t="shared" si="12"/>
        <v>30</v>
      </c>
      <c r="C79" s="47">
        <f t="shared" si="13"/>
        <v>20217</v>
      </c>
      <c r="D79" s="48">
        <f t="shared" si="7"/>
        <v>14386.49</v>
      </c>
      <c r="E79" s="68">
        <f t="shared" si="11"/>
        <v>5830.51</v>
      </c>
      <c r="F79" s="47">
        <f t="shared" si="8"/>
        <v>699661.57</v>
      </c>
      <c r="G79" s="47">
        <f t="shared" si="9"/>
        <v>685275.08</v>
      </c>
    </row>
    <row r="80" spans="1:7" x14ac:dyDescent="0.25">
      <c r="A80" s="70">
        <v>45417</v>
      </c>
      <c r="B80" s="46">
        <f t="shared" si="12"/>
        <v>30</v>
      </c>
      <c r="C80" s="47">
        <f t="shared" si="13"/>
        <v>20217</v>
      </c>
      <c r="D80" s="48">
        <f t="shared" si="7"/>
        <v>14506.369999999999</v>
      </c>
      <c r="E80" s="68">
        <f t="shared" si="11"/>
        <v>5710.63</v>
      </c>
      <c r="F80" s="47">
        <f t="shared" si="8"/>
        <v>685275.08</v>
      </c>
      <c r="G80" s="47">
        <f t="shared" si="9"/>
        <v>670768.71</v>
      </c>
    </row>
    <row r="81" spans="1:7" x14ac:dyDescent="0.25">
      <c r="A81" s="70">
        <v>45448</v>
      </c>
      <c r="B81" s="84">
        <f t="shared" si="12"/>
        <v>30</v>
      </c>
      <c r="C81" s="90">
        <f>$F$2</f>
        <v>15000</v>
      </c>
      <c r="D81" s="91">
        <f t="shared" si="7"/>
        <v>9410.26</v>
      </c>
      <c r="E81" s="90">
        <f t="shared" si="11"/>
        <v>5589.74</v>
      </c>
      <c r="F81" s="90">
        <f t="shared" si="8"/>
        <v>670768.71</v>
      </c>
      <c r="G81" s="90">
        <f t="shared" si="9"/>
        <v>661358.44999999995</v>
      </c>
    </row>
    <row r="82" spans="1:7" x14ac:dyDescent="0.25">
      <c r="A82" s="70">
        <v>45478</v>
      </c>
      <c r="B82" s="46">
        <f t="shared" si="12"/>
        <v>30</v>
      </c>
      <c r="C82" s="47">
        <f>$F$2</f>
        <v>15000</v>
      </c>
      <c r="D82" s="48">
        <f t="shared" si="7"/>
        <v>9488.68</v>
      </c>
      <c r="E82" s="68">
        <f t="shared" si="11"/>
        <v>5511.32</v>
      </c>
      <c r="F82" s="47">
        <f t="shared" si="8"/>
        <v>661358.44999999995</v>
      </c>
      <c r="G82" s="47">
        <f t="shared" si="9"/>
        <v>651869.7699999999</v>
      </c>
    </row>
    <row r="83" spans="1:7" x14ac:dyDescent="0.25">
      <c r="A83" s="70">
        <v>45509</v>
      </c>
      <c r="B83" s="46">
        <f t="shared" si="12"/>
        <v>30</v>
      </c>
      <c r="C83" s="47">
        <f>$F$2</f>
        <v>15000</v>
      </c>
      <c r="D83" s="48">
        <f t="shared" si="7"/>
        <v>9567.75</v>
      </c>
      <c r="E83" s="68">
        <f t="shared" si="11"/>
        <v>5432.25</v>
      </c>
      <c r="F83" s="47">
        <f t="shared" si="8"/>
        <v>651869.7699999999</v>
      </c>
      <c r="G83" s="47">
        <f t="shared" si="9"/>
        <v>642302.0199999999</v>
      </c>
    </row>
    <row r="84" spans="1:7" x14ac:dyDescent="0.25">
      <c r="A84" s="70">
        <v>45540</v>
      </c>
      <c r="B84" s="46">
        <f t="shared" si="12"/>
        <v>30</v>
      </c>
      <c r="C84" s="47">
        <f t="shared" ref="C84:C92" si="14">$F$2</f>
        <v>15000</v>
      </c>
      <c r="D84" s="48">
        <f t="shared" si="7"/>
        <v>9647.48</v>
      </c>
      <c r="E84" s="68">
        <f t="shared" si="11"/>
        <v>5352.52</v>
      </c>
      <c r="F84" s="47">
        <f t="shared" si="8"/>
        <v>642302.0199999999</v>
      </c>
      <c r="G84" s="47">
        <f t="shared" si="9"/>
        <v>632654.53999999992</v>
      </c>
    </row>
    <row r="85" spans="1:7" x14ac:dyDescent="0.25">
      <c r="A85" s="70">
        <v>45570</v>
      </c>
      <c r="B85" s="46">
        <f t="shared" si="12"/>
        <v>30</v>
      </c>
      <c r="C85" s="47">
        <f t="shared" si="14"/>
        <v>15000</v>
      </c>
      <c r="D85" s="48">
        <f t="shared" si="7"/>
        <v>9727.880000000001</v>
      </c>
      <c r="E85" s="68">
        <f t="shared" si="11"/>
        <v>5272.12</v>
      </c>
      <c r="F85" s="47">
        <f t="shared" si="8"/>
        <v>632654.53999999992</v>
      </c>
      <c r="G85" s="47">
        <f t="shared" si="9"/>
        <v>622926.65999999992</v>
      </c>
    </row>
    <row r="86" spans="1:7" x14ac:dyDescent="0.25">
      <c r="A86" s="70">
        <v>45601</v>
      </c>
      <c r="B86" s="46">
        <f t="shared" si="12"/>
        <v>30</v>
      </c>
      <c r="C86" s="47">
        <f t="shared" si="14"/>
        <v>15000</v>
      </c>
      <c r="D86" s="48">
        <f t="shared" si="7"/>
        <v>9808.9399999999987</v>
      </c>
      <c r="E86" s="68">
        <f t="shared" si="11"/>
        <v>5191.0600000000004</v>
      </c>
      <c r="F86" s="47">
        <f t="shared" si="8"/>
        <v>622926.65999999992</v>
      </c>
      <c r="G86" s="47">
        <f t="shared" si="9"/>
        <v>613117.72</v>
      </c>
    </row>
    <row r="87" spans="1:7" x14ac:dyDescent="0.25">
      <c r="A87" s="70">
        <v>45631</v>
      </c>
      <c r="B87" s="46">
        <f t="shared" si="12"/>
        <v>30</v>
      </c>
      <c r="C87" s="47">
        <f t="shared" si="14"/>
        <v>15000</v>
      </c>
      <c r="D87" s="48">
        <f t="shared" si="7"/>
        <v>9890.6899999999987</v>
      </c>
      <c r="E87" s="68">
        <f t="shared" si="11"/>
        <v>5109.3100000000004</v>
      </c>
      <c r="F87" s="47">
        <f t="shared" si="8"/>
        <v>613117.72</v>
      </c>
      <c r="G87" s="47">
        <f t="shared" si="9"/>
        <v>603227.03</v>
      </c>
    </row>
    <row r="88" spans="1:7" x14ac:dyDescent="0.25">
      <c r="A88" s="70">
        <v>45662</v>
      </c>
      <c r="B88" s="46">
        <f t="shared" si="12"/>
        <v>30</v>
      </c>
      <c r="C88" s="47">
        <f t="shared" si="14"/>
        <v>15000</v>
      </c>
      <c r="D88" s="48">
        <f t="shared" si="7"/>
        <v>9973.11</v>
      </c>
      <c r="E88" s="68">
        <f t="shared" si="11"/>
        <v>5026.8900000000003</v>
      </c>
      <c r="F88" s="47">
        <f t="shared" si="8"/>
        <v>603227.03</v>
      </c>
      <c r="G88" s="47">
        <f t="shared" si="9"/>
        <v>593253.92000000004</v>
      </c>
    </row>
    <row r="89" spans="1:7" x14ac:dyDescent="0.25">
      <c r="A89" s="70">
        <v>45693</v>
      </c>
      <c r="B89" s="46">
        <f t="shared" si="12"/>
        <v>30</v>
      </c>
      <c r="C89" s="47">
        <f t="shared" si="14"/>
        <v>15000</v>
      </c>
      <c r="D89" s="48">
        <f t="shared" si="7"/>
        <v>10056.220000000001</v>
      </c>
      <c r="E89" s="68">
        <f t="shared" si="11"/>
        <v>4943.78</v>
      </c>
      <c r="F89" s="47">
        <f t="shared" si="8"/>
        <v>593253.92000000004</v>
      </c>
      <c r="G89" s="47">
        <f t="shared" si="9"/>
        <v>583197.70000000007</v>
      </c>
    </row>
    <row r="90" spans="1:7" x14ac:dyDescent="0.25">
      <c r="A90" s="70">
        <v>45721</v>
      </c>
      <c r="B90" s="46">
        <f t="shared" si="12"/>
        <v>30</v>
      </c>
      <c r="C90" s="47">
        <f t="shared" si="14"/>
        <v>15000</v>
      </c>
      <c r="D90" s="48">
        <f t="shared" si="7"/>
        <v>10140.02</v>
      </c>
      <c r="E90" s="68">
        <f t="shared" si="11"/>
        <v>4859.9799999999996</v>
      </c>
      <c r="F90" s="47">
        <f t="shared" si="8"/>
        <v>583197.70000000007</v>
      </c>
      <c r="G90" s="47">
        <f t="shared" si="9"/>
        <v>573057.68000000005</v>
      </c>
    </row>
    <row r="91" spans="1:7" x14ac:dyDescent="0.25">
      <c r="A91" s="70">
        <v>45752</v>
      </c>
      <c r="B91" s="46">
        <f t="shared" si="12"/>
        <v>30</v>
      </c>
      <c r="C91" s="47">
        <f t="shared" si="14"/>
        <v>15000</v>
      </c>
      <c r="D91" s="48">
        <f t="shared" si="7"/>
        <v>10224.52</v>
      </c>
      <c r="E91" s="68">
        <f t="shared" si="11"/>
        <v>4775.4799999999996</v>
      </c>
      <c r="F91" s="47">
        <f t="shared" si="8"/>
        <v>573057.68000000005</v>
      </c>
      <c r="G91" s="47">
        <f t="shared" si="9"/>
        <v>562833.16</v>
      </c>
    </row>
    <row r="92" spans="1:7" x14ac:dyDescent="0.25">
      <c r="A92" s="70">
        <v>45782</v>
      </c>
      <c r="B92" s="46">
        <f t="shared" si="12"/>
        <v>30</v>
      </c>
      <c r="C92" s="47">
        <f t="shared" si="14"/>
        <v>15000</v>
      </c>
      <c r="D92" s="48">
        <f t="shared" si="7"/>
        <v>10309.720000000001</v>
      </c>
      <c r="E92" s="68">
        <f t="shared" si="11"/>
        <v>4690.28</v>
      </c>
      <c r="F92" s="47">
        <f t="shared" si="8"/>
        <v>562833.16</v>
      </c>
      <c r="G92" s="47">
        <f t="shared" si="9"/>
        <v>552523.44000000006</v>
      </c>
    </row>
    <row r="93" spans="1:7" x14ac:dyDescent="0.25">
      <c r="A93" s="70">
        <v>45813</v>
      </c>
      <c r="B93" s="84">
        <f t="shared" si="12"/>
        <v>30</v>
      </c>
      <c r="C93" s="90">
        <f>$J$2</f>
        <v>39339</v>
      </c>
      <c r="D93" s="91">
        <f t="shared" si="7"/>
        <v>34734.639999999999</v>
      </c>
      <c r="E93" s="90">
        <f t="shared" si="11"/>
        <v>4604.3599999999997</v>
      </c>
      <c r="F93" s="90">
        <f t="shared" si="8"/>
        <v>552523.44000000006</v>
      </c>
      <c r="G93" s="90">
        <f t="shared" si="9"/>
        <v>517788.80000000005</v>
      </c>
    </row>
    <row r="94" spans="1:7" x14ac:dyDescent="0.25">
      <c r="A94" s="70">
        <v>45843</v>
      </c>
      <c r="B94" s="46">
        <f t="shared" si="12"/>
        <v>30</v>
      </c>
      <c r="C94" s="68">
        <f>$J$2</f>
        <v>39339</v>
      </c>
      <c r="D94" s="48">
        <f t="shared" si="7"/>
        <v>35024.089999999997</v>
      </c>
      <c r="E94" s="68">
        <f t="shared" si="11"/>
        <v>4314.91</v>
      </c>
      <c r="F94" s="47">
        <f t="shared" si="8"/>
        <v>517788.80000000005</v>
      </c>
      <c r="G94" s="47">
        <f t="shared" si="9"/>
        <v>482764.71000000008</v>
      </c>
    </row>
    <row r="95" spans="1:7" x14ac:dyDescent="0.25">
      <c r="A95" s="70">
        <v>45874</v>
      </c>
      <c r="B95" s="46">
        <f t="shared" si="12"/>
        <v>30</v>
      </c>
      <c r="C95" s="68">
        <f t="shared" ref="C95:C107" si="15">$J$2</f>
        <v>39339</v>
      </c>
      <c r="D95" s="48">
        <f t="shared" si="7"/>
        <v>35315.96</v>
      </c>
      <c r="E95" s="68">
        <f t="shared" si="11"/>
        <v>4023.04</v>
      </c>
      <c r="F95" s="47">
        <f t="shared" si="8"/>
        <v>482764.71000000008</v>
      </c>
      <c r="G95" s="47">
        <f t="shared" si="9"/>
        <v>447448.75000000006</v>
      </c>
    </row>
    <row r="96" spans="1:7" x14ac:dyDescent="0.25">
      <c r="A96" s="70">
        <v>45905</v>
      </c>
      <c r="B96" s="46">
        <f t="shared" si="12"/>
        <v>30</v>
      </c>
      <c r="C96" s="68">
        <f t="shared" si="15"/>
        <v>39339</v>
      </c>
      <c r="D96" s="48">
        <f t="shared" si="7"/>
        <v>35610.26</v>
      </c>
      <c r="E96" s="68">
        <f t="shared" si="11"/>
        <v>3728.74</v>
      </c>
      <c r="F96" s="47">
        <f t="shared" si="8"/>
        <v>447448.75000000006</v>
      </c>
      <c r="G96" s="47">
        <f t="shared" si="9"/>
        <v>411838.49000000005</v>
      </c>
    </row>
    <row r="97" spans="1:7" x14ac:dyDescent="0.25">
      <c r="A97" s="70">
        <v>45935</v>
      </c>
      <c r="B97" s="46">
        <f t="shared" si="12"/>
        <v>30</v>
      </c>
      <c r="C97" s="68">
        <f t="shared" si="15"/>
        <v>39339</v>
      </c>
      <c r="D97" s="48">
        <f t="shared" si="7"/>
        <v>35907.01</v>
      </c>
      <c r="E97" s="68">
        <f t="shared" si="11"/>
        <v>3431.99</v>
      </c>
      <c r="F97" s="47">
        <f t="shared" si="8"/>
        <v>411838.49000000005</v>
      </c>
      <c r="G97" s="47">
        <f t="shared" si="9"/>
        <v>375931.48000000004</v>
      </c>
    </row>
    <row r="98" spans="1:7" x14ac:dyDescent="0.25">
      <c r="A98" s="70">
        <v>45966</v>
      </c>
      <c r="B98" s="46">
        <f t="shared" si="12"/>
        <v>30</v>
      </c>
      <c r="C98" s="68">
        <f t="shared" si="15"/>
        <v>39339</v>
      </c>
      <c r="D98" s="48">
        <f t="shared" si="7"/>
        <v>36206.239999999998</v>
      </c>
      <c r="E98" s="68">
        <f t="shared" si="11"/>
        <v>3132.76</v>
      </c>
      <c r="F98" s="47">
        <f t="shared" si="8"/>
        <v>375931.48000000004</v>
      </c>
      <c r="G98" s="47">
        <f t="shared" si="9"/>
        <v>339725.24000000005</v>
      </c>
    </row>
    <row r="99" spans="1:7" x14ac:dyDescent="0.25">
      <c r="A99" s="70">
        <v>45996</v>
      </c>
      <c r="B99" s="46">
        <f t="shared" si="12"/>
        <v>30</v>
      </c>
      <c r="C99" s="68">
        <f t="shared" si="15"/>
        <v>39339</v>
      </c>
      <c r="D99" s="48">
        <f t="shared" si="7"/>
        <v>36507.96</v>
      </c>
      <c r="E99" s="68">
        <f t="shared" si="11"/>
        <v>2831.04</v>
      </c>
      <c r="F99" s="47">
        <f t="shared" si="8"/>
        <v>339725.24000000005</v>
      </c>
      <c r="G99" s="47">
        <f t="shared" si="9"/>
        <v>303217.28000000003</v>
      </c>
    </row>
    <row r="100" spans="1:7" x14ac:dyDescent="0.25">
      <c r="A100" s="70">
        <v>46027</v>
      </c>
      <c r="B100" s="46">
        <f t="shared" si="12"/>
        <v>30</v>
      </c>
      <c r="C100" s="68">
        <f t="shared" si="15"/>
        <v>39339</v>
      </c>
      <c r="D100" s="48">
        <f t="shared" si="7"/>
        <v>36812.19</v>
      </c>
      <c r="E100" s="68">
        <f t="shared" si="11"/>
        <v>2526.81</v>
      </c>
      <c r="F100" s="47">
        <f t="shared" si="8"/>
        <v>303217.28000000003</v>
      </c>
      <c r="G100" s="47">
        <f t="shared" si="9"/>
        <v>266405.09000000003</v>
      </c>
    </row>
    <row r="101" spans="1:7" x14ac:dyDescent="0.25">
      <c r="A101" s="70">
        <v>46058</v>
      </c>
      <c r="B101" s="46">
        <f t="shared" si="12"/>
        <v>30</v>
      </c>
      <c r="C101" s="68">
        <f t="shared" si="15"/>
        <v>39339</v>
      </c>
      <c r="D101" s="48">
        <f t="shared" si="7"/>
        <v>37118.959999999999</v>
      </c>
      <c r="E101" s="68">
        <f t="shared" si="11"/>
        <v>2220.04</v>
      </c>
      <c r="F101" s="47">
        <f t="shared" si="8"/>
        <v>266405.09000000003</v>
      </c>
      <c r="G101" s="47">
        <f t="shared" si="9"/>
        <v>229286.13000000003</v>
      </c>
    </row>
    <row r="102" spans="1:7" x14ac:dyDescent="0.25">
      <c r="A102" s="70">
        <v>46086</v>
      </c>
      <c r="B102" s="46">
        <f t="shared" si="12"/>
        <v>30</v>
      </c>
      <c r="C102" s="68">
        <f t="shared" si="15"/>
        <v>39339</v>
      </c>
      <c r="D102" s="48">
        <f t="shared" si="7"/>
        <v>37428.28</v>
      </c>
      <c r="E102" s="68">
        <f t="shared" si="11"/>
        <v>1910.72</v>
      </c>
      <c r="F102" s="47">
        <f t="shared" si="8"/>
        <v>229286.13000000003</v>
      </c>
      <c r="G102" s="47">
        <f t="shared" si="9"/>
        <v>191857.85000000003</v>
      </c>
    </row>
    <row r="103" spans="1:7" x14ac:dyDescent="0.25">
      <c r="A103" s="70">
        <v>46117</v>
      </c>
      <c r="B103" s="46">
        <f t="shared" si="12"/>
        <v>30</v>
      </c>
      <c r="C103" s="68">
        <f t="shared" si="15"/>
        <v>39339</v>
      </c>
      <c r="D103" s="48">
        <f t="shared" si="7"/>
        <v>37740.18</v>
      </c>
      <c r="E103" s="68">
        <f t="shared" si="11"/>
        <v>1598.82</v>
      </c>
      <c r="F103" s="47">
        <f t="shared" si="8"/>
        <v>191857.85000000003</v>
      </c>
      <c r="G103" s="47">
        <f t="shared" si="9"/>
        <v>154117.67000000004</v>
      </c>
    </row>
    <row r="104" spans="1:7" x14ac:dyDescent="0.25">
      <c r="A104" s="70">
        <v>46147</v>
      </c>
      <c r="B104" s="46">
        <f t="shared" si="12"/>
        <v>30</v>
      </c>
      <c r="C104" s="68">
        <f t="shared" si="15"/>
        <v>39339</v>
      </c>
      <c r="D104" s="48">
        <f t="shared" si="7"/>
        <v>38054.69</v>
      </c>
      <c r="E104" s="68">
        <f t="shared" si="11"/>
        <v>1284.31</v>
      </c>
      <c r="F104" s="47">
        <f t="shared" si="8"/>
        <v>154117.67000000004</v>
      </c>
      <c r="G104" s="47">
        <f t="shared" si="9"/>
        <v>116062.98000000004</v>
      </c>
    </row>
    <row r="105" spans="1:7" x14ac:dyDescent="0.25">
      <c r="A105" s="70">
        <v>46178</v>
      </c>
      <c r="B105" s="46">
        <f t="shared" si="12"/>
        <v>30</v>
      </c>
      <c r="C105" s="68">
        <f t="shared" si="15"/>
        <v>39339</v>
      </c>
      <c r="D105" s="48">
        <f t="shared" si="7"/>
        <v>38371.81</v>
      </c>
      <c r="E105" s="68">
        <f t="shared" si="11"/>
        <v>967.19</v>
      </c>
      <c r="F105" s="47">
        <f t="shared" si="8"/>
        <v>116062.98000000004</v>
      </c>
      <c r="G105" s="47">
        <f t="shared" si="9"/>
        <v>77691.170000000042</v>
      </c>
    </row>
    <row r="106" spans="1:7" x14ac:dyDescent="0.25">
      <c r="A106" s="70">
        <v>46208</v>
      </c>
      <c r="B106" s="46">
        <f t="shared" si="12"/>
        <v>30</v>
      </c>
      <c r="C106" s="68">
        <f t="shared" si="15"/>
        <v>39339</v>
      </c>
      <c r="D106" s="48">
        <f t="shared" si="7"/>
        <v>38691.57</v>
      </c>
      <c r="E106" s="68">
        <f t="shared" si="11"/>
        <v>647.42999999999995</v>
      </c>
      <c r="F106" s="47">
        <f t="shared" si="8"/>
        <v>77691.170000000042</v>
      </c>
      <c r="G106" s="47">
        <f t="shared" si="9"/>
        <v>38999.600000000042</v>
      </c>
    </row>
    <row r="107" spans="1:7" x14ac:dyDescent="0.25">
      <c r="A107" s="70">
        <v>46239</v>
      </c>
      <c r="B107" s="46">
        <f t="shared" si="12"/>
        <v>30</v>
      </c>
      <c r="C107" s="68">
        <f t="shared" si="15"/>
        <v>39339</v>
      </c>
      <c r="D107" s="48">
        <f t="shared" si="7"/>
        <v>38999.600000000042</v>
      </c>
      <c r="E107" s="68">
        <v>339.3999999999578</v>
      </c>
      <c r="F107" s="47">
        <f t="shared" si="8"/>
        <v>38999.600000000042</v>
      </c>
      <c r="G107" s="47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AFFED6-584F-44A3-9432-7F952A0E15D9}">
  <dimension ref="A1:AA3"/>
  <sheetViews>
    <sheetView workbookViewId="0">
      <selection activeCell="B2" sqref="B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6" width="16.85546875" customWidth="1"/>
    <col min="27" max="27" width="69.1406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2" t="s">
        <v>0</v>
      </c>
      <c r="B2" s="7" t="s">
        <v>9</v>
      </c>
      <c r="C2" s="7" t="s">
        <v>76</v>
      </c>
      <c r="D2" s="8" t="s">
        <v>50</v>
      </c>
      <c r="E2" s="8" t="s">
        <v>191</v>
      </c>
      <c r="F2" s="8" t="s">
        <v>184</v>
      </c>
      <c r="G2" s="9" t="s">
        <v>50</v>
      </c>
      <c r="H2" s="9" t="s">
        <v>172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192</v>
      </c>
      <c r="P2" s="20" t="s">
        <v>21</v>
      </c>
      <c r="Q2" s="20" t="s">
        <v>84</v>
      </c>
      <c r="R2" s="20" t="s">
        <v>193</v>
      </c>
      <c r="S2" s="20" t="s">
        <v>45</v>
      </c>
      <c r="T2" s="20" t="s">
        <v>142</v>
      </c>
      <c r="U2" s="20" t="s">
        <v>194</v>
      </c>
      <c r="V2" s="20" t="s">
        <v>141</v>
      </c>
      <c r="W2" s="20" t="s">
        <v>180</v>
      </c>
      <c r="X2" s="20" t="s">
        <v>195</v>
      </c>
      <c r="Y2" s="20" t="s">
        <v>104</v>
      </c>
      <c r="Z2" s="20" t="s">
        <v>181</v>
      </c>
      <c r="AA2" s="50" t="s">
        <v>196</v>
      </c>
    </row>
    <row r="3" spans="1:27" x14ac:dyDescent="0.25">
      <c r="A3" s="72" t="s">
        <v>0</v>
      </c>
      <c r="B3" s="7" t="s">
        <v>9</v>
      </c>
      <c r="C3" s="7" t="s">
        <v>76</v>
      </c>
      <c r="D3" s="8" t="s">
        <v>50</v>
      </c>
      <c r="E3" s="8" t="s">
        <v>191</v>
      </c>
      <c r="F3" s="8" t="s">
        <v>184</v>
      </c>
      <c r="G3" s="9" t="s">
        <v>199</v>
      </c>
      <c r="H3" s="9" t="s">
        <v>172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198</v>
      </c>
      <c r="P3" s="20" t="s">
        <v>21</v>
      </c>
      <c r="Q3" s="20" t="s">
        <v>84</v>
      </c>
      <c r="R3" s="20" t="s">
        <v>200</v>
      </c>
      <c r="S3" s="20" t="s">
        <v>45</v>
      </c>
      <c r="T3" s="20" t="s">
        <v>142</v>
      </c>
      <c r="U3" s="20" t="s">
        <v>201</v>
      </c>
      <c r="V3" s="20" t="s">
        <v>141</v>
      </c>
      <c r="W3" s="20" t="s">
        <v>180</v>
      </c>
      <c r="X3" s="20" t="s">
        <v>202</v>
      </c>
      <c r="Y3" s="20" t="s">
        <v>104</v>
      </c>
      <c r="Z3" s="20" t="s">
        <v>181</v>
      </c>
      <c r="AA3" s="50" t="s">
        <v>197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267191-1236-48CC-A1FB-512303280177}">
  <dimension ref="A1:P106"/>
  <sheetViews>
    <sheetView topLeftCell="D1" zoomScale="80" zoomScaleNormal="80" workbookViewId="0">
      <pane ySplit="3" topLeftCell="A4" activePane="bottomLeft" state="frozen"/>
      <selection activeCell="A3" sqref="A3"/>
      <selection pane="bottomLeft" sqref="A1:P2"/>
    </sheetView>
  </sheetViews>
  <sheetFormatPr defaultColWidth="13.42578125"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8.7109375" bestFit="1" customWidth="1"/>
    <col min="6" max="6" width="17" bestFit="1" customWidth="1"/>
    <col min="7" max="7" width="18.7109375" bestFit="1" customWidth="1"/>
    <col min="8" max="8" width="16.7109375" bestFit="1" customWidth="1"/>
    <col min="9" max="9" width="17.42578125" bestFit="1" customWidth="1"/>
    <col min="10" max="10" width="9.28515625" bestFit="1" customWidth="1"/>
    <col min="11" max="11" width="18.7109375" bestFit="1" customWidth="1"/>
    <col min="12" max="12" width="10.85546875" bestFit="1" customWidth="1"/>
    <col min="13" max="13" width="17.42578125" bestFit="1" customWidth="1"/>
    <col min="14" max="14" width="6.5703125" bestFit="1" customWidth="1"/>
    <col min="15" max="15" width="15.85546875" bestFit="1" customWidth="1"/>
    <col min="16" max="16" width="6.5703125" bestFit="1" customWidth="1"/>
  </cols>
  <sheetData>
    <row r="1" spans="1:16" x14ac:dyDescent="0.25">
      <c r="A1" s="17" t="s">
        <v>33</v>
      </c>
      <c r="B1" s="22">
        <v>44592</v>
      </c>
      <c r="C1" s="17" t="s">
        <v>37</v>
      </c>
      <c r="D1" s="79">
        <f>ROUNDUP(23781.2678531342,0)</f>
        <v>23782</v>
      </c>
      <c r="E1" s="73" t="s">
        <v>147</v>
      </c>
      <c r="F1" s="74">
        <v>44773</v>
      </c>
      <c r="G1" s="73" t="s">
        <v>150</v>
      </c>
      <c r="H1" s="79">
        <f>ROUNDUP(21449.8531468448,0)</f>
        <v>21450</v>
      </c>
      <c r="I1" s="73" t="s">
        <v>175</v>
      </c>
      <c r="J1" s="87">
        <v>0.1</v>
      </c>
      <c r="K1" s="73" t="s">
        <v>148</v>
      </c>
      <c r="L1" s="74">
        <v>45077</v>
      </c>
      <c r="M1" s="73" t="s">
        <v>149</v>
      </c>
      <c r="N1" s="69">
        <f>ROUNDUP(20087.8411378017,0)</f>
        <v>20088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45443</v>
      </c>
      <c r="E2" s="73" t="s">
        <v>177</v>
      </c>
      <c r="F2" s="69">
        <v>15000</v>
      </c>
      <c r="G2" s="73" t="s">
        <v>173</v>
      </c>
      <c r="H2" s="74">
        <v>45808</v>
      </c>
      <c r="I2" s="73" t="s">
        <v>174</v>
      </c>
      <c r="J2" s="89">
        <f>ROUNDUP(56120.0439220358,0)</f>
        <v>56121</v>
      </c>
      <c r="K2" s="73" t="s">
        <v>178</v>
      </c>
      <c r="L2" s="88">
        <v>48</v>
      </c>
    </row>
    <row r="3" spans="1:16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6" x14ac:dyDescent="0.25">
      <c r="A4" s="54">
        <v>44620</v>
      </c>
      <c r="B4" s="46">
        <f>A4-B1</f>
        <v>28</v>
      </c>
      <c r="C4" s="47">
        <f>$D$1</f>
        <v>23782</v>
      </c>
      <c r="D4" s="48">
        <f t="shared" ref="D4:D63" si="0">C4-E4</f>
        <v>12275.15</v>
      </c>
      <c r="E4" s="68">
        <f t="shared" ref="E4:E62" si="1">ROUND(F4*$B$2*B4/365,2)</f>
        <v>11506.85</v>
      </c>
      <c r="F4" s="47">
        <v>1000000</v>
      </c>
      <c r="G4" s="47">
        <f t="shared" ref="G4:G67" si="2">F4-D4</f>
        <v>987724.85</v>
      </c>
    </row>
    <row r="5" spans="1:16" x14ac:dyDescent="0.25">
      <c r="A5" s="54">
        <v>44651</v>
      </c>
      <c r="B5" s="46">
        <f>A5-A4</f>
        <v>31</v>
      </c>
      <c r="C5" s="47">
        <f t="shared" ref="C5:C64" si="3">$D$1</f>
        <v>23782</v>
      </c>
      <c r="D5" s="48">
        <f t="shared" si="0"/>
        <v>11198.66</v>
      </c>
      <c r="E5" s="68">
        <f t="shared" si="1"/>
        <v>12583.34</v>
      </c>
      <c r="F5" s="47">
        <f>G4</f>
        <v>987724.85</v>
      </c>
      <c r="G5" s="47">
        <f t="shared" si="2"/>
        <v>976526.19</v>
      </c>
    </row>
    <row r="6" spans="1:16" x14ac:dyDescent="0.25">
      <c r="A6" s="54">
        <v>44681</v>
      </c>
      <c r="B6" s="46">
        <f t="shared" ref="B6:B69" si="4">A6-A5</f>
        <v>30</v>
      </c>
      <c r="C6" s="47">
        <f t="shared" si="3"/>
        <v>23782</v>
      </c>
      <c r="D6" s="48">
        <f t="shared" si="0"/>
        <v>11742.64</v>
      </c>
      <c r="E6" s="68">
        <f t="shared" si="1"/>
        <v>12039.36</v>
      </c>
      <c r="F6" s="47">
        <f t="shared" ref="F6:F69" si="5">G5</f>
        <v>976526.19</v>
      </c>
      <c r="G6" s="47">
        <f t="shared" si="2"/>
        <v>964783.54999999993</v>
      </c>
    </row>
    <row r="7" spans="1:16" x14ac:dyDescent="0.25">
      <c r="A7" s="54">
        <v>44712</v>
      </c>
      <c r="B7" s="46">
        <f t="shared" si="4"/>
        <v>31</v>
      </c>
      <c r="C7" s="47">
        <f t="shared" si="3"/>
        <v>23782</v>
      </c>
      <c r="D7" s="48">
        <f t="shared" si="0"/>
        <v>11490.92</v>
      </c>
      <c r="E7" s="68">
        <f t="shared" si="1"/>
        <v>12291.08</v>
      </c>
      <c r="F7" s="47">
        <f t="shared" si="5"/>
        <v>964783.54999999993</v>
      </c>
      <c r="G7" s="47">
        <f t="shared" si="2"/>
        <v>953292.62999999989</v>
      </c>
    </row>
    <row r="8" spans="1:16" x14ac:dyDescent="0.25">
      <c r="A8" s="54">
        <v>44742</v>
      </c>
      <c r="B8" s="46">
        <f t="shared" si="4"/>
        <v>30</v>
      </c>
      <c r="C8" s="47">
        <f t="shared" si="3"/>
        <v>23782</v>
      </c>
      <c r="D8" s="48">
        <f t="shared" si="0"/>
        <v>12029.08</v>
      </c>
      <c r="E8" s="68">
        <f t="shared" si="1"/>
        <v>11752.92</v>
      </c>
      <c r="F8" s="47">
        <f t="shared" si="5"/>
        <v>953292.62999999989</v>
      </c>
      <c r="G8" s="47">
        <f t="shared" si="2"/>
        <v>941263.54999999993</v>
      </c>
    </row>
    <row r="9" spans="1:16" x14ac:dyDescent="0.25">
      <c r="A9" s="54">
        <v>44773</v>
      </c>
      <c r="B9" s="46">
        <f t="shared" si="4"/>
        <v>31</v>
      </c>
      <c r="C9" s="47">
        <f t="shared" si="3"/>
        <v>23782</v>
      </c>
      <c r="D9" s="48">
        <f t="shared" si="0"/>
        <v>11790.56</v>
      </c>
      <c r="E9" s="68">
        <f t="shared" si="1"/>
        <v>11991.44</v>
      </c>
      <c r="F9" s="47">
        <f t="shared" si="5"/>
        <v>941263.54999999993</v>
      </c>
      <c r="G9" s="47">
        <f t="shared" si="2"/>
        <v>929472.98999999987</v>
      </c>
    </row>
    <row r="10" spans="1:16" x14ac:dyDescent="0.25">
      <c r="A10" s="54">
        <v>44804</v>
      </c>
      <c r="B10" s="46">
        <f t="shared" si="4"/>
        <v>31</v>
      </c>
      <c r="C10" s="47">
        <f t="shared" si="3"/>
        <v>23782</v>
      </c>
      <c r="D10" s="48">
        <f t="shared" si="0"/>
        <v>11940.77</v>
      </c>
      <c r="E10" s="68">
        <f t="shared" si="1"/>
        <v>11841.23</v>
      </c>
      <c r="F10" s="47">
        <f t="shared" si="5"/>
        <v>929472.98999999987</v>
      </c>
      <c r="G10" s="47">
        <f t="shared" si="2"/>
        <v>917532.21999999986</v>
      </c>
    </row>
    <row r="11" spans="1:16" x14ac:dyDescent="0.25">
      <c r="A11" s="54">
        <v>44834</v>
      </c>
      <c r="B11" s="46">
        <f t="shared" si="4"/>
        <v>30</v>
      </c>
      <c r="C11" s="47">
        <f t="shared" si="3"/>
        <v>23782</v>
      </c>
      <c r="D11" s="48">
        <f t="shared" si="0"/>
        <v>12469.96</v>
      </c>
      <c r="E11" s="68">
        <f t="shared" si="1"/>
        <v>11312.04</v>
      </c>
      <c r="F11" s="47">
        <f t="shared" si="5"/>
        <v>917532.21999999986</v>
      </c>
      <c r="G11" s="47">
        <f t="shared" si="2"/>
        <v>905062.25999999989</v>
      </c>
    </row>
    <row r="12" spans="1:16" x14ac:dyDescent="0.25">
      <c r="A12" s="54">
        <v>44865</v>
      </c>
      <c r="B12" s="46">
        <f t="shared" si="4"/>
        <v>31</v>
      </c>
      <c r="C12" s="47">
        <f t="shared" si="3"/>
        <v>23782</v>
      </c>
      <c r="D12" s="48">
        <f t="shared" si="0"/>
        <v>12251.75</v>
      </c>
      <c r="E12" s="68">
        <f t="shared" si="1"/>
        <v>11530.25</v>
      </c>
      <c r="F12" s="47">
        <f t="shared" si="5"/>
        <v>905062.25999999989</v>
      </c>
      <c r="G12" s="47">
        <f t="shared" si="2"/>
        <v>892810.50999999989</v>
      </c>
    </row>
    <row r="13" spans="1:16" x14ac:dyDescent="0.25">
      <c r="A13" s="54">
        <v>44895</v>
      </c>
      <c r="B13" s="46">
        <f t="shared" si="4"/>
        <v>30</v>
      </c>
      <c r="C13" s="47">
        <f t="shared" si="3"/>
        <v>23782</v>
      </c>
      <c r="D13" s="48">
        <f t="shared" si="0"/>
        <v>12774.75</v>
      </c>
      <c r="E13" s="68">
        <f t="shared" si="1"/>
        <v>11007.25</v>
      </c>
      <c r="F13" s="47">
        <f t="shared" si="5"/>
        <v>892810.50999999989</v>
      </c>
      <c r="G13" s="47">
        <f t="shared" si="2"/>
        <v>880035.75999999989</v>
      </c>
    </row>
    <row r="14" spans="1:16" x14ac:dyDescent="0.25">
      <c r="A14" s="54">
        <v>44926</v>
      </c>
      <c r="B14" s="46">
        <f t="shared" si="4"/>
        <v>31</v>
      </c>
      <c r="C14" s="47">
        <f t="shared" si="3"/>
        <v>23782</v>
      </c>
      <c r="D14" s="48">
        <f t="shared" si="0"/>
        <v>12570.59</v>
      </c>
      <c r="E14" s="68">
        <f t="shared" si="1"/>
        <v>11211.41</v>
      </c>
      <c r="F14" s="47">
        <f t="shared" si="5"/>
        <v>880035.75999999989</v>
      </c>
      <c r="G14" s="47">
        <f t="shared" si="2"/>
        <v>867465.16999999993</v>
      </c>
    </row>
    <row r="15" spans="1:16" x14ac:dyDescent="0.25">
      <c r="A15" s="54">
        <v>44957</v>
      </c>
      <c r="B15" s="46">
        <f t="shared" si="4"/>
        <v>31</v>
      </c>
      <c r="C15" s="47">
        <f t="shared" si="3"/>
        <v>23782</v>
      </c>
      <c r="D15" s="48">
        <f t="shared" si="0"/>
        <v>12730.73</v>
      </c>
      <c r="E15" s="68">
        <f t="shared" si="1"/>
        <v>11051.27</v>
      </c>
      <c r="F15" s="47">
        <f t="shared" si="5"/>
        <v>867465.16999999993</v>
      </c>
      <c r="G15" s="47">
        <f t="shared" si="2"/>
        <v>854734.44</v>
      </c>
    </row>
    <row r="16" spans="1:16" x14ac:dyDescent="0.25">
      <c r="A16" s="54">
        <v>44985</v>
      </c>
      <c r="B16" s="46">
        <f t="shared" si="4"/>
        <v>28</v>
      </c>
      <c r="C16" s="47">
        <f t="shared" si="3"/>
        <v>23782</v>
      </c>
      <c r="D16" s="48">
        <f t="shared" si="0"/>
        <v>13946.7</v>
      </c>
      <c r="E16" s="68">
        <f t="shared" si="1"/>
        <v>9835.2999999999993</v>
      </c>
      <c r="F16" s="47">
        <f t="shared" si="5"/>
        <v>854734.44</v>
      </c>
      <c r="G16" s="47">
        <f t="shared" si="2"/>
        <v>840787.74</v>
      </c>
    </row>
    <row r="17" spans="1:7" x14ac:dyDescent="0.25">
      <c r="A17" s="54">
        <v>45016</v>
      </c>
      <c r="B17" s="46">
        <f t="shared" si="4"/>
        <v>31</v>
      </c>
      <c r="C17" s="47">
        <f t="shared" si="3"/>
        <v>23782</v>
      </c>
      <c r="D17" s="48">
        <f t="shared" si="0"/>
        <v>13070.59</v>
      </c>
      <c r="E17" s="68">
        <f t="shared" si="1"/>
        <v>10711.41</v>
      </c>
      <c r="F17" s="47">
        <f t="shared" si="5"/>
        <v>840787.74</v>
      </c>
      <c r="G17" s="47">
        <f t="shared" si="2"/>
        <v>827717.15</v>
      </c>
    </row>
    <row r="18" spans="1:7" x14ac:dyDescent="0.25">
      <c r="A18" s="54">
        <v>45046</v>
      </c>
      <c r="B18" s="46">
        <f t="shared" si="4"/>
        <v>30</v>
      </c>
      <c r="C18" s="47">
        <f t="shared" si="3"/>
        <v>23782</v>
      </c>
      <c r="D18" s="48">
        <f t="shared" si="0"/>
        <v>13577.27</v>
      </c>
      <c r="E18" s="68">
        <f t="shared" si="1"/>
        <v>10204.73</v>
      </c>
      <c r="F18" s="47">
        <f t="shared" si="5"/>
        <v>827717.15</v>
      </c>
      <c r="G18" s="47">
        <f t="shared" si="2"/>
        <v>814139.88</v>
      </c>
    </row>
    <row r="19" spans="1:7" x14ac:dyDescent="0.25">
      <c r="A19" s="54">
        <v>45077</v>
      </c>
      <c r="B19" s="46">
        <f t="shared" si="4"/>
        <v>31</v>
      </c>
      <c r="C19" s="47">
        <f t="shared" si="3"/>
        <v>23782</v>
      </c>
      <c r="D19" s="48">
        <f t="shared" si="0"/>
        <v>13410.08</v>
      </c>
      <c r="E19" s="68">
        <f t="shared" si="1"/>
        <v>10371.92</v>
      </c>
      <c r="F19" s="47">
        <f t="shared" si="5"/>
        <v>814139.88</v>
      </c>
      <c r="G19" s="47">
        <f t="shared" si="2"/>
        <v>800729.8</v>
      </c>
    </row>
    <row r="20" spans="1:7" x14ac:dyDescent="0.25">
      <c r="A20" s="54">
        <v>45107</v>
      </c>
      <c r="B20" s="46">
        <f t="shared" si="4"/>
        <v>30</v>
      </c>
      <c r="C20" s="47">
        <f t="shared" si="3"/>
        <v>23782</v>
      </c>
      <c r="D20" s="48">
        <f t="shared" si="0"/>
        <v>13909.99</v>
      </c>
      <c r="E20" s="68">
        <f t="shared" si="1"/>
        <v>9872.01</v>
      </c>
      <c r="F20" s="47">
        <f t="shared" si="5"/>
        <v>800729.8</v>
      </c>
      <c r="G20" s="47">
        <f t="shared" si="2"/>
        <v>786819.81</v>
      </c>
    </row>
    <row r="21" spans="1:7" x14ac:dyDescent="0.25">
      <c r="A21" s="54">
        <v>45138</v>
      </c>
      <c r="B21" s="46">
        <f t="shared" si="4"/>
        <v>31</v>
      </c>
      <c r="C21" s="47">
        <f t="shared" si="3"/>
        <v>23782</v>
      </c>
      <c r="D21" s="48">
        <f t="shared" si="0"/>
        <v>13758.13</v>
      </c>
      <c r="E21" s="68">
        <f t="shared" si="1"/>
        <v>10023.870000000001</v>
      </c>
      <c r="F21" s="47">
        <f t="shared" si="5"/>
        <v>786819.81</v>
      </c>
      <c r="G21" s="47">
        <f t="shared" si="2"/>
        <v>773061.68</v>
      </c>
    </row>
    <row r="22" spans="1:7" x14ac:dyDescent="0.25">
      <c r="A22" s="54">
        <v>45169</v>
      </c>
      <c r="B22" s="46">
        <f t="shared" si="4"/>
        <v>31</v>
      </c>
      <c r="C22" s="47">
        <f t="shared" si="3"/>
        <v>23782</v>
      </c>
      <c r="D22" s="48">
        <f t="shared" si="0"/>
        <v>13933.41</v>
      </c>
      <c r="E22" s="68">
        <f t="shared" si="1"/>
        <v>9848.59</v>
      </c>
      <c r="F22" s="47">
        <f t="shared" si="5"/>
        <v>773061.68</v>
      </c>
      <c r="G22" s="47">
        <f t="shared" si="2"/>
        <v>759128.27</v>
      </c>
    </row>
    <row r="23" spans="1:7" x14ac:dyDescent="0.25">
      <c r="A23" s="54">
        <v>45199</v>
      </c>
      <c r="B23" s="46">
        <f t="shared" si="4"/>
        <v>30</v>
      </c>
      <c r="C23" s="47">
        <f t="shared" si="3"/>
        <v>23782</v>
      </c>
      <c r="D23" s="48">
        <f t="shared" si="0"/>
        <v>14422.88</v>
      </c>
      <c r="E23" s="68">
        <f t="shared" si="1"/>
        <v>9359.1200000000008</v>
      </c>
      <c r="F23" s="47">
        <f t="shared" si="5"/>
        <v>759128.27</v>
      </c>
      <c r="G23" s="47">
        <f t="shared" si="2"/>
        <v>744705.39</v>
      </c>
    </row>
    <row r="24" spans="1:7" x14ac:dyDescent="0.25">
      <c r="A24" s="54">
        <v>45230</v>
      </c>
      <c r="B24" s="46">
        <f t="shared" si="4"/>
        <v>31</v>
      </c>
      <c r="C24" s="47">
        <f t="shared" si="3"/>
        <v>23782</v>
      </c>
      <c r="D24" s="48">
        <f t="shared" si="0"/>
        <v>14294.66</v>
      </c>
      <c r="E24" s="68">
        <f t="shared" si="1"/>
        <v>9487.34</v>
      </c>
      <c r="F24" s="47">
        <f t="shared" si="5"/>
        <v>744705.39</v>
      </c>
      <c r="G24" s="47">
        <f t="shared" si="2"/>
        <v>730410.73</v>
      </c>
    </row>
    <row r="25" spans="1:7" x14ac:dyDescent="0.25">
      <c r="A25" s="54">
        <v>45260</v>
      </c>
      <c r="B25" s="46">
        <f t="shared" si="4"/>
        <v>30</v>
      </c>
      <c r="C25" s="47">
        <f t="shared" si="3"/>
        <v>23782</v>
      </c>
      <c r="D25" s="48">
        <f t="shared" si="0"/>
        <v>14776.94</v>
      </c>
      <c r="E25" s="68">
        <f t="shared" si="1"/>
        <v>9005.06</v>
      </c>
      <c r="F25" s="47">
        <f t="shared" si="5"/>
        <v>730410.73</v>
      </c>
      <c r="G25" s="47">
        <f t="shared" si="2"/>
        <v>715633.79</v>
      </c>
    </row>
    <row r="26" spans="1:7" x14ac:dyDescent="0.25">
      <c r="A26" s="54">
        <v>45291</v>
      </c>
      <c r="B26" s="46">
        <f t="shared" si="4"/>
        <v>31</v>
      </c>
      <c r="C26" s="47">
        <f t="shared" si="3"/>
        <v>23782</v>
      </c>
      <c r="D26" s="48">
        <f t="shared" si="0"/>
        <v>14665.02</v>
      </c>
      <c r="E26" s="68">
        <f t="shared" si="1"/>
        <v>9116.98</v>
      </c>
      <c r="F26" s="47">
        <f t="shared" si="5"/>
        <v>715633.79</v>
      </c>
      <c r="G26" s="47">
        <f t="shared" si="2"/>
        <v>700968.77</v>
      </c>
    </row>
    <row r="27" spans="1:7" x14ac:dyDescent="0.25">
      <c r="A27" s="54">
        <v>45322</v>
      </c>
      <c r="B27" s="46">
        <f t="shared" si="4"/>
        <v>31</v>
      </c>
      <c r="C27" s="47">
        <f t="shared" si="3"/>
        <v>23782</v>
      </c>
      <c r="D27" s="48">
        <f t="shared" si="0"/>
        <v>14851.85</v>
      </c>
      <c r="E27" s="68">
        <f t="shared" si="1"/>
        <v>8930.15</v>
      </c>
      <c r="F27" s="47">
        <f t="shared" si="5"/>
        <v>700968.77</v>
      </c>
      <c r="G27" s="47">
        <f t="shared" si="2"/>
        <v>686116.92</v>
      </c>
    </row>
    <row r="28" spans="1:7" x14ac:dyDescent="0.25">
      <c r="A28" s="54">
        <v>45351</v>
      </c>
      <c r="B28" s="46">
        <f t="shared" si="4"/>
        <v>29</v>
      </c>
      <c r="C28" s="47">
        <f t="shared" si="3"/>
        <v>23782</v>
      </c>
      <c r="D28" s="48">
        <f t="shared" si="0"/>
        <v>15604.99</v>
      </c>
      <c r="E28" s="68">
        <f t="shared" si="1"/>
        <v>8177.01</v>
      </c>
      <c r="F28" s="47">
        <f t="shared" si="5"/>
        <v>686116.92</v>
      </c>
      <c r="G28" s="47">
        <f t="shared" si="2"/>
        <v>670511.93000000005</v>
      </c>
    </row>
    <row r="29" spans="1:7" x14ac:dyDescent="0.25">
      <c r="A29" s="54">
        <v>45382</v>
      </c>
      <c r="B29" s="46">
        <f t="shared" si="4"/>
        <v>31</v>
      </c>
      <c r="C29" s="47">
        <f t="shared" si="3"/>
        <v>23782</v>
      </c>
      <c r="D29" s="48">
        <f t="shared" si="0"/>
        <v>15239.86</v>
      </c>
      <c r="E29" s="68">
        <f t="shared" si="1"/>
        <v>8542.14</v>
      </c>
      <c r="F29" s="47">
        <f t="shared" si="5"/>
        <v>670511.93000000005</v>
      </c>
      <c r="G29" s="47">
        <f t="shared" si="2"/>
        <v>655272.07000000007</v>
      </c>
    </row>
    <row r="30" spans="1:7" x14ac:dyDescent="0.25">
      <c r="A30" s="54">
        <v>45412</v>
      </c>
      <c r="B30" s="46">
        <f t="shared" si="4"/>
        <v>30</v>
      </c>
      <c r="C30" s="47">
        <f t="shared" si="3"/>
        <v>23782</v>
      </c>
      <c r="D30" s="48">
        <f t="shared" si="0"/>
        <v>15703.3</v>
      </c>
      <c r="E30" s="68">
        <f t="shared" si="1"/>
        <v>8078.7</v>
      </c>
      <c r="F30" s="47">
        <f t="shared" si="5"/>
        <v>655272.07000000007</v>
      </c>
      <c r="G30" s="47">
        <f t="shared" si="2"/>
        <v>639568.77</v>
      </c>
    </row>
    <row r="31" spans="1:7" x14ac:dyDescent="0.25">
      <c r="A31" s="54">
        <v>45443</v>
      </c>
      <c r="B31" s="46">
        <f t="shared" si="4"/>
        <v>31</v>
      </c>
      <c r="C31" s="47">
        <f t="shared" si="3"/>
        <v>23782</v>
      </c>
      <c r="D31" s="48">
        <f t="shared" si="0"/>
        <v>15634.07</v>
      </c>
      <c r="E31" s="68">
        <f t="shared" si="1"/>
        <v>8147.93</v>
      </c>
      <c r="F31" s="47">
        <f t="shared" si="5"/>
        <v>639568.77</v>
      </c>
      <c r="G31" s="47">
        <f t="shared" si="2"/>
        <v>623934.70000000007</v>
      </c>
    </row>
    <row r="32" spans="1:7" x14ac:dyDescent="0.25">
      <c r="A32" s="54">
        <v>45473</v>
      </c>
      <c r="B32" s="46">
        <f t="shared" si="4"/>
        <v>30</v>
      </c>
      <c r="C32" s="47">
        <f t="shared" si="3"/>
        <v>23782</v>
      </c>
      <c r="D32" s="48">
        <f t="shared" si="0"/>
        <v>16089.65</v>
      </c>
      <c r="E32" s="68">
        <f t="shared" si="1"/>
        <v>7692.35</v>
      </c>
      <c r="F32" s="47">
        <f t="shared" si="5"/>
        <v>623934.70000000007</v>
      </c>
      <c r="G32" s="47">
        <f t="shared" si="2"/>
        <v>607845.05000000005</v>
      </c>
    </row>
    <row r="33" spans="1:7" x14ac:dyDescent="0.25">
      <c r="A33" s="54">
        <v>45504</v>
      </c>
      <c r="B33" s="46">
        <f t="shared" si="4"/>
        <v>31</v>
      </c>
      <c r="C33" s="47">
        <f t="shared" si="3"/>
        <v>23782</v>
      </c>
      <c r="D33" s="48">
        <f t="shared" si="0"/>
        <v>16038.220000000001</v>
      </c>
      <c r="E33" s="68">
        <f t="shared" si="1"/>
        <v>7743.78</v>
      </c>
      <c r="F33" s="47">
        <f t="shared" si="5"/>
        <v>607845.05000000005</v>
      </c>
      <c r="G33" s="47">
        <f t="shared" si="2"/>
        <v>591806.83000000007</v>
      </c>
    </row>
    <row r="34" spans="1:7" x14ac:dyDescent="0.25">
      <c r="A34" s="54">
        <v>45535</v>
      </c>
      <c r="B34" s="46">
        <f t="shared" si="4"/>
        <v>31</v>
      </c>
      <c r="C34" s="47">
        <f t="shared" si="3"/>
        <v>23782</v>
      </c>
      <c r="D34" s="48">
        <f t="shared" si="0"/>
        <v>16242.54</v>
      </c>
      <c r="E34" s="68">
        <f t="shared" si="1"/>
        <v>7539.46</v>
      </c>
      <c r="F34" s="47">
        <f t="shared" si="5"/>
        <v>591806.83000000007</v>
      </c>
      <c r="G34" s="47">
        <f t="shared" si="2"/>
        <v>575564.29</v>
      </c>
    </row>
    <row r="35" spans="1:7" x14ac:dyDescent="0.25">
      <c r="A35" s="54">
        <v>45565</v>
      </c>
      <c r="B35" s="46">
        <f t="shared" si="4"/>
        <v>30</v>
      </c>
      <c r="C35" s="47">
        <f t="shared" si="3"/>
        <v>23782</v>
      </c>
      <c r="D35" s="48">
        <f t="shared" si="0"/>
        <v>16686</v>
      </c>
      <c r="E35" s="68">
        <f t="shared" si="1"/>
        <v>7096</v>
      </c>
      <c r="F35" s="47">
        <f t="shared" si="5"/>
        <v>575564.29</v>
      </c>
      <c r="G35" s="47">
        <f t="shared" si="2"/>
        <v>558878.29</v>
      </c>
    </row>
    <row r="36" spans="1:7" x14ac:dyDescent="0.25">
      <c r="A36" s="54">
        <v>45596</v>
      </c>
      <c r="B36" s="46">
        <f t="shared" si="4"/>
        <v>31</v>
      </c>
      <c r="C36" s="47">
        <f t="shared" si="3"/>
        <v>23782</v>
      </c>
      <c r="D36" s="48">
        <f t="shared" si="0"/>
        <v>16662.04</v>
      </c>
      <c r="E36" s="68">
        <f t="shared" si="1"/>
        <v>7119.96</v>
      </c>
      <c r="F36" s="47">
        <f t="shared" si="5"/>
        <v>558878.29</v>
      </c>
      <c r="G36" s="47">
        <f t="shared" si="2"/>
        <v>542216.25</v>
      </c>
    </row>
    <row r="37" spans="1:7" x14ac:dyDescent="0.25">
      <c r="A37" s="54">
        <v>45626</v>
      </c>
      <c r="B37" s="46">
        <f t="shared" si="4"/>
        <v>30</v>
      </c>
      <c r="C37" s="47">
        <f t="shared" si="3"/>
        <v>23782</v>
      </c>
      <c r="D37" s="48">
        <f t="shared" si="0"/>
        <v>17097.14</v>
      </c>
      <c r="E37" s="68">
        <f t="shared" si="1"/>
        <v>6684.86</v>
      </c>
      <c r="F37" s="47">
        <f t="shared" si="5"/>
        <v>542216.25</v>
      </c>
      <c r="G37" s="47">
        <f t="shared" si="2"/>
        <v>525119.11</v>
      </c>
    </row>
    <row r="38" spans="1:7" x14ac:dyDescent="0.25">
      <c r="A38" s="54">
        <v>45657</v>
      </c>
      <c r="B38" s="46">
        <f t="shared" si="4"/>
        <v>31</v>
      </c>
      <c r="C38" s="47">
        <f t="shared" si="3"/>
        <v>23782</v>
      </c>
      <c r="D38" s="48">
        <f t="shared" si="0"/>
        <v>17092.13</v>
      </c>
      <c r="E38" s="68">
        <f t="shared" si="1"/>
        <v>6689.87</v>
      </c>
      <c r="F38" s="47">
        <f t="shared" si="5"/>
        <v>525119.11</v>
      </c>
      <c r="G38" s="47">
        <f t="shared" si="2"/>
        <v>508026.98</v>
      </c>
    </row>
    <row r="39" spans="1:7" x14ac:dyDescent="0.25">
      <c r="A39" s="54">
        <v>45688</v>
      </c>
      <c r="B39" s="46">
        <f t="shared" si="4"/>
        <v>31</v>
      </c>
      <c r="C39" s="47">
        <f t="shared" si="3"/>
        <v>23782</v>
      </c>
      <c r="D39" s="48">
        <f t="shared" si="0"/>
        <v>17309.88</v>
      </c>
      <c r="E39" s="68">
        <f t="shared" si="1"/>
        <v>6472.12</v>
      </c>
      <c r="F39" s="47">
        <f t="shared" si="5"/>
        <v>508026.98</v>
      </c>
      <c r="G39" s="47">
        <f t="shared" si="2"/>
        <v>490717.1</v>
      </c>
    </row>
    <row r="40" spans="1:7" x14ac:dyDescent="0.25">
      <c r="A40" s="54">
        <v>45716</v>
      </c>
      <c r="B40" s="46">
        <f t="shared" si="4"/>
        <v>28</v>
      </c>
      <c r="C40" s="47">
        <f t="shared" si="3"/>
        <v>23782</v>
      </c>
      <c r="D40" s="48">
        <f t="shared" si="0"/>
        <v>18135.39</v>
      </c>
      <c r="E40" s="68">
        <f t="shared" si="1"/>
        <v>5646.61</v>
      </c>
      <c r="F40" s="47">
        <f t="shared" si="5"/>
        <v>490717.1</v>
      </c>
      <c r="G40" s="47">
        <f t="shared" si="2"/>
        <v>472581.70999999996</v>
      </c>
    </row>
    <row r="41" spans="1:7" x14ac:dyDescent="0.25">
      <c r="A41" s="54">
        <v>45747</v>
      </c>
      <c r="B41" s="46">
        <f t="shared" si="4"/>
        <v>31</v>
      </c>
      <c r="C41" s="47">
        <f t="shared" si="3"/>
        <v>23782</v>
      </c>
      <c r="D41" s="48">
        <f t="shared" si="0"/>
        <v>17761.439999999999</v>
      </c>
      <c r="E41" s="68">
        <f t="shared" si="1"/>
        <v>6020.56</v>
      </c>
      <c r="F41" s="47">
        <f t="shared" si="5"/>
        <v>472581.70999999996</v>
      </c>
      <c r="G41" s="47">
        <f t="shared" si="2"/>
        <v>454820.26999999996</v>
      </c>
    </row>
    <row r="42" spans="1:7" x14ac:dyDescent="0.25">
      <c r="A42" s="54">
        <v>45777</v>
      </c>
      <c r="B42" s="46">
        <f t="shared" si="4"/>
        <v>30</v>
      </c>
      <c r="C42" s="47">
        <f t="shared" si="3"/>
        <v>23782</v>
      </c>
      <c r="D42" s="48">
        <f t="shared" si="0"/>
        <v>18174.63</v>
      </c>
      <c r="E42" s="68">
        <f t="shared" si="1"/>
        <v>5607.37</v>
      </c>
      <c r="F42" s="47">
        <f t="shared" si="5"/>
        <v>454820.26999999996</v>
      </c>
      <c r="G42" s="47">
        <f t="shared" si="2"/>
        <v>436645.63999999996</v>
      </c>
    </row>
    <row r="43" spans="1:7" x14ac:dyDescent="0.25">
      <c r="A43" s="54">
        <v>45808</v>
      </c>
      <c r="B43" s="46">
        <f t="shared" si="4"/>
        <v>31</v>
      </c>
      <c r="C43" s="47">
        <f t="shared" si="3"/>
        <v>23782</v>
      </c>
      <c r="D43" s="48">
        <f t="shared" si="0"/>
        <v>18219.25</v>
      </c>
      <c r="E43" s="68">
        <f t="shared" si="1"/>
        <v>5562.75</v>
      </c>
      <c r="F43" s="47">
        <f t="shared" si="5"/>
        <v>436645.63999999996</v>
      </c>
      <c r="G43" s="47">
        <f t="shared" si="2"/>
        <v>418426.38999999996</v>
      </c>
    </row>
    <row r="44" spans="1:7" x14ac:dyDescent="0.25">
      <c r="A44" s="54">
        <v>45838</v>
      </c>
      <c r="B44" s="46">
        <f t="shared" si="4"/>
        <v>30</v>
      </c>
      <c r="C44" s="47">
        <f t="shared" si="3"/>
        <v>23782</v>
      </c>
      <c r="D44" s="48">
        <f t="shared" si="0"/>
        <v>18623.32</v>
      </c>
      <c r="E44" s="68">
        <f t="shared" si="1"/>
        <v>5158.68</v>
      </c>
      <c r="F44" s="47">
        <f t="shared" si="5"/>
        <v>418426.38999999996</v>
      </c>
      <c r="G44" s="47">
        <f t="shared" si="2"/>
        <v>399803.06999999995</v>
      </c>
    </row>
    <row r="45" spans="1:7" x14ac:dyDescent="0.25">
      <c r="A45" s="54">
        <v>45869</v>
      </c>
      <c r="B45" s="46">
        <f t="shared" si="4"/>
        <v>31</v>
      </c>
      <c r="C45" s="47">
        <f t="shared" si="3"/>
        <v>23782</v>
      </c>
      <c r="D45" s="48">
        <f t="shared" si="0"/>
        <v>18688.62</v>
      </c>
      <c r="E45" s="68">
        <f t="shared" si="1"/>
        <v>5093.38</v>
      </c>
      <c r="F45" s="47">
        <f t="shared" si="5"/>
        <v>399803.06999999995</v>
      </c>
      <c r="G45" s="47">
        <f t="shared" si="2"/>
        <v>381114.44999999995</v>
      </c>
    </row>
    <row r="46" spans="1:7" x14ac:dyDescent="0.25">
      <c r="A46" s="54">
        <v>45900</v>
      </c>
      <c r="B46" s="46">
        <f t="shared" si="4"/>
        <v>31</v>
      </c>
      <c r="C46" s="47">
        <f t="shared" si="3"/>
        <v>23782</v>
      </c>
      <c r="D46" s="48">
        <f t="shared" si="0"/>
        <v>18926.71</v>
      </c>
      <c r="E46" s="68">
        <f t="shared" si="1"/>
        <v>4855.29</v>
      </c>
      <c r="F46" s="47">
        <f t="shared" si="5"/>
        <v>381114.44999999995</v>
      </c>
      <c r="G46" s="47">
        <f t="shared" si="2"/>
        <v>362187.73999999993</v>
      </c>
    </row>
    <row r="47" spans="1:7" x14ac:dyDescent="0.25">
      <c r="A47" s="54">
        <v>45930</v>
      </c>
      <c r="B47" s="46">
        <f t="shared" si="4"/>
        <v>30</v>
      </c>
      <c r="C47" s="47">
        <f t="shared" si="3"/>
        <v>23782</v>
      </c>
      <c r="D47" s="48">
        <f t="shared" si="0"/>
        <v>19316.669999999998</v>
      </c>
      <c r="E47" s="68">
        <f t="shared" si="1"/>
        <v>4465.33</v>
      </c>
      <c r="F47" s="47">
        <f t="shared" si="5"/>
        <v>362187.73999999993</v>
      </c>
      <c r="G47" s="47">
        <f t="shared" si="2"/>
        <v>342871.06999999995</v>
      </c>
    </row>
    <row r="48" spans="1:7" x14ac:dyDescent="0.25">
      <c r="A48" s="54">
        <v>45961</v>
      </c>
      <c r="B48" s="46">
        <f t="shared" si="4"/>
        <v>31</v>
      </c>
      <c r="C48" s="47">
        <f t="shared" si="3"/>
        <v>23782</v>
      </c>
      <c r="D48" s="48">
        <f t="shared" si="0"/>
        <v>19413.919999999998</v>
      </c>
      <c r="E48" s="68">
        <f t="shared" si="1"/>
        <v>4368.08</v>
      </c>
      <c r="F48" s="47">
        <f t="shared" si="5"/>
        <v>342871.06999999995</v>
      </c>
      <c r="G48" s="47">
        <f t="shared" si="2"/>
        <v>323457.14999999997</v>
      </c>
    </row>
    <row r="49" spans="1:7" x14ac:dyDescent="0.25">
      <c r="A49" s="54">
        <v>45991</v>
      </c>
      <c r="B49" s="46">
        <f t="shared" si="4"/>
        <v>30</v>
      </c>
      <c r="C49" s="47">
        <f t="shared" si="3"/>
        <v>23782</v>
      </c>
      <c r="D49" s="48">
        <f t="shared" si="0"/>
        <v>19794.169999999998</v>
      </c>
      <c r="E49" s="68">
        <f t="shared" si="1"/>
        <v>3987.83</v>
      </c>
      <c r="F49" s="47">
        <f t="shared" si="5"/>
        <v>323457.14999999997</v>
      </c>
      <c r="G49" s="47">
        <f t="shared" si="2"/>
        <v>303662.98</v>
      </c>
    </row>
    <row r="50" spans="1:7" x14ac:dyDescent="0.25">
      <c r="A50" s="54">
        <v>46022</v>
      </c>
      <c r="B50" s="46">
        <f t="shared" si="4"/>
        <v>31</v>
      </c>
      <c r="C50" s="47">
        <f t="shared" si="3"/>
        <v>23782</v>
      </c>
      <c r="D50" s="48">
        <f t="shared" si="0"/>
        <v>19913.419999999998</v>
      </c>
      <c r="E50" s="68">
        <f t="shared" si="1"/>
        <v>3868.58</v>
      </c>
      <c r="F50" s="47">
        <f t="shared" si="5"/>
        <v>303662.98</v>
      </c>
      <c r="G50" s="47">
        <f t="shared" si="2"/>
        <v>283749.56</v>
      </c>
    </row>
    <row r="51" spans="1:7" x14ac:dyDescent="0.25">
      <c r="A51" s="54">
        <v>46053</v>
      </c>
      <c r="B51" s="46">
        <f t="shared" si="4"/>
        <v>31</v>
      </c>
      <c r="C51" s="47">
        <f t="shared" si="3"/>
        <v>23782</v>
      </c>
      <c r="D51" s="48">
        <f t="shared" si="0"/>
        <v>20167.11</v>
      </c>
      <c r="E51" s="68">
        <f t="shared" si="1"/>
        <v>3614.89</v>
      </c>
      <c r="F51" s="47">
        <f t="shared" si="5"/>
        <v>283749.56</v>
      </c>
      <c r="G51" s="47">
        <f t="shared" si="2"/>
        <v>263582.45</v>
      </c>
    </row>
    <row r="52" spans="1:7" x14ac:dyDescent="0.25">
      <c r="A52" s="54">
        <v>46081</v>
      </c>
      <c r="B52" s="46">
        <f t="shared" si="4"/>
        <v>28</v>
      </c>
      <c r="C52" s="47">
        <f t="shared" si="3"/>
        <v>23782</v>
      </c>
      <c r="D52" s="48">
        <f t="shared" si="0"/>
        <v>20749</v>
      </c>
      <c r="E52" s="68">
        <f t="shared" si="1"/>
        <v>3033</v>
      </c>
      <c r="F52" s="47">
        <f t="shared" si="5"/>
        <v>263582.45</v>
      </c>
      <c r="G52" s="47">
        <f t="shared" si="2"/>
        <v>242833.45</v>
      </c>
    </row>
    <row r="53" spans="1:7" x14ac:dyDescent="0.25">
      <c r="A53" s="54">
        <v>46112</v>
      </c>
      <c r="B53" s="46">
        <f t="shared" si="4"/>
        <v>31</v>
      </c>
      <c r="C53" s="47">
        <f t="shared" si="3"/>
        <v>23782</v>
      </c>
      <c r="D53" s="48">
        <f t="shared" si="0"/>
        <v>20688.37</v>
      </c>
      <c r="E53" s="68">
        <f t="shared" si="1"/>
        <v>3093.63</v>
      </c>
      <c r="F53" s="47">
        <f t="shared" si="5"/>
        <v>242833.45</v>
      </c>
      <c r="G53" s="47">
        <f t="shared" si="2"/>
        <v>222145.08000000002</v>
      </c>
    </row>
    <row r="54" spans="1:7" x14ac:dyDescent="0.25">
      <c r="A54" s="54">
        <v>46142</v>
      </c>
      <c r="B54" s="46">
        <f t="shared" si="4"/>
        <v>30</v>
      </c>
      <c r="C54" s="47">
        <f t="shared" si="3"/>
        <v>23782</v>
      </c>
      <c r="D54" s="48">
        <f t="shared" si="0"/>
        <v>21043.23</v>
      </c>
      <c r="E54" s="68">
        <f t="shared" si="1"/>
        <v>2738.77</v>
      </c>
      <c r="F54" s="47">
        <f t="shared" si="5"/>
        <v>222145.08000000002</v>
      </c>
      <c r="G54" s="47">
        <f t="shared" si="2"/>
        <v>201101.85</v>
      </c>
    </row>
    <row r="55" spans="1:7" x14ac:dyDescent="0.25">
      <c r="A55" s="54">
        <v>46173</v>
      </c>
      <c r="B55" s="46">
        <f t="shared" si="4"/>
        <v>31</v>
      </c>
      <c r="C55" s="47">
        <f t="shared" si="3"/>
        <v>23782</v>
      </c>
      <c r="D55" s="48">
        <f t="shared" si="0"/>
        <v>21220.02</v>
      </c>
      <c r="E55" s="68">
        <f t="shared" si="1"/>
        <v>2561.98</v>
      </c>
      <c r="F55" s="47">
        <f t="shared" si="5"/>
        <v>201101.85</v>
      </c>
      <c r="G55" s="47">
        <f t="shared" si="2"/>
        <v>179881.83000000002</v>
      </c>
    </row>
    <row r="56" spans="1:7" x14ac:dyDescent="0.25">
      <c r="A56" s="54">
        <v>46203</v>
      </c>
      <c r="B56" s="46">
        <f t="shared" si="4"/>
        <v>30</v>
      </c>
      <c r="C56" s="47">
        <f t="shared" si="3"/>
        <v>23782</v>
      </c>
      <c r="D56" s="48">
        <f t="shared" si="0"/>
        <v>21564.28</v>
      </c>
      <c r="E56" s="68">
        <f t="shared" si="1"/>
        <v>2217.7199999999998</v>
      </c>
      <c r="F56" s="47">
        <f t="shared" si="5"/>
        <v>179881.83000000002</v>
      </c>
      <c r="G56" s="47">
        <f t="shared" si="2"/>
        <v>158317.55000000002</v>
      </c>
    </row>
    <row r="57" spans="1:7" x14ac:dyDescent="0.25">
      <c r="A57" s="54">
        <v>46234</v>
      </c>
      <c r="B57" s="46">
        <f t="shared" si="4"/>
        <v>31</v>
      </c>
      <c r="C57" s="47">
        <f t="shared" si="3"/>
        <v>23782</v>
      </c>
      <c r="D57" s="48">
        <f t="shared" si="0"/>
        <v>21765.08</v>
      </c>
      <c r="E57" s="68">
        <f t="shared" si="1"/>
        <v>2016.92</v>
      </c>
      <c r="F57" s="47">
        <f t="shared" si="5"/>
        <v>158317.55000000002</v>
      </c>
      <c r="G57" s="47">
        <f t="shared" si="2"/>
        <v>136552.47000000003</v>
      </c>
    </row>
    <row r="58" spans="1:7" x14ac:dyDescent="0.25">
      <c r="A58" s="54">
        <v>46265</v>
      </c>
      <c r="B58" s="46">
        <f t="shared" si="4"/>
        <v>31</v>
      </c>
      <c r="C58" s="47">
        <f t="shared" si="3"/>
        <v>23782</v>
      </c>
      <c r="D58" s="48">
        <f t="shared" si="0"/>
        <v>22042.36</v>
      </c>
      <c r="E58" s="68">
        <f t="shared" si="1"/>
        <v>1739.64</v>
      </c>
      <c r="F58" s="47">
        <f t="shared" si="5"/>
        <v>136552.47000000003</v>
      </c>
      <c r="G58" s="47">
        <f t="shared" si="2"/>
        <v>114510.11000000003</v>
      </c>
    </row>
    <row r="59" spans="1:7" x14ac:dyDescent="0.25">
      <c r="A59" s="54">
        <v>46295</v>
      </c>
      <c r="B59" s="46">
        <f t="shared" si="4"/>
        <v>30</v>
      </c>
      <c r="C59" s="47">
        <f t="shared" si="3"/>
        <v>23782</v>
      </c>
      <c r="D59" s="48">
        <f t="shared" si="0"/>
        <v>22370.23</v>
      </c>
      <c r="E59" s="68">
        <f t="shared" si="1"/>
        <v>1411.77</v>
      </c>
      <c r="F59" s="47">
        <f t="shared" si="5"/>
        <v>114510.11000000003</v>
      </c>
      <c r="G59" s="47">
        <f t="shared" si="2"/>
        <v>92139.880000000034</v>
      </c>
    </row>
    <row r="60" spans="1:7" x14ac:dyDescent="0.25">
      <c r="A60" s="54">
        <v>46326</v>
      </c>
      <c r="B60" s="46">
        <f t="shared" si="4"/>
        <v>31</v>
      </c>
      <c r="C60" s="47">
        <f t="shared" si="3"/>
        <v>23782</v>
      </c>
      <c r="D60" s="48">
        <f t="shared" si="0"/>
        <v>22608.16</v>
      </c>
      <c r="E60" s="68">
        <f t="shared" si="1"/>
        <v>1173.8399999999999</v>
      </c>
      <c r="F60" s="47">
        <f t="shared" si="5"/>
        <v>92139.880000000034</v>
      </c>
      <c r="G60" s="47">
        <f t="shared" si="2"/>
        <v>69531.72000000003</v>
      </c>
    </row>
    <row r="61" spans="1:7" x14ac:dyDescent="0.25">
      <c r="A61" s="54">
        <v>46356</v>
      </c>
      <c r="B61" s="46">
        <f t="shared" si="4"/>
        <v>30</v>
      </c>
      <c r="C61" s="47">
        <f t="shared" si="3"/>
        <v>23782</v>
      </c>
      <c r="D61" s="48">
        <f t="shared" si="0"/>
        <v>22924.76</v>
      </c>
      <c r="E61" s="68">
        <f t="shared" si="1"/>
        <v>857.24</v>
      </c>
      <c r="F61" s="47">
        <f t="shared" si="5"/>
        <v>69531.72000000003</v>
      </c>
      <c r="G61" s="47">
        <f t="shared" si="2"/>
        <v>46606.960000000036</v>
      </c>
    </row>
    <row r="62" spans="1:7" x14ac:dyDescent="0.25">
      <c r="A62" s="54">
        <v>46387</v>
      </c>
      <c r="B62" s="46">
        <f t="shared" si="4"/>
        <v>31</v>
      </c>
      <c r="C62" s="47">
        <f t="shared" si="3"/>
        <v>23782</v>
      </c>
      <c r="D62" s="48">
        <f t="shared" si="0"/>
        <v>23188.240000000002</v>
      </c>
      <c r="E62" s="68">
        <f t="shared" si="1"/>
        <v>593.76</v>
      </c>
      <c r="F62" s="47">
        <f t="shared" si="5"/>
        <v>46606.960000000036</v>
      </c>
      <c r="G62" s="47">
        <f t="shared" si="2"/>
        <v>23418.720000000034</v>
      </c>
    </row>
    <row r="63" spans="1:7" x14ac:dyDescent="0.25">
      <c r="A63" s="54">
        <v>46418</v>
      </c>
      <c r="B63" s="46">
        <f t="shared" si="4"/>
        <v>31</v>
      </c>
      <c r="C63" s="47">
        <f t="shared" si="3"/>
        <v>23782</v>
      </c>
      <c r="D63" s="48">
        <f t="shared" si="0"/>
        <v>23418.720000000034</v>
      </c>
      <c r="E63" s="68">
        <v>363.27999999996757</v>
      </c>
      <c r="F63" s="47">
        <f t="shared" si="5"/>
        <v>23418.720000000034</v>
      </c>
      <c r="G63" s="47">
        <f t="shared" si="2"/>
        <v>0</v>
      </c>
    </row>
    <row r="64" spans="1:7" x14ac:dyDescent="0.25">
      <c r="A64" s="70">
        <v>44773</v>
      </c>
      <c r="B64" s="46">
        <f>A9-A8</f>
        <v>31</v>
      </c>
      <c r="C64" s="47">
        <f t="shared" si="3"/>
        <v>23782</v>
      </c>
      <c r="D64" s="48">
        <f>C9-E9</f>
        <v>11790.56</v>
      </c>
      <c r="E64" s="68">
        <f>ROUND(F9*$B$2*B9/365,2)</f>
        <v>11991.44</v>
      </c>
      <c r="F64" s="47">
        <f>G8</f>
        <v>941263.54999999993</v>
      </c>
      <c r="G64" s="47">
        <f t="shared" si="2"/>
        <v>929472.98999999987</v>
      </c>
    </row>
    <row r="65" spans="1:7" x14ac:dyDescent="0.25">
      <c r="A65" s="70">
        <v>44804</v>
      </c>
      <c r="B65" s="84">
        <f t="shared" si="4"/>
        <v>31</v>
      </c>
      <c r="C65" s="90">
        <f t="shared" ref="C65:C74" si="6">$H$1</f>
        <v>21450</v>
      </c>
      <c r="D65" s="91">
        <f t="shared" ref="D65:D106" si="7">C65-E65</f>
        <v>13555.85</v>
      </c>
      <c r="E65" s="90">
        <f>ROUND(F65*$J$1*B65/365,2)</f>
        <v>7894.15</v>
      </c>
      <c r="F65" s="90">
        <f t="shared" si="5"/>
        <v>929472.98999999987</v>
      </c>
      <c r="G65" s="90">
        <f t="shared" si="2"/>
        <v>915917.1399999999</v>
      </c>
    </row>
    <row r="66" spans="1:7" x14ac:dyDescent="0.25">
      <c r="A66" s="70">
        <v>44834</v>
      </c>
      <c r="B66" s="46">
        <f t="shared" si="4"/>
        <v>30</v>
      </c>
      <c r="C66" s="47">
        <f t="shared" si="6"/>
        <v>21450</v>
      </c>
      <c r="D66" s="48">
        <f t="shared" si="7"/>
        <v>13921.91</v>
      </c>
      <c r="E66" s="68">
        <f t="shared" ref="E66:E105" si="8">ROUND(F66*$J$1*B66/365,2)</f>
        <v>7528.09</v>
      </c>
      <c r="F66" s="47">
        <f t="shared" si="5"/>
        <v>915917.1399999999</v>
      </c>
      <c r="G66" s="47">
        <f t="shared" si="2"/>
        <v>901995.22999999986</v>
      </c>
    </row>
    <row r="67" spans="1:7" x14ac:dyDescent="0.25">
      <c r="A67" s="70">
        <v>44865</v>
      </c>
      <c r="B67" s="46">
        <f t="shared" si="4"/>
        <v>31</v>
      </c>
      <c r="C67" s="47">
        <f t="shared" si="6"/>
        <v>21450</v>
      </c>
      <c r="D67" s="48">
        <f t="shared" si="7"/>
        <v>13789.220000000001</v>
      </c>
      <c r="E67" s="68">
        <f t="shared" si="8"/>
        <v>7660.78</v>
      </c>
      <c r="F67" s="47">
        <f t="shared" si="5"/>
        <v>901995.22999999986</v>
      </c>
      <c r="G67" s="47">
        <f t="shared" si="2"/>
        <v>888206.00999999989</v>
      </c>
    </row>
    <row r="68" spans="1:7" x14ac:dyDescent="0.25">
      <c r="A68" s="70">
        <v>44895</v>
      </c>
      <c r="B68" s="46">
        <f t="shared" si="4"/>
        <v>30</v>
      </c>
      <c r="C68" s="47">
        <f t="shared" si="6"/>
        <v>21450</v>
      </c>
      <c r="D68" s="48">
        <f t="shared" si="7"/>
        <v>14149.68</v>
      </c>
      <c r="E68" s="68">
        <f t="shared" si="8"/>
        <v>7300.32</v>
      </c>
      <c r="F68" s="47">
        <f t="shared" si="5"/>
        <v>888206.00999999989</v>
      </c>
      <c r="G68" s="47">
        <f t="shared" ref="G68:G106" si="9">F68-D68</f>
        <v>874056.32999999984</v>
      </c>
    </row>
    <row r="69" spans="1:7" x14ac:dyDescent="0.25">
      <c r="A69" s="70">
        <v>44926</v>
      </c>
      <c r="B69" s="85">
        <f t="shared" si="4"/>
        <v>31</v>
      </c>
      <c r="C69" s="68">
        <f t="shared" si="6"/>
        <v>21450</v>
      </c>
      <c r="D69" s="92">
        <f t="shared" si="7"/>
        <v>14026.51</v>
      </c>
      <c r="E69" s="68">
        <f t="shared" si="8"/>
        <v>7423.49</v>
      </c>
      <c r="F69" s="68">
        <f t="shared" si="5"/>
        <v>874056.32999999984</v>
      </c>
      <c r="G69" s="68">
        <f t="shared" si="9"/>
        <v>860029.81999999983</v>
      </c>
    </row>
    <row r="70" spans="1:7" x14ac:dyDescent="0.25">
      <c r="A70" s="70">
        <v>44957</v>
      </c>
      <c r="B70" s="46">
        <f t="shared" ref="B70:B106" si="10">A70-A69</f>
        <v>31</v>
      </c>
      <c r="C70" s="47">
        <f t="shared" si="6"/>
        <v>21450</v>
      </c>
      <c r="D70" s="48">
        <f t="shared" si="7"/>
        <v>14145.64</v>
      </c>
      <c r="E70" s="68">
        <f t="shared" si="8"/>
        <v>7304.36</v>
      </c>
      <c r="F70" s="47">
        <f t="shared" ref="F70:F74" si="11">G69</f>
        <v>860029.81999999983</v>
      </c>
      <c r="G70" s="47">
        <f t="shared" si="9"/>
        <v>845884.17999999982</v>
      </c>
    </row>
    <row r="71" spans="1:7" x14ac:dyDescent="0.25">
      <c r="A71" s="70">
        <v>44985</v>
      </c>
      <c r="B71" s="46">
        <f t="shared" si="10"/>
        <v>28</v>
      </c>
      <c r="C71" s="47">
        <f t="shared" si="6"/>
        <v>21450</v>
      </c>
      <c r="D71" s="48">
        <f t="shared" si="7"/>
        <v>14961.029999999999</v>
      </c>
      <c r="E71" s="68">
        <f t="shared" si="8"/>
        <v>6488.97</v>
      </c>
      <c r="F71" s="47">
        <f t="shared" si="11"/>
        <v>845884.17999999982</v>
      </c>
      <c r="G71" s="47">
        <f t="shared" si="9"/>
        <v>830923.14999999979</v>
      </c>
    </row>
    <row r="72" spans="1:7" x14ac:dyDescent="0.25">
      <c r="A72" s="70">
        <v>45016</v>
      </c>
      <c r="B72" s="46">
        <f t="shared" si="10"/>
        <v>31</v>
      </c>
      <c r="C72" s="47">
        <f t="shared" si="6"/>
        <v>21450</v>
      </c>
      <c r="D72" s="48">
        <f t="shared" si="7"/>
        <v>14392.84</v>
      </c>
      <c r="E72" s="68">
        <f t="shared" si="8"/>
        <v>7057.16</v>
      </c>
      <c r="F72" s="47">
        <f t="shared" si="11"/>
        <v>830923.14999999979</v>
      </c>
      <c r="G72" s="47">
        <f t="shared" si="9"/>
        <v>816530.30999999982</v>
      </c>
    </row>
    <row r="73" spans="1:7" x14ac:dyDescent="0.25">
      <c r="A73" s="70">
        <v>45046</v>
      </c>
      <c r="B73" s="46">
        <f t="shared" si="10"/>
        <v>30</v>
      </c>
      <c r="C73" s="47">
        <f t="shared" si="6"/>
        <v>21450</v>
      </c>
      <c r="D73" s="48">
        <f t="shared" si="7"/>
        <v>14738.79</v>
      </c>
      <c r="E73" s="68">
        <f t="shared" si="8"/>
        <v>6711.21</v>
      </c>
      <c r="F73" s="47">
        <f t="shared" si="11"/>
        <v>816530.30999999982</v>
      </c>
      <c r="G73" s="47">
        <f t="shared" si="9"/>
        <v>801791.51999999979</v>
      </c>
    </row>
    <row r="74" spans="1:7" x14ac:dyDescent="0.25">
      <c r="A74" s="70">
        <v>45077</v>
      </c>
      <c r="B74" s="46">
        <f t="shared" si="10"/>
        <v>31</v>
      </c>
      <c r="C74" s="47">
        <f t="shared" si="6"/>
        <v>21450</v>
      </c>
      <c r="D74" s="48">
        <f t="shared" si="7"/>
        <v>14640.26</v>
      </c>
      <c r="E74" s="68">
        <f t="shared" si="8"/>
        <v>6809.74</v>
      </c>
      <c r="F74" s="47">
        <f t="shared" si="11"/>
        <v>801791.51999999979</v>
      </c>
      <c r="G74" s="47">
        <f t="shared" si="9"/>
        <v>787151.25999999978</v>
      </c>
    </row>
    <row r="75" spans="1:7" x14ac:dyDescent="0.25">
      <c r="A75" s="70">
        <v>45107</v>
      </c>
      <c r="B75" s="84">
        <f t="shared" si="10"/>
        <v>30</v>
      </c>
      <c r="C75" s="90">
        <f t="shared" ref="C75:C86" si="12">$N$1</f>
        <v>20088</v>
      </c>
      <c r="D75" s="91">
        <f t="shared" si="7"/>
        <v>14029.220000000001</v>
      </c>
      <c r="E75" s="90">
        <f t="shared" si="8"/>
        <v>6058.78</v>
      </c>
      <c r="F75" s="90">
        <f>G74-P1</f>
        <v>737151.25999999978</v>
      </c>
      <c r="G75" s="90">
        <f t="shared" si="9"/>
        <v>723122.0399999998</v>
      </c>
    </row>
    <row r="76" spans="1:7" x14ac:dyDescent="0.25">
      <c r="A76" s="70">
        <v>45138</v>
      </c>
      <c r="B76" s="46">
        <f t="shared" si="10"/>
        <v>31</v>
      </c>
      <c r="C76" s="68">
        <f t="shared" si="12"/>
        <v>20088</v>
      </c>
      <c r="D76" s="48">
        <f t="shared" si="7"/>
        <v>13946.42</v>
      </c>
      <c r="E76" s="68">
        <f t="shared" si="8"/>
        <v>6141.58</v>
      </c>
      <c r="F76" s="47">
        <f t="shared" ref="F76:F106" si="13">G75</f>
        <v>723122.0399999998</v>
      </c>
      <c r="G76" s="47">
        <f t="shared" si="9"/>
        <v>709175.61999999976</v>
      </c>
    </row>
    <row r="77" spans="1:7" x14ac:dyDescent="0.25">
      <c r="A77" s="70">
        <v>45169</v>
      </c>
      <c r="B77" s="46">
        <f t="shared" si="10"/>
        <v>31</v>
      </c>
      <c r="C77" s="68">
        <f t="shared" si="12"/>
        <v>20088</v>
      </c>
      <c r="D77" s="48">
        <f t="shared" si="7"/>
        <v>14064.86</v>
      </c>
      <c r="E77" s="68">
        <f t="shared" si="8"/>
        <v>6023.14</v>
      </c>
      <c r="F77" s="47">
        <f t="shared" si="13"/>
        <v>709175.61999999976</v>
      </c>
      <c r="G77" s="47">
        <f t="shared" si="9"/>
        <v>695110.75999999978</v>
      </c>
    </row>
    <row r="78" spans="1:7" x14ac:dyDescent="0.25">
      <c r="A78" s="70">
        <v>45199</v>
      </c>
      <c r="B78" s="46">
        <f t="shared" si="10"/>
        <v>30</v>
      </c>
      <c r="C78" s="68">
        <f t="shared" si="12"/>
        <v>20088</v>
      </c>
      <c r="D78" s="48">
        <f t="shared" si="7"/>
        <v>14374.76</v>
      </c>
      <c r="E78" s="68">
        <f t="shared" si="8"/>
        <v>5713.24</v>
      </c>
      <c r="F78" s="47">
        <f t="shared" si="13"/>
        <v>695110.75999999978</v>
      </c>
      <c r="G78" s="47">
        <f t="shared" si="9"/>
        <v>680735.99999999977</v>
      </c>
    </row>
    <row r="79" spans="1:7" x14ac:dyDescent="0.25">
      <c r="A79" s="70">
        <v>45230</v>
      </c>
      <c r="B79" s="46">
        <f t="shared" si="10"/>
        <v>31</v>
      </c>
      <c r="C79" s="68">
        <f t="shared" si="12"/>
        <v>20088</v>
      </c>
      <c r="D79" s="48">
        <f t="shared" si="7"/>
        <v>14306.41</v>
      </c>
      <c r="E79" s="68">
        <f t="shared" si="8"/>
        <v>5781.59</v>
      </c>
      <c r="F79" s="47">
        <f t="shared" si="13"/>
        <v>680735.99999999977</v>
      </c>
      <c r="G79" s="47">
        <f t="shared" si="9"/>
        <v>666429.58999999973</v>
      </c>
    </row>
    <row r="80" spans="1:7" x14ac:dyDescent="0.25">
      <c r="A80" s="70">
        <v>45260</v>
      </c>
      <c r="B80" s="46">
        <f t="shared" si="10"/>
        <v>30</v>
      </c>
      <c r="C80" s="68">
        <f t="shared" si="12"/>
        <v>20088</v>
      </c>
      <c r="D80" s="48">
        <f t="shared" si="7"/>
        <v>14610.5</v>
      </c>
      <c r="E80" s="68">
        <f t="shared" si="8"/>
        <v>5477.5</v>
      </c>
      <c r="F80" s="47">
        <f t="shared" si="13"/>
        <v>666429.58999999973</v>
      </c>
      <c r="G80" s="47">
        <f t="shared" si="9"/>
        <v>651819.08999999973</v>
      </c>
    </row>
    <row r="81" spans="1:7" x14ac:dyDescent="0.25">
      <c r="A81" s="70">
        <v>45291</v>
      </c>
      <c r="B81" s="85">
        <f t="shared" si="10"/>
        <v>31</v>
      </c>
      <c r="C81" s="68">
        <f t="shared" si="12"/>
        <v>20088</v>
      </c>
      <c r="D81" s="48">
        <f t="shared" ref="D81:D86" si="14">C81-E81</f>
        <v>14552</v>
      </c>
      <c r="E81" s="68">
        <f t="shared" ref="E81:E86" si="15">ROUND(F81*$J$1*B81/365,2)</f>
        <v>5536</v>
      </c>
      <c r="F81" s="47">
        <f t="shared" ref="F81:F86" si="16">G80</f>
        <v>651819.08999999973</v>
      </c>
      <c r="G81" s="47">
        <f t="shared" ref="G81:G86" si="17">F81-D81</f>
        <v>637267.08999999973</v>
      </c>
    </row>
    <row r="82" spans="1:7" x14ac:dyDescent="0.25">
      <c r="A82" s="70">
        <v>45322</v>
      </c>
      <c r="B82" s="46">
        <f t="shared" si="10"/>
        <v>31</v>
      </c>
      <c r="C82" s="68">
        <f t="shared" si="12"/>
        <v>20088</v>
      </c>
      <c r="D82" s="48">
        <f t="shared" si="14"/>
        <v>14675.59</v>
      </c>
      <c r="E82" s="68">
        <f t="shared" si="15"/>
        <v>5412.41</v>
      </c>
      <c r="F82" s="47">
        <f t="shared" si="16"/>
        <v>637267.08999999973</v>
      </c>
      <c r="G82" s="47">
        <f t="shared" si="17"/>
        <v>622591.49999999977</v>
      </c>
    </row>
    <row r="83" spans="1:7" x14ac:dyDescent="0.25">
      <c r="A83" s="70">
        <v>45351</v>
      </c>
      <c r="B83" s="46">
        <f t="shared" si="10"/>
        <v>29</v>
      </c>
      <c r="C83" s="68">
        <f t="shared" si="12"/>
        <v>20088</v>
      </c>
      <c r="D83" s="48">
        <f t="shared" si="14"/>
        <v>15141.380000000001</v>
      </c>
      <c r="E83" s="68">
        <f t="shared" si="15"/>
        <v>4946.62</v>
      </c>
      <c r="F83" s="47">
        <f t="shared" si="16"/>
        <v>622591.49999999977</v>
      </c>
      <c r="G83" s="47">
        <f t="shared" si="17"/>
        <v>607450.11999999976</v>
      </c>
    </row>
    <row r="84" spans="1:7" x14ac:dyDescent="0.25">
      <c r="A84" s="70">
        <v>45382</v>
      </c>
      <c r="B84" s="46">
        <f t="shared" si="10"/>
        <v>31</v>
      </c>
      <c r="C84" s="68">
        <f t="shared" si="12"/>
        <v>20088</v>
      </c>
      <c r="D84" s="48">
        <f t="shared" si="14"/>
        <v>14928.83</v>
      </c>
      <c r="E84" s="68">
        <f t="shared" si="15"/>
        <v>5159.17</v>
      </c>
      <c r="F84" s="47">
        <f t="shared" si="16"/>
        <v>607450.11999999976</v>
      </c>
      <c r="G84" s="47">
        <f t="shared" si="17"/>
        <v>592521.2899999998</v>
      </c>
    </row>
    <row r="85" spans="1:7" x14ac:dyDescent="0.25">
      <c r="A85" s="70">
        <v>45412</v>
      </c>
      <c r="B85" s="46">
        <f t="shared" si="10"/>
        <v>30</v>
      </c>
      <c r="C85" s="68">
        <f t="shared" si="12"/>
        <v>20088</v>
      </c>
      <c r="D85" s="48">
        <f t="shared" si="14"/>
        <v>15217.96</v>
      </c>
      <c r="E85" s="68">
        <f t="shared" si="15"/>
        <v>4870.04</v>
      </c>
      <c r="F85" s="47">
        <f t="shared" si="16"/>
        <v>592521.2899999998</v>
      </c>
      <c r="G85" s="47">
        <f t="shared" si="17"/>
        <v>577303.32999999984</v>
      </c>
    </row>
    <row r="86" spans="1:7" x14ac:dyDescent="0.25">
      <c r="A86" s="70">
        <v>45443</v>
      </c>
      <c r="B86" s="46">
        <f t="shared" si="10"/>
        <v>31</v>
      </c>
      <c r="C86" s="68">
        <f t="shared" si="12"/>
        <v>20088</v>
      </c>
      <c r="D86" s="48">
        <f t="shared" si="14"/>
        <v>15184.880000000001</v>
      </c>
      <c r="E86" s="68">
        <f t="shared" si="15"/>
        <v>4903.12</v>
      </c>
      <c r="F86" s="47">
        <f t="shared" si="16"/>
        <v>577303.32999999984</v>
      </c>
      <c r="G86" s="47">
        <f t="shared" si="17"/>
        <v>562118.44999999984</v>
      </c>
    </row>
    <row r="87" spans="1:7" x14ac:dyDescent="0.25">
      <c r="A87" s="70">
        <v>45473</v>
      </c>
      <c r="B87" s="84">
        <f t="shared" si="10"/>
        <v>30</v>
      </c>
      <c r="C87" s="90">
        <f t="shared" ref="C87:C98" si="18">$F$2</f>
        <v>15000</v>
      </c>
      <c r="D87" s="91">
        <f t="shared" si="7"/>
        <v>10379.85</v>
      </c>
      <c r="E87" s="90">
        <f t="shared" si="8"/>
        <v>4620.1499999999996</v>
      </c>
      <c r="F87" s="90">
        <f t="shared" si="13"/>
        <v>562118.44999999984</v>
      </c>
      <c r="G87" s="90">
        <f t="shared" si="9"/>
        <v>551738.59999999986</v>
      </c>
    </row>
    <row r="88" spans="1:7" x14ac:dyDescent="0.25">
      <c r="A88" s="70">
        <v>45504</v>
      </c>
      <c r="B88" s="46">
        <f t="shared" si="10"/>
        <v>31</v>
      </c>
      <c r="C88" s="68">
        <f t="shared" si="18"/>
        <v>15000</v>
      </c>
      <c r="D88" s="48">
        <f t="shared" si="7"/>
        <v>10314</v>
      </c>
      <c r="E88" s="68">
        <f t="shared" si="8"/>
        <v>4686</v>
      </c>
      <c r="F88" s="47">
        <f t="shared" si="13"/>
        <v>551738.59999999986</v>
      </c>
      <c r="G88" s="47">
        <f t="shared" si="9"/>
        <v>541424.59999999986</v>
      </c>
    </row>
    <row r="89" spans="1:7" x14ac:dyDescent="0.25">
      <c r="A89" s="70">
        <v>45535</v>
      </c>
      <c r="B89" s="46">
        <f t="shared" si="10"/>
        <v>31</v>
      </c>
      <c r="C89" s="68">
        <f t="shared" si="18"/>
        <v>15000</v>
      </c>
      <c r="D89" s="48">
        <f t="shared" si="7"/>
        <v>10401.6</v>
      </c>
      <c r="E89" s="68">
        <f t="shared" si="8"/>
        <v>4598.3999999999996</v>
      </c>
      <c r="F89" s="47">
        <f t="shared" si="13"/>
        <v>541424.59999999986</v>
      </c>
      <c r="G89" s="47">
        <f t="shared" si="9"/>
        <v>531022.99999999988</v>
      </c>
    </row>
    <row r="90" spans="1:7" x14ac:dyDescent="0.25">
      <c r="A90" s="70">
        <v>45565</v>
      </c>
      <c r="B90" s="46">
        <f t="shared" si="10"/>
        <v>30</v>
      </c>
      <c r="C90" s="68">
        <f t="shared" si="18"/>
        <v>15000</v>
      </c>
      <c r="D90" s="48">
        <f t="shared" si="7"/>
        <v>10635.43</v>
      </c>
      <c r="E90" s="68">
        <f t="shared" si="8"/>
        <v>4364.57</v>
      </c>
      <c r="F90" s="47">
        <f t="shared" si="13"/>
        <v>531022.99999999988</v>
      </c>
      <c r="G90" s="47">
        <f t="shared" si="9"/>
        <v>520387.56999999989</v>
      </c>
    </row>
    <row r="91" spans="1:7" x14ac:dyDescent="0.25">
      <c r="A91" s="70">
        <v>45596</v>
      </c>
      <c r="B91" s="46">
        <f t="shared" si="10"/>
        <v>31</v>
      </c>
      <c r="C91" s="68">
        <f t="shared" si="18"/>
        <v>15000</v>
      </c>
      <c r="D91" s="48">
        <f t="shared" si="7"/>
        <v>10580.27</v>
      </c>
      <c r="E91" s="68">
        <f t="shared" si="8"/>
        <v>4419.7299999999996</v>
      </c>
      <c r="F91" s="47">
        <f t="shared" si="13"/>
        <v>520387.56999999989</v>
      </c>
      <c r="G91" s="47">
        <f t="shared" si="9"/>
        <v>509807.29999999987</v>
      </c>
    </row>
    <row r="92" spans="1:7" x14ac:dyDescent="0.25">
      <c r="A92" s="70">
        <v>45626</v>
      </c>
      <c r="B92" s="46">
        <f t="shared" si="10"/>
        <v>30</v>
      </c>
      <c r="C92" s="68">
        <f t="shared" si="18"/>
        <v>15000</v>
      </c>
      <c r="D92" s="48">
        <f t="shared" ref="D92:D96" si="19">C92-E92</f>
        <v>10809.8</v>
      </c>
      <c r="E92" s="68">
        <f t="shared" ref="E92:E96" si="20">ROUND(F92*$J$1*B92/365,2)</f>
        <v>4190.2</v>
      </c>
      <c r="F92" s="47">
        <f t="shared" ref="F92:F96" si="21">G91</f>
        <v>509807.29999999987</v>
      </c>
      <c r="G92" s="47">
        <f t="shared" ref="G92:G96" si="22">F92-D92</f>
        <v>498997.49999999988</v>
      </c>
    </row>
    <row r="93" spans="1:7" x14ac:dyDescent="0.25">
      <c r="A93" s="70">
        <v>45657</v>
      </c>
      <c r="B93" s="46">
        <f t="shared" si="10"/>
        <v>31</v>
      </c>
      <c r="C93" s="68">
        <f t="shared" si="18"/>
        <v>15000</v>
      </c>
      <c r="D93" s="48">
        <f t="shared" si="19"/>
        <v>10761.939999999999</v>
      </c>
      <c r="E93" s="68">
        <f t="shared" si="20"/>
        <v>4238.0600000000004</v>
      </c>
      <c r="F93" s="47">
        <f t="shared" si="21"/>
        <v>498997.49999999988</v>
      </c>
      <c r="G93" s="47">
        <f t="shared" si="22"/>
        <v>488235.55999999988</v>
      </c>
    </row>
    <row r="94" spans="1:7" x14ac:dyDescent="0.25">
      <c r="A94" s="70">
        <v>45688</v>
      </c>
      <c r="B94" s="46">
        <f t="shared" si="10"/>
        <v>31</v>
      </c>
      <c r="C94" s="68">
        <f t="shared" si="18"/>
        <v>15000</v>
      </c>
      <c r="D94" s="48">
        <f t="shared" si="19"/>
        <v>10853.34</v>
      </c>
      <c r="E94" s="68">
        <f t="shared" si="20"/>
        <v>4146.66</v>
      </c>
      <c r="F94" s="47">
        <f t="shared" si="21"/>
        <v>488235.55999999988</v>
      </c>
      <c r="G94" s="47">
        <f t="shared" si="22"/>
        <v>477382.21999999986</v>
      </c>
    </row>
    <row r="95" spans="1:7" x14ac:dyDescent="0.25">
      <c r="A95" s="70">
        <v>45716</v>
      </c>
      <c r="B95" s="46">
        <f t="shared" si="10"/>
        <v>28</v>
      </c>
      <c r="C95" s="68">
        <f t="shared" si="18"/>
        <v>15000</v>
      </c>
      <c r="D95" s="48">
        <f t="shared" si="19"/>
        <v>11337.89</v>
      </c>
      <c r="E95" s="68">
        <f t="shared" si="20"/>
        <v>3662.11</v>
      </c>
      <c r="F95" s="47">
        <f t="shared" si="21"/>
        <v>477382.21999999986</v>
      </c>
      <c r="G95" s="47">
        <f t="shared" si="22"/>
        <v>466044.32999999984</v>
      </c>
    </row>
    <row r="96" spans="1:7" x14ac:dyDescent="0.25">
      <c r="A96" s="70">
        <v>45747</v>
      </c>
      <c r="B96" s="46">
        <f t="shared" si="10"/>
        <v>31</v>
      </c>
      <c r="C96" s="68">
        <f t="shared" si="18"/>
        <v>15000</v>
      </c>
      <c r="D96" s="48">
        <f t="shared" si="19"/>
        <v>11041.82</v>
      </c>
      <c r="E96" s="68">
        <f t="shared" si="20"/>
        <v>3958.18</v>
      </c>
      <c r="F96" s="47">
        <f t="shared" si="21"/>
        <v>466044.32999999984</v>
      </c>
      <c r="G96" s="47">
        <f t="shared" si="22"/>
        <v>455002.50999999983</v>
      </c>
    </row>
    <row r="97" spans="1:7" x14ac:dyDescent="0.25">
      <c r="A97" s="70">
        <v>45777</v>
      </c>
      <c r="B97" s="46">
        <f t="shared" si="10"/>
        <v>30</v>
      </c>
      <c r="C97" s="68">
        <f t="shared" si="18"/>
        <v>15000</v>
      </c>
      <c r="D97" s="48">
        <f t="shared" ref="D97:D98" si="23">C97-E97</f>
        <v>11260.25</v>
      </c>
      <c r="E97" s="68">
        <f t="shared" ref="E97:E98" si="24">ROUND(F97*$J$1*B97/365,2)</f>
        <v>3739.75</v>
      </c>
      <c r="F97" s="47">
        <f t="shared" ref="F97:F98" si="25">G96</f>
        <v>455002.50999999983</v>
      </c>
      <c r="G97" s="47">
        <f t="shared" ref="G97:G98" si="26">F97-D97</f>
        <v>443742.25999999983</v>
      </c>
    </row>
    <row r="98" spans="1:7" x14ac:dyDescent="0.25">
      <c r="A98" s="70">
        <v>45808</v>
      </c>
      <c r="B98" s="46">
        <f t="shared" si="10"/>
        <v>31</v>
      </c>
      <c r="C98" s="68">
        <f t="shared" si="18"/>
        <v>15000</v>
      </c>
      <c r="D98" s="48">
        <f t="shared" si="23"/>
        <v>11231.23</v>
      </c>
      <c r="E98" s="68">
        <f t="shared" si="24"/>
        <v>3768.77</v>
      </c>
      <c r="F98" s="47">
        <f t="shared" si="25"/>
        <v>443742.25999999983</v>
      </c>
      <c r="G98" s="47">
        <f t="shared" si="26"/>
        <v>432511.02999999985</v>
      </c>
    </row>
    <row r="99" spans="1:7" x14ac:dyDescent="0.25">
      <c r="A99" s="70">
        <v>45838</v>
      </c>
      <c r="B99" s="46">
        <f t="shared" si="10"/>
        <v>30</v>
      </c>
      <c r="C99" s="47">
        <f t="shared" ref="C99:C106" si="27">$J$2</f>
        <v>56121</v>
      </c>
      <c r="D99" s="48">
        <f t="shared" si="7"/>
        <v>52566.11</v>
      </c>
      <c r="E99" s="68">
        <f t="shared" si="8"/>
        <v>3554.89</v>
      </c>
      <c r="F99" s="47">
        <f t="shared" si="13"/>
        <v>432511.02999999985</v>
      </c>
      <c r="G99" s="47">
        <f t="shared" si="9"/>
        <v>379944.91999999987</v>
      </c>
    </row>
    <row r="100" spans="1:7" x14ac:dyDescent="0.25">
      <c r="A100" s="70">
        <v>45869</v>
      </c>
      <c r="B100" s="46">
        <f t="shared" si="10"/>
        <v>31</v>
      </c>
      <c r="C100" s="47">
        <f t="shared" si="27"/>
        <v>56121</v>
      </c>
      <c r="D100" s="48">
        <f t="shared" si="7"/>
        <v>52894.07</v>
      </c>
      <c r="E100" s="68">
        <f t="shared" si="8"/>
        <v>3226.93</v>
      </c>
      <c r="F100" s="47">
        <f t="shared" si="13"/>
        <v>379944.91999999987</v>
      </c>
      <c r="G100" s="47">
        <f t="shared" si="9"/>
        <v>327050.84999999986</v>
      </c>
    </row>
    <row r="101" spans="1:7" x14ac:dyDescent="0.25">
      <c r="A101" s="70">
        <v>45900</v>
      </c>
      <c r="B101" s="46">
        <f t="shared" si="10"/>
        <v>31</v>
      </c>
      <c r="C101" s="47">
        <f t="shared" si="27"/>
        <v>56121</v>
      </c>
      <c r="D101" s="48">
        <f t="shared" si="7"/>
        <v>53343.31</v>
      </c>
      <c r="E101" s="68">
        <f t="shared" si="8"/>
        <v>2777.69</v>
      </c>
      <c r="F101" s="47">
        <f t="shared" si="13"/>
        <v>327050.84999999986</v>
      </c>
      <c r="G101" s="47">
        <f t="shared" si="9"/>
        <v>273707.53999999986</v>
      </c>
    </row>
    <row r="102" spans="1:7" x14ac:dyDescent="0.25">
      <c r="A102" s="70">
        <v>45930</v>
      </c>
      <c r="B102" s="46">
        <f t="shared" si="10"/>
        <v>30</v>
      </c>
      <c r="C102" s="47">
        <f t="shared" si="27"/>
        <v>56121</v>
      </c>
      <c r="D102" s="48">
        <f t="shared" si="7"/>
        <v>53871.35</v>
      </c>
      <c r="E102" s="68">
        <f t="shared" si="8"/>
        <v>2249.65</v>
      </c>
      <c r="F102" s="47">
        <f t="shared" si="13"/>
        <v>273707.53999999986</v>
      </c>
      <c r="G102" s="47">
        <f t="shared" si="9"/>
        <v>219836.18999999986</v>
      </c>
    </row>
    <row r="103" spans="1:7" x14ac:dyDescent="0.25">
      <c r="A103" s="70">
        <v>45961</v>
      </c>
      <c r="B103" s="46">
        <f t="shared" si="10"/>
        <v>31</v>
      </c>
      <c r="C103" s="47">
        <f t="shared" si="27"/>
        <v>56121</v>
      </c>
      <c r="D103" s="48">
        <f t="shared" si="7"/>
        <v>54253.9</v>
      </c>
      <c r="E103" s="68">
        <f t="shared" si="8"/>
        <v>1867.1</v>
      </c>
      <c r="F103" s="47">
        <f t="shared" si="13"/>
        <v>219836.18999999986</v>
      </c>
      <c r="G103" s="47">
        <f t="shared" si="9"/>
        <v>165582.28999999986</v>
      </c>
    </row>
    <row r="104" spans="1:7" x14ac:dyDescent="0.25">
      <c r="A104" s="70">
        <v>45991</v>
      </c>
      <c r="B104" s="46">
        <f t="shared" si="10"/>
        <v>30</v>
      </c>
      <c r="C104" s="47">
        <f t="shared" si="27"/>
        <v>56121</v>
      </c>
      <c r="D104" s="48">
        <f t="shared" si="7"/>
        <v>54760.05</v>
      </c>
      <c r="E104" s="68">
        <f t="shared" si="8"/>
        <v>1360.95</v>
      </c>
      <c r="F104" s="47">
        <f t="shared" si="13"/>
        <v>165582.28999999986</v>
      </c>
      <c r="G104" s="47">
        <f t="shared" si="9"/>
        <v>110822.23999999986</v>
      </c>
    </row>
    <row r="105" spans="1:7" x14ac:dyDescent="0.25">
      <c r="A105" s="70">
        <v>46022</v>
      </c>
      <c r="B105" s="46">
        <f t="shared" si="10"/>
        <v>31</v>
      </c>
      <c r="C105" s="47">
        <f t="shared" si="27"/>
        <v>56121</v>
      </c>
      <c r="D105" s="48">
        <f t="shared" si="7"/>
        <v>55179.77</v>
      </c>
      <c r="E105" s="68">
        <f t="shared" si="8"/>
        <v>941.23</v>
      </c>
      <c r="F105" s="47">
        <f t="shared" si="13"/>
        <v>110822.23999999986</v>
      </c>
      <c r="G105" s="47">
        <f t="shared" si="9"/>
        <v>55642.469999999863</v>
      </c>
    </row>
    <row r="106" spans="1:7" x14ac:dyDescent="0.25">
      <c r="A106" s="70">
        <v>46053</v>
      </c>
      <c r="B106" s="46">
        <f t="shared" si="10"/>
        <v>31</v>
      </c>
      <c r="C106" s="47">
        <f t="shared" si="27"/>
        <v>56121</v>
      </c>
      <c r="D106" s="48">
        <f t="shared" si="7"/>
        <v>55642.469999999863</v>
      </c>
      <c r="E106" s="68">
        <v>478.53000000013532</v>
      </c>
      <c r="F106" s="47">
        <f t="shared" si="13"/>
        <v>55642.469999999863</v>
      </c>
      <c r="G106" s="47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052D30-B775-46D8-88EF-0E4C23C9A4ED}">
  <dimension ref="A1:P106"/>
  <sheetViews>
    <sheetView zoomScale="85" zoomScaleNormal="85" workbookViewId="0">
      <pane ySplit="3" topLeftCell="A90" activePane="bottomLeft" state="frozen"/>
      <selection activeCell="A3" sqref="A3"/>
      <selection pane="bottomLeft" activeCell="E106" sqref="E106"/>
    </sheetView>
  </sheetViews>
  <sheetFormatPr defaultRowHeight="15" x14ac:dyDescent="0.25"/>
  <cols>
    <col min="1" max="1" width="15.7109375" bestFit="1" customWidth="1"/>
    <col min="2" max="2" width="12.7109375" bestFit="1" customWidth="1"/>
    <col min="3" max="3" width="23.7109375" bestFit="1" customWidth="1"/>
    <col min="4" max="4" width="10.7109375" bestFit="1" customWidth="1"/>
    <col min="5" max="5" width="17.5703125" bestFit="1" customWidth="1"/>
    <col min="6" max="6" width="16" bestFit="1" customWidth="1"/>
    <col min="7" max="7" width="17.5703125" bestFit="1" customWidth="1"/>
    <col min="8" max="8" width="15.7109375" bestFit="1" customWidth="1"/>
    <col min="9" max="9" width="16.42578125" bestFit="1" customWidth="1"/>
    <col min="10" max="10" width="8.7109375" bestFit="1" customWidth="1"/>
    <col min="11" max="11" width="17.5703125" bestFit="1" customWidth="1"/>
    <col min="12" max="12" width="10.28515625" bestFit="1" customWidth="1"/>
    <col min="13" max="13" width="16.42578125" bestFit="1" customWidth="1"/>
    <col min="14" max="14" width="6.140625" bestFit="1" customWidth="1"/>
    <col min="15" max="15" width="15" bestFit="1" customWidth="1"/>
    <col min="16" max="16" width="6.140625" bestFit="1" customWidth="1"/>
  </cols>
  <sheetData>
    <row r="1" spans="1:16" x14ac:dyDescent="0.25">
      <c r="A1" s="17" t="s">
        <v>33</v>
      </c>
      <c r="B1" s="22">
        <v>44592</v>
      </c>
      <c r="C1" s="17" t="s">
        <v>37</v>
      </c>
      <c r="D1" s="79">
        <f>ROUNDUP(23770.2678531342,0)</f>
        <v>23771</v>
      </c>
      <c r="E1" s="73" t="s">
        <v>147</v>
      </c>
      <c r="F1" s="74">
        <v>44773</v>
      </c>
      <c r="G1" s="73" t="s">
        <v>150</v>
      </c>
      <c r="H1" s="79">
        <f>ROUNDUP(21442.8531468448,0)</f>
        <v>21443</v>
      </c>
      <c r="I1" s="73" t="s">
        <v>175</v>
      </c>
      <c r="J1" s="87">
        <v>0.1</v>
      </c>
      <c r="K1" s="73" t="s">
        <v>148</v>
      </c>
      <c r="L1" s="74">
        <v>45077</v>
      </c>
      <c r="M1" s="73" t="s">
        <v>149</v>
      </c>
      <c r="N1" s="69">
        <f>ROUNDUP(20079.8411378017,0)</f>
        <v>20080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45443</v>
      </c>
      <c r="E2" s="73" t="s">
        <v>177</v>
      </c>
      <c r="F2" s="69">
        <v>15000</v>
      </c>
      <c r="G2" s="73" t="s">
        <v>173</v>
      </c>
      <c r="H2" s="74">
        <v>45808</v>
      </c>
      <c r="I2" s="73" t="s">
        <v>174</v>
      </c>
      <c r="J2" s="89">
        <f>ROUNDUP(56087.0439220358,0)</f>
        <v>56088</v>
      </c>
      <c r="K2" s="73" t="s">
        <v>178</v>
      </c>
      <c r="L2" s="88">
        <v>48</v>
      </c>
    </row>
    <row r="3" spans="1:16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6" x14ac:dyDescent="0.25">
      <c r="A4" s="54">
        <v>44620</v>
      </c>
      <c r="B4" s="46">
        <f>DAYS360(B1,A4,TRUE)</f>
        <v>28</v>
      </c>
      <c r="C4" s="47">
        <f>$D$1</f>
        <v>23771</v>
      </c>
      <c r="D4" s="48">
        <f t="shared" ref="D4:D63" si="0">C4-E4</f>
        <v>12104.33</v>
      </c>
      <c r="E4" s="68">
        <f>ROUND(F4*$B$2*B4/360,2)</f>
        <v>11666.67</v>
      </c>
      <c r="F4" s="47">
        <v>1000000</v>
      </c>
      <c r="G4" s="47">
        <f t="shared" ref="G4" si="1">F4-D4</f>
        <v>987895.67</v>
      </c>
    </row>
    <row r="5" spans="1:16" x14ac:dyDescent="0.25">
      <c r="A5" s="54">
        <v>44648</v>
      </c>
      <c r="B5" s="46">
        <f>DAYS360(A4,A5,TRUE)</f>
        <v>30</v>
      </c>
      <c r="C5" s="47">
        <f>$D$1</f>
        <v>23771</v>
      </c>
      <c r="D5" s="48">
        <f t="shared" si="0"/>
        <v>11422.3</v>
      </c>
      <c r="E5" s="68">
        <f>ROUND(F5*$B$2*B5/360,2)</f>
        <v>12348.7</v>
      </c>
      <c r="F5" s="47">
        <f>G4</f>
        <v>987895.67</v>
      </c>
      <c r="G5" s="47">
        <f>F5-D5</f>
        <v>976473.37</v>
      </c>
    </row>
    <row r="6" spans="1:16" x14ac:dyDescent="0.25">
      <c r="A6" s="54">
        <v>44679</v>
      </c>
      <c r="B6" s="46">
        <f t="shared" ref="B6:B70" si="2">DAYS360(A5,A6,TRUE)</f>
        <v>30</v>
      </c>
      <c r="C6" s="47">
        <f t="shared" ref="C6:C64" si="3">$D$1</f>
        <v>23771</v>
      </c>
      <c r="D6" s="48">
        <f t="shared" si="0"/>
        <v>11565.08</v>
      </c>
      <c r="E6" s="68">
        <f t="shared" ref="E6:E62" si="4">ROUND(F6*$B$2*B6/360,2)</f>
        <v>12205.92</v>
      </c>
      <c r="F6" s="47">
        <f t="shared" ref="F6:F63" si="5">G5</f>
        <v>976473.37</v>
      </c>
      <c r="G6" s="47">
        <f t="shared" ref="G6:G63" si="6">F6-D6</f>
        <v>964908.29</v>
      </c>
    </row>
    <row r="7" spans="1:16" x14ac:dyDescent="0.25">
      <c r="A7" s="54">
        <v>44709</v>
      </c>
      <c r="B7" s="46">
        <f t="shared" si="2"/>
        <v>30</v>
      </c>
      <c r="C7" s="47">
        <f t="shared" si="3"/>
        <v>23771</v>
      </c>
      <c r="D7" s="48">
        <f t="shared" si="0"/>
        <v>11709.65</v>
      </c>
      <c r="E7" s="68">
        <f t="shared" si="4"/>
        <v>12061.35</v>
      </c>
      <c r="F7" s="47">
        <f t="shared" si="5"/>
        <v>964908.29</v>
      </c>
      <c r="G7" s="47">
        <f t="shared" si="6"/>
        <v>953198.64</v>
      </c>
    </row>
    <row r="8" spans="1:16" x14ac:dyDescent="0.25">
      <c r="A8" s="54">
        <v>44740</v>
      </c>
      <c r="B8" s="46">
        <f t="shared" si="2"/>
        <v>30</v>
      </c>
      <c r="C8" s="47">
        <f t="shared" si="3"/>
        <v>23771</v>
      </c>
      <c r="D8" s="48">
        <f t="shared" si="0"/>
        <v>11856.02</v>
      </c>
      <c r="E8" s="68">
        <f t="shared" si="4"/>
        <v>11914.98</v>
      </c>
      <c r="F8" s="47">
        <f t="shared" si="5"/>
        <v>953198.64</v>
      </c>
      <c r="G8" s="47">
        <f t="shared" si="6"/>
        <v>941342.62</v>
      </c>
    </row>
    <row r="9" spans="1:16" x14ac:dyDescent="0.25">
      <c r="A9" s="54">
        <v>44770</v>
      </c>
      <c r="B9" s="46">
        <f t="shared" si="2"/>
        <v>30</v>
      </c>
      <c r="C9" s="47">
        <f t="shared" si="3"/>
        <v>23771</v>
      </c>
      <c r="D9" s="48">
        <f t="shared" si="0"/>
        <v>12004.22</v>
      </c>
      <c r="E9" s="68">
        <f t="shared" si="4"/>
        <v>11766.78</v>
      </c>
      <c r="F9" s="47">
        <f t="shared" si="5"/>
        <v>941342.62</v>
      </c>
      <c r="G9" s="47">
        <f t="shared" si="6"/>
        <v>929338.4</v>
      </c>
    </row>
    <row r="10" spans="1:16" x14ac:dyDescent="0.25">
      <c r="A10" s="54">
        <v>44801</v>
      </c>
      <c r="B10" s="46">
        <f t="shared" si="2"/>
        <v>30</v>
      </c>
      <c r="C10" s="47">
        <f t="shared" si="3"/>
        <v>23771</v>
      </c>
      <c r="D10" s="48">
        <f t="shared" si="0"/>
        <v>12154.27</v>
      </c>
      <c r="E10" s="68">
        <f t="shared" si="4"/>
        <v>11616.73</v>
      </c>
      <c r="F10" s="47">
        <f t="shared" si="5"/>
        <v>929338.4</v>
      </c>
      <c r="G10" s="47">
        <f t="shared" si="6"/>
        <v>917184.13</v>
      </c>
    </row>
    <row r="11" spans="1:16" x14ac:dyDescent="0.25">
      <c r="A11" s="54">
        <v>44832</v>
      </c>
      <c r="B11" s="46">
        <f t="shared" si="2"/>
        <v>30</v>
      </c>
      <c r="C11" s="47">
        <f t="shared" si="3"/>
        <v>23771</v>
      </c>
      <c r="D11" s="48">
        <f t="shared" si="0"/>
        <v>12306.2</v>
      </c>
      <c r="E11" s="68">
        <f t="shared" si="4"/>
        <v>11464.8</v>
      </c>
      <c r="F11" s="47">
        <f t="shared" si="5"/>
        <v>917184.13</v>
      </c>
      <c r="G11" s="47">
        <f t="shared" si="6"/>
        <v>904877.93</v>
      </c>
    </row>
    <row r="12" spans="1:16" x14ac:dyDescent="0.25">
      <c r="A12" s="54">
        <v>44862</v>
      </c>
      <c r="B12" s="46">
        <f t="shared" si="2"/>
        <v>30</v>
      </c>
      <c r="C12" s="47">
        <f t="shared" si="3"/>
        <v>23771</v>
      </c>
      <c r="D12" s="48">
        <f t="shared" si="0"/>
        <v>12460.03</v>
      </c>
      <c r="E12" s="68">
        <f t="shared" si="4"/>
        <v>11310.97</v>
      </c>
      <c r="F12" s="47">
        <f t="shared" si="5"/>
        <v>904877.93</v>
      </c>
      <c r="G12" s="47">
        <f t="shared" si="6"/>
        <v>892417.9</v>
      </c>
    </row>
    <row r="13" spans="1:16" x14ac:dyDescent="0.25">
      <c r="A13" s="54">
        <v>44893</v>
      </c>
      <c r="B13" s="46">
        <f t="shared" si="2"/>
        <v>30</v>
      </c>
      <c r="C13" s="47">
        <f t="shared" si="3"/>
        <v>23771</v>
      </c>
      <c r="D13" s="48">
        <f t="shared" si="0"/>
        <v>12615.78</v>
      </c>
      <c r="E13" s="68">
        <f t="shared" si="4"/>
        <v>11155.22</v>
      </c>
      <c r="F13" s="47">
        <f t="shared" si="5"/>
        <v>892417.9</v>
      </c>
      <c r="G13" s="47">
        <f t="shared" si="6"/>
        <v>879802.12</v>
      </c>
    </row>
    <row r="14" spans="1:16" x14ac:dyDescent="0.25">
      <c r="A14" s="54">
        <v>44923</v>
      </c>
      <c r="B14" s="46">
        <f t="shared" si="2"/>
        <v>30</v>
      </c>
      <c r="C14" s="47">
        <f t="shared" si="3"/>
        <v>23771</v>
      </c>
      <c r="D14" s="48">
        <f t="shared" si="0"/>
        <v>12773.47</v>
      </c>
      <c r="E14" s="68">
        <f t="shared" si="4"/>
        <v>10997.53</v>
      </c>
      <c r="F14" s="47">
        <f t="shared" si="5"/>
        <v>879802.12</v>
      </c>
      <c r="G14" s="47">
        <f t="shared" si="6"/>
        <v>867028.65</v>
      </c>
    </row>
    <row r="15" spans="1:16" x14ac:dyDescent="0.25">
      <c r="A15" s="54">
        <v>44954</v>
      </c>
      <c r="B15" s="46">
        <f t="shared" si="2"/>
        <v>30</v>
      </c>
      <c r="C15" s="47">
        <f t="shared" si="3"/>
        <v>23771</v>
      </c>
      <c r="D15" s="48">
        <f t="shared" si="0"/>
        <v>12933.14</v>
      </c>
      <c r="E15" s="68">
        <f t="shared" si="4"/>
        <v>10837.86</v>
      </c>
      <c r="F15" s="47">
        <f t="shared" si="5"/>
        <v>867028.65</v>
      </c>
      <c r="G15" s="47">
        <f t="shared" si="6"/>
        <v>854095.51</v>
      </c>
    </row>
    <row r="16" spans="1:16" x14ac:dyDescent="0.25">
      <c r="A16" s="54">
        <v>44985</v>
      </c>
      <c r="B16" s="46">
        <f t="shared" si="2"/>
        <v>30</v>
      </c>
      <c r="C16" s="47">
        <f t="shared" si="3"/>
        <v>23771</v>
      </c>
      <c r="D16" s="48">
        <f t="shared" si="0"/>
        <v>13094.81</v>
      </c>
      <c r="E16" s="68">
        <f t="shared" si="4"/>
        <v>10676.19</v>
      </c>
      <c r="F16" s="47">
        <f t="shared" si="5"/>
        <v>854095.51</v>
      </c>
      <c r="G16" s="47">
        <f t="shared" si="6"/>
        <v>841000.7</v>
      </c>
    </row>
    <row r="17" spans="1:7" x14ac:dyDescent="0.25">
      <c r="A17" s="54">
        <v>45013</v>
      </c>
      <c r="B17" s="46">
        <f t="shared" si="2"/>
        <v>30</v>
      </c>
      <c r="C17" s="47">
        <f t="shared" si="3"/>
        <v>23771</v>
      </c>
      <c r="D17" s="48">
        <f t="shared" si="0"/>
        <v>13258.49</v>
      </c>
      <c r="E17" s="68">
        <f t="shared" si="4"/>
        <v>10512.51</v>
      </c>
      <c r="F17" s="47">
        <f t="shared" si="5"/>
        <v>841000.7</v>
      </c>
      <c r="G17" s="47">
        <f t="shared" si="6"/>
        <v>827742.21</v>
      </c>
    </row>
    <row r="18" spans="1:7" x14ac:dyDescent="0.25">
      <c r="A18" s="54">
        <v>45044</v>
      </c>
      <c r="B18" s="46">
        <f t="shared" si="2"/>
        <v>30</v>
      </c>
      <c r="C18" s="47">
        <f t="shared" si="3"/>
        <v>23771</v>
      </c>
      <c r="D18" s="48">
        <f t="shared" si="0"/>
        <v>13424.22</v>
      </c>
      <c r="E18" s="68">
        <f t="shared" si="4"/>
        <v>10346.780000000001</v>
      </c>
      <c r="F18" s="47">
        <f t="shared" si="5"/>
        <v>827742.21</v>
      </c>
      <c r="G18" s="47">
        <f t="shared" si="6"/>
        <v>814317.99</v>
      </c>
    </row>
    <row r="19" spans="1:7" x14ac:dyDescent="0.25">
      <c r="A19" s="54">
        <v>45074</v>
      </c>
      <c r="B19" s="46">
        <f t="shared" si="2"/>
        <v>30</v>
      </c>
      <c r="C19" s="47">
        <f t="shared" si="3"/>
        <v>23771</v>
      </c>
      <c r="D19" s="48">
        <f t="shared" si="0"/>
        <v>13592.03</v>
      </c>
      <c r="E19" s="68">
        <f t="shared" si="4"/>
        <v>10178.969999999999</v>
      </c>
      <c r="F19" s="47">
        <f t="shared" si="5"/>
        <v>814317.99</v>
      </c>
      <c r="G19" s="47">
        <f t="shared" si="6"/>
        <v>800725.96</v>
      </c>
    </row>
    <row r="20" spans="1:7" x14ac:dyDescent="0.25">
      <c r="A20" s="54">
        <v>45105</v>
      </c>
      <c r="B20" s="46">
        <f t="shared" si="2"/>
        <v>30</v>
      </c>
      <c r="C20" s="47">
        <f t="shared" si="3"/>
        <v>23771</v>
      </c>
      <c r="D20" s="48">
        <f t="shared" si="0"/>
        <v>13761.93</v>
      </c>
      <c r="E20" s="68">
        <f t="shared" si="4"/>
        <v>10009.07</v>
      </c>
      <c r="F20" s="47">
        <f t="shared" si="5"/>
        <v>800725.96</v>
      </c>
      <c r="G20" s="47">
        <f t="shared" si="6"/>
        <v>786964.02999999991</v>
      </c>
    </row>
    <row r="21" spans="1:7" x14ac:dyDescent="0.25">
      <c r="A21" s="54">
        <v>45135</v>
      </c>
      <c r="B21" s="46">
        <f t="shared" si="2"/>
        <v>30</v>
      </c>
      <c r="C21" s="47">
        <f t="shared" si="3"/>
        <v>23771</v>
      </c>
      <c r="D21" s="48">
        <f t="shared" si="0"/>
        <v>13933.95</v>
      </c>
      <c r="E21" s="68">
        <f t="shared" si="4"/>
        <v>9837.0499999999993</v>
      </c>
      <c r="F21" s="47">
        <f t="shared" si="5"/>
        <v>786964.02999999991</v>
      </c>
      <c r="G21" s="47">
        <f t="shared" si="6"/>
        <v>773030.08</v>
      </c>
    </row>
    <row r="22" spans="1:7" x14ac:dyDescent="0.25">
      <c r="A22" s="54">
        <v>45166</v>
      </c>
      <c r="B22" s="46">
        <f t="shared" si="2"/>
        <v>30</v>
      </c>
      <c r="C22" s="47">
        <f t="shared" si="3"/>
        <v>23771</v>
      </c>
      <c r="D22" s="48">
        <f t="shared" si="0"/>
        <v>14108.12</v>
      </c>
      <c r="E22" s="68">
        <f t="shared" si="4"/>
        <v>9662.8799999999992</v>
      </c>
      <c r="F22" s="47">
        <f t="shared" si="5"/>
        <v>773030.08</v>
      </c>
      <c r="G22" s="47">
        <f t="shared" si="6"/>
        <v>758921.96</v>
      </c>
    </row>
    <row r="23" spans="1:7" x14ac:dyDescent="0.25">
      <c r="A23" s="54">
        <v>45197</v>
      </c>
      <c r="B23" s="46">
        <f t="shared" si="2"/>
        <v>30</v>
      </c>
      <c r="C23" s="47">
        <f t="shared" si="3"/>
        <v>23771</v>
      </c>
      <c r="D23" s="48">
        <f t="shared" si="0"/>
        <v>14284.48</v>
      </c>
      <c r="E23" s="68">
        <f t="shared" si="4"/>
        <v>9486.52</v>
      </c>
      <c r="F23" s="47">
        <f t="shared" si="5"/>
        <v>758921.96</v>
      </c>
      <c r="G23" s="47">
        <f t="shared" si="6"/>
        <v>744637.48</v>
      </c>
    </row>
    <row r="24" spans="1:7" x14ac:dyDescent="0.25">
      <c r="A24" s="54">
        <v>45227</v>
      </c>
      <c r="B24" s="46">
        <f t="shared" si="2"/>
        <v>30</v>
      </c>
      <c r="C24" s="47">
        <f t="shared" si="3"/>
        <v>23771</v>
      </c>
      <c r="D24" s="48">
        <f t="shared" si="0"/>
        <v>14463.03</v>
      </c>
      <c r="E24" s="68">
        <f t="shared" si="4"/>
        <v>9307.9699999999993</v>
      </c>
      <c r="F24" s="47">
        <f t="shared" si="5"/>
        <v>744637.48</v>
      </c>
      <c r="G24" s="47">
        <f t="shared" si="6"/>
        <v>730174.45</v>
      </c>
    </row>
    <row r="25" spans="1:7" x14ac:dyDescent="0.25">
      <c r="A25" s="54">
        <v>45258</v>
      </c>
      <c r="B25" s="46">
        <f t="shared" si="2"/>
        <v>30</v>
      </c>
      <c r="C25" s="47">
        <f t="shared" si="3"/>
        <v>23771</v>
      </c>
      <c r="D25" s="48">
        <f t="shared" si="0"/>
        <v>14643.82</v>
      </c>
      <c r="E25" s="68">
        <f t="shared" si="4"/>
        <v>9127.18</v>
      </c>
      <c r="F25" s="47">
        <f t="shared" si="5"/>
        <v>730174.45</v>
      </c>
      <c r="G25" s="47">
        <f t="shared" si="6"/>
        <v>715530.63</v>
      </c>
    </row>
    <row r="26" spans="1:7" x14ac:dyDescent="0.25">
      <c r="A26" s="54">
        <v>45288</v>
      </c>
      <c r="B26" s="46">
        <f t="shared" si="2"/>
        <v>30</v>
      </c>
      <c r="C26" s="47">
        <f t="shared" si="3"/>
        <v>23771</v>
      </c>
      <c r="D26" s="48">
        <f t="shared" si="0"/>
        <v>14826.87</v>
      </c>
      <c r="E26" s="68">
        <f t="shared" si="4"/>
        <v>8944.1299999999992</v>
      </c>
      <c r="F26" s="47">
        <f t="shared" si="5"/>
        <v>715530.63</v>
      </c>
      <c r="G26" s="47">
        <f t="shared" si="6"/>
        <v>700703.76</v>
      </c>
    </row>
    <row r="27" spans="1:7" x14ac:dyDescent="0.25">
      <c r="A27" s="54">
        <v>45319</v>
      </c>
      <c r="B27" s="46">
        <f t="shared" si="2"/>
        <v>30</v>
      </c>
      <c r="C27" s="47">
        <f t="shared" si="3"/>
        <v>23771</v>
      </c>
      <c r="D27" s="48">
        <f t="shared" si="0"/>
        <v>15012.2</v>
      </c>
      <c r="E27" s="68">
        <f t="shared" si="4"/>
        <v>8758.7999999999993</v>
      </c>
      <c r="F27" s="47">
        <f t="shared" si="5"/>
        <v>700703.76</v>
      </c>
      <c r="G27" s="47">
        <f t="shared" si="6"/>
        <v>685691.56</v>
      </c>
    </row>
    <row r="28" spans="1:7" x14ac:dyDescent="0.25">
      <c r="A28" s="54">
        <v>45350</v>
      </c>
      <c r="B28" s="46">
        <f t="shared" si="2"/>
        <v>30</v>
      </c>
      <c r="C28" s="47">
        <f t="shared" si="3"/>
        <v>23771</v>
      </c>
      <c r="D28" s="48">
        <f t="shared" si="0"/>
        <v>15199.86</v>
      </c>
      <c r="E28" s="68">
        <f t="shared" si="4"/>
        <v>8571.14</v>
      </c>
      <c r="F28" s="47">
        <f t="shared" si="5"/>
        <v>685691.56</v>
      </c>
      <c r="G28" s="47">
        <f t="shared" si="6"/>
        <v>670491.70000000007</v>
      </c>
    </row>
    <row r="29" spans="1:7" x14ac:dyDescent="0.25">
      <c r="A29" s="54">
        <v>45379</v>
      </c>
      <c r="B29" s="46">
        <f t="shared" si="2"/>
        <v>30</v>
      </c>
      <c r="C29" s="47">
        <f t="shared" si="3"/>
        <v>23771</v>
      </c>
      <c r="D29" s="48">
        <f t="shared" si="0"/>
        <v>15389.85</v>
      </c>
      <c r="E29" s="68">
        <f t="shared" si="4"/>
        <v>8381.15</v>
      </c>
      <c r="F29" s="47">
        <f t="shared" si="5"/>
        <v>670491.70000000007</v>
      </c>
      <c r="G29" s="47">
        <f t="shared" si="6"/>
        <v>655101.85000000009</v>
      </c>
    </row>
    <row r="30" spans="1:7" x14ac:dyDescent="0.25">
      <c r="A30" s="54">
        <v>45410</v>
      </c>
      <c r="B30" s="46">
        <f t="shared" si="2"/>
        <v>30</v>
      </c>
      <c r="C30" s="47">
        <f t="shared" si="3"/>
        <v>23771</v>
      </c>
      <c r="D30" s="48">
        <f t="shared" si="0"/>
        <v>15582.23</v>
      </c>
      <c r="E30" s="68">
        <f t="shared" si="4"/>
        <v>8188.77</v>
      </c>
      <c r="F30" s="47">
        <f t="shared" si="5"/>
        <v>655101.85000000009</v>
      </c>
      <c r="G30" s="47">
        <f t="shared" si="6"/>
        <v>639519.62000000011</v>
      </c>
    </row>
    <row r="31" spans="1:7" x14ac:dyDescent="0.25">
      <c r="A31" s="54">
        <v>45440</v>
      </c>
      <c r="B31" s="46">
        <f t="shared" si="2"/>
        <v>30</v>
      </c>
      <c r="C31" s="47">
        <f t="shared" si="3"/>
        <v>23771</v>
      </c>
      <c r="D31" s="48">
        <f t="shared" si="0"/>
        <v>15777</v>
      </c>
      <c r="E31" s="68">
        <f t="shared" si="4"/>
        <v>7994</v>
      </c>
      <c r="F31" s="47">
        <f t="shared" si="5"/>
        <v>639519.62000000011</v>
      </c>
      <c r="G31" s="47">
        <f t="shared" si="6"/>
        <v>623742.62000000011</v>
      </c>
    </row>
    <row r="32" spans="1:7" x14ac:dyDescent="0.25">
      <c r="A32" s="54">
        <v>45471</v>
      </c>
      <c r="B32" s="46">
        <f t="shared" si="2"/>
        <v>30</v>
      </c>
      <c r="C32" s="47">
        <f t="shared" si="3"/>
        <v>23771</v>
      </c>
      <c r="D32" s="48">
        <f t="shared" si="0"/>
        <v>15974.220000000001</v>
      </c>
      <c r="E32" s="68">
        <f t="shared" si="4"/>
        <v>7796.78</v>
      </c>
      <c r="F32" s="47">
        <f t="shared" si="5"/>
        <v>623742.62000000011</v>
      </c>
      <c r="G32" s="47">
        <f t="shared" si="6"/>
        <v>607768.40000000014</v>
      </c>
    </row>
    <row r="33" spans="1:7" x14ac:dyDescent="0.25">
      <c r="A33" s="54">
        <v>45501</v>
      </c>
      <c r="B33" s="46">
        <f t="shared" si="2"/>
        <v>30</v>
      </c>
      <c r="C33" s="47">
        <f t="shared" si="3"/>
        <v>23771</v>
      </c>
      <c r="D33" s="48">
        <f t="shared" si="0"/>
        <v>16173.89</v>
      </c>
      <c r="E33" s="68">
        <f t="shared" si="4"/>
        <v>7597.11</v>
      </c>
      <c r="F33" s="47">
        <f t="shared" si="5"/>
        <v>607768.40000000014</v>
      </c>
      <c r="G33" s="47">
        <f t="shared" si="6"/>
        <v>591594.51000000013</v>
      </c>
    </row>
    <row r="34" spans="1:7" x14ac:dyDescent="0.25">
      <c r="A34" s="54">
        <v>45532</v>
      </c>
      <c r="B34" s="46">
        <f t="shared" si="2"/>
        <v>30</v>
      </c>
      <c r="C34" s="47">
        <f t="shared" si="3"/>
        <v>23771</v>
      </c>
      <c r="D34" s="48">
        <f t="shared" si="0"/>
        <v>16376.07</v>
      </c>
      <c r="E34" s="68">
        <f t="shared" si="4"/>
        <v>7394.93</v>
      </c>
      <c r="F34" s="47">
        <f t="shared" si="5"/>
        <v>591594.51000000013</v>
      </c>
      <c r="G34" s="47">
        <f t="shared" si="6"/>
        <v>575218.44000000018</v>
      </c>
    </row>
    <row r="35" spans="1:7" x14ac:dyDescent="0.25">
      <c r="A35" s="54">
        <v>45563</v>
      </c>
      <c r="B35" s="46">
        <f t="shared" si="2"/>
        <v>30</v>
      </c>
      <c r="C35" s="47">
        <f t="shared" si="3"/>
        <v>23771</v>
      </c>
      <c r="D35" s="48">
        <f t="shared" si="0"/>
        <v>16580.77</v>
      </c>
      <c r="E35" s="68">
        <f t="shared" si="4"/>
        <v>7190.23</v>
      </c>
      <c r="F35" s="47">
        <f t="shared" si="5"/>
        <v>575218.44000000018</v>
      </c>
      <c r="G35" s="47">
        <f t="shared" si="6"/>
        <v>558637.67000000016</v>
      </c>
    </row>
    <row r="36" spans="1:7" x14ac:dyDescent="0.25">
      <c r="A36" s="54">
        <v>45593</v>
      </c>
      <c r="B36" s="46">
        <f t="shared" si="2"/>
        <v>30</v>
      </c>
      <c r="C36" s="47">
        <f t="shared" si="3"/>
        <v>23771</v>
      </c>
      <c r="D36" s="48">
        <f t="shared" si="0"/>
        <v>16788.03</v>
      </c>
      <c r="E36" s="68">
        <f t="shared" si="4"/>
        <v>6982.97</v>
      </c>
      <c r="F36" s="47">
        <f t="shared" si="5"/>
        <v>558637.67000000016</v>
      </c>
      <c r="G36" s="47">
        <f t="shared" si="6"/>
        <v>541849.64000000013</v>
      </c>
    </row>
    <row r="37" spans="1:7" x14ac:dyDescent="0.25">
      <c r="A37" s="54">
        <v>45624</v>
      </c>
      <c r="B37" s="46">
        <f t="shared" si="2"/>
        <v>30</v>
      </c>
      <c r="C37" s="47">
        <f t="shared" si="3"/>
        <v>23771</v>
      </c>
      <c r="D37" s="48">
        <f t="shared" si="0"/>
        <v>16997.88</v>
      </c>
      <c r="E37" s="68">
        <f t="shared" si="4"/>
        <v>6773.12</v>
      </c>
      <c r="F37" s="47">
        <f t="shared" si="5"/>
        <v>541849.64000000013</v>
      </c>
      <c r="G37" s="47">
        <f t="shared" si="6"/>
        <v>524851.76000000013</v>
      </c>
    </row>
    <row r="38" spans="1:7" x14ac:dyDescent="0.25">
      <c r="A38" s="54">
        <v>45654</v>
      </c>
      <c r="B38" s="46">
        <f t="shared" si="2"/>
        <v>30</v>
      </c>
      <c r="C38" s="47">
        <f t="shared" si="3"/>
        <v>23771</v>
      </c>
      <c r="D38" s="48">
        <f t="shared" si="0"/>
        <v>17210.349999999999</v>
      </c>
      <c r="E38" s="68">
        <f t="shared" si="4"/>
        <v>6560.65</v>
      </c>
      <c r="F38" s="47">
        <f t="shared" si="5"/>
        <v>524851.76000000013</v>
      </c>
      <c r="G38" s="47">
        <f t="shared" si="6"/>
        <v>507641.41000000015</v>
      </c>
    </row>
    <row r="39" spans="1:7" x14ac:dyDescent="0.25">
      <c r="A39" s="54">
        <v>45685</v>
      </c>
      <c r="B39" s="46">
        <f t="shared" si="2"/>
        <v>30</v>
      </c>
      <c r="C39" s="47">
        <f t="shared" si="3"/>
        <v>23771</v>
      </c>
      <c r="D39" s="48">
        <f t="shared" si="0"/>
        <v>17425.48</v>
      </c>
      <c r="E39" s="68">
        <f t="shared" si="4"/>
        <v>6345.52</v>
      </c>
      <c r="F39" s="47">
        <f t="shared" si="5"/>
        <v>507641.41000000015</v>
      </c>
      <c r="G39" s="47">
        <f t="shared" si="6"/>
        <v>490215.93000000017</v>
      </c>
    </row>
    <row r="40" spans="1:7" x14ac:dyDescent="0.25">
      <c r="A40" s="54">
        <v>45716</v>
      </c>
      <c r="B40" s="46">
        <f t="shared" si="2"/>
        <v>30</v>
      </c>
      <c r="C40" s="47">
        <f t="shared" si="3"/>
        <v>23771</v>
      </c>
      <c r="D40" s="48">
        <f t="shared" si="0"/>
        <v>17643.3</v>
      </c>
      <c r="E40" s="68">
        <f t="shared" si="4"/>
        <v>6127.7</v>
      </c>
      <c r="F40" s="47">
        <f t="shared" si="5"/>
        <v>490215.93000000017</v>
      </c>
      <c r="G40" s="47">
        <f t="shared" si="6"/>
        <v>472572.63000000018</v>
      </c>
    </row>
    <row r="41" spans="1:7" x14ac:dyDescent="0.25">
      <c r="A41" s="54">
        <v>45744</v>
      </c>
      <c r="B41" s="46">
        <f t="shared" si="2"/>
        <v>30</v>
      </c>
      <c r="C41" s="47">
        <f t="shared" si="3"/>
        <v>23771</v>
      </c>
      <c r="D41" s="48">
        <f t="shared" si="0"/>
        <v>17863.84</v>
      </c>
      <c r="E41" s="68">
        <f t="shared" si="4"/>
        <v>5907.16</v>
      </c>
      <c r="F41" s="47">
        <f t="shared" si="5"/>
        <v>472572.63000000018</v>
      </c>
      <c r="G41" s="47">
        <f t="shared" si="6"/>
        <v>454708.79000000015</v>
      </c>
    </row>
    <row r="42" spans="1:7" x14ac:dyDescent="0.25">
      <c r="A42" s="54">
        <v>45775</v>
      </c>
      <c r="B42" s="46">
        <f t="shared" si="2"/>
        <v>30</v>
      </c>
      <c r="C42" s="47">
        <f t="shared" si="3"/>
        <v>23771</v>
      </c>
      <c r="D42" s="48">
        <f t="shared" si="0"/>
        <v>18087.14</v>
      </c>
      <c r="E42" s="68">
        <f t="shared" si="4"/>
        <v>5683.86</v>
      </c>
      <c r="F42" s="47">
        <f t="shared" si="5"/>
        <v>454708.79000000015</v>
      </c>
      <c r="G42" s="47">
        <f t="shared" si="6"/>
        <v>436621.65000000014</v>
      </c>
    </row>
    <row r="43" spans="1:7" x14ac:dyDescent="0.25">
      <c r="A43" s="54">
        <v>45805</v>
      </c>
      <c r="B43" s="46">
        <f t="shared" si="2"/>
        <v>30</v>
      </c>
      <c r="C43" s="47">
        <f t="shared" si="3"/>
        <v>23771</v>
      </c>
      <c r="D43" s="48">
        <f t="shared" si="0"/>
        <v>18313.23</v>
      </c>
      <c r="E43" s="68">
        <f t="shared" si="4"/>
        <v>5457.77</v>
      </c>
      <c r="F43" s="47">
        <f t="shared" si="5"/>
        <v>436621.65000000014</v>
      </c>
      <c r="G43" s="47">
        <f t="shared" si="6"/>
        <v>418308.42000000016</v>
      </c>
    </row>
    <row r="44" spans="1:7" x14ac:dyDescent="0.25">
      <c r="A44" s="54">
        <v>45836</v>
      </c>
      <c r="B44" s="46">
        <f t="shared" si="2"/>
        <v>30</v>
      </c>
      <c r="C44" s="47">
        <f t="shared" si="3"/>
        <v>23771</v>
      </c>
      <c r="D44" s="48">
        <f t="shared" si="0"/>
        <v>18542.14</v>
      </c>
      <c r="E44" s="68">
        <f t="shared" si="4"/>
        <v>5228.8599999999997</v>
      </c>
      <c r="F44" s="47">
        <f t="shared" si="5"/>
        <v>418308.42000000016</v>
      </c>
      <c r="G44" s="47">
        <f t="shared" si="6"/>
        <v>399766.28000000014</v>
      </c>
    </row>
    <row r="45" spans="1:7" x14ac:dyDescent="0.25">
      <c r="A45" s="54">
        <v>45866</v>
      </c>
      <c r="B45" s="46">
        <f t="shared" si="2"/>
        <v>30</v>
      </c>
      <c r="C45" s="47">
        <f t="shared" si="3"/>
        <v>23771</v>
      </c>
      <c r="D45" s="48">
        <f t="shared" si="0"/>
        <v>18773.919999999998</v>
      </c>
      <c r="E45" s="68">
        <f t="shared" si="4"/>
        <v>4997.08</v>
      </c>
      <c r="F45" s="47">
        <f t="shared" si="5"/>
        <v>399766.28000000014</v>
      </c>
      <c r="G45" s="47">
        <f t="shared" si="6"/>
        <v>380992.36000000016</v>
      </c>
    </row>
    <row r="46" spans="1:7" x14ac:dyDescent="0.25">
      <c r="A46" s="54">
        <v>45897</v>
      </c>
      <c r="B46" s="46">
        <f t="shared" si="2"/>
        <v>30</v>
      </c>
      <c r="C46" s="47">
        <f t="shared" si="3"/>
        <v>23771</v>
      </c>
      <c r="D46" s="48">
        <f t="shared" si="0"/>
        <v>19008.599999999999</v>
      </c>
      <c r="E46" s="68">
        <f t="shared" si="4"/>
        <v>4762.3999999999996</v>
      </c>
      <c r="F46" s="47">
        <f t="shared" si="5"/>
        <v>380992.36000000016</v>
      </c>
      <c r="G46" s="47">
        <f t="shared" si="6"/>
        <v>361983.76000000018</v>
      </c>
    </row>
    <row r="47" spans="1:7" x14ac:dyDescent="0.25">
      <c r="A47" s="54">
        <v>45928</v>
      </c>
      <c r="B47" s="46">
        <f t="shared" si="2"/>
        <v>30</v>
      </c>
      <c r="C47" s="47">
        <f t="shared" si="3"/>
        <v>23771</v>
      </c>
      <c r="D47" s="48">
        <f t="shared" si="0"/>
        <v>19246.2</v>
      </c>
      <c r="E47" s="68">
        <f t="shared" si="4"/>
        <v>4524.8</v>
      </c>
      <c r="F47" s="47">
        <f t="shared" si="5"/>
        <v>361983.76000000018</v>
      </c>
      <c r="G47" s="47">
        <f t="shared" si="6"/>
        <v>342737.56000000017</v>
      </c>
    </row>
    <row r="48" spans="1:7" x14ac:dyDescent="0.25">
      <c r="A48" s="54">
        <v>45958</v>
      </c>
      <c r="B48" s="46">
        <f t="shared" si="2"/>
        <v>30</v>
      </c>
      <c r="C48" s="47">
        <f t="shared" si="3"/>
        <v>23771</v>
      </c>
      <c r="D48" s="48">
        <f t="shared" si="0"/>
        <v>19486.78</v>
      </c>
      <c r="E48" s="68">
        <f t="shared" si="4"/>
        <v>4284.22</v>
      </c>
      <c r="F48" s="47">
        <f t="shared" si="5"/>
        <v>342737.56000000017</v>
      </c>
      <c r="G48" s="47">
        <f t="shared" si="6"/>
        <v>323250.78000000014</v>
      </c>
    </row>
    <row r="49" spans="1:7" x14ac:dyDescent="0.25">
      <c r="A49" s="54">
        <v>45989</v>
      </c>
      <c r="B49" s="46">
        <f t="shared" si="2"/>
        <v>30</v>
      </c>
      <c r="C49" s="47">
        <f t="shared" si="3"/>
        <v>23771</v>
      </c>
      <c r="D49" s="48">
        <f t="shared" si="0"/>
        <v>19730.37</v>
      </c>
      <c r="E49" s="68">
        <f t="shared" si="4"/>
        <v>4040.63</v>
      </c>
      <c r="F49" s="47">
        <f t="shared" si="5"/>
        <v>323250.78000000014</v>
      </c>
      <c r="G49" s="47">
        <f t="shared" si="6"/>
        <v>303520.41000000015</v>
      </c>
    </row>
    <row r="50" spans="1:7" x14ac:dyDescent="0.25">
      <c r="A50" s="54">
        <v>46019</v>
      </c>
      <c r="B50" s="46">
        <f t="shared" si="2"/>
        <v>30</v>
      </c>
      <c r="C50" s="47">
        <f t="shared" si="3"/>
        <v>23771</v>
      </c>
      <c r="D50" s="48">
        <f t="shared" si="0"/>
        <v>19976.989999999998</v>
      </c>
      <c r="E50" s="68">
        <f t="shared" si="4"/>
        <v>3794.01</v>
      </c>
      <c r="F50" s="47">
        <f t="shared" si="5"/>
        <v>303520.41000000015</v>
      </c>
      <c r="G50" s="47">
        <f t="shared" si="6"/>
        <v>283543.42000000016</v>
      </c>
    </row>
    <row r="51" spans="1:7" x14ac:dyDescent="0.25">
      <c r="A51" s="54">
        <v>46050</v>
      </c>
      <c r="B51" s="46">
        <f t="shared" si="2"/>
        <v>30</v>
      </c>
      <c r="C51" s="47">
        <f t="shared" si="3"/>
        <v>23771</v>
      </c>
      <c r="D51" s="48">
        <f t="shared" si="0"/>
        <v>20226.71</v>
      </c>
      <c r="E51" s="68">
        <f t="shared" si="4"/>
        <v>3544.29</v>
      </c>
      <c r="F51" s="47">
        <f t="shared" si="5"/>
        <v>283543.42000000016</v>
      </c>
      <c r="G51" s="47">
        <f t="shared" si="6"/>
        <v>263316.71000000014</v>
      </c>
    </row>
    <row r="52" spans="1:7" x14ac:dyDescent="0.25">
      <c r="A52" s="54">
        <v>46081</v>
      </c>
      <c r="B52" s="46">
        <f t="shared" si="2"/>
        <v>30</v>
      </c>
      <c r="C52" s="47">
        <f t="shared" si="3"/>
        <v>23771</v>
      </c>
      <c r="D52" s="48">
        <f t="shared" si="0"/>
        <v>20479.54</v>
      </c>
      <c r="E52" s="68">
        <f t="shared" si="4"/>
        <v>3291.46</v>
      </c>
      <c r="F52" s="47">
        <f t="shared" si="5"/>
        <v>263316.71000000014</v>
      </c>
      <c r="G52" s="47">
        <f t="shared" si="6"/>
        <v>242837.17000000013</v>
      </c>
    </row>
    <row r="53" spans="1:7" x14ac:dyDescent="0.25">
      <c r="A53" s="54">
        <v>46109</v>
      </c>
      <c r="B53" s="46">
        <f t="shared" si="2"/>
        <v>30</v>
      </c>
      <c r="C53" s="47">
        <f t="shared" si="3"/>
        <v>23771</v>
      </c>
      <c r="D53" s="48">
        <f t="shared" si="0"/>
        <v>20735.54</v>
      </c>
      <c r="E53" s="68">
        <f t="shared" si="4"/>
        <v>3035.46</v>
      </c>
      <c r="F53" s="47">
        <f t="shared" si="5"/>
        <v>242837.17000000013</v>
      </c>
      <c r="G53" s="47">
        <f t="shared" si="6"/>
        <v>222101.63000000012</v>
      </c>
    </row>
    <row r="54" spans="1:7" x14ac:dyDescent="0.25">
      <c r="A54" s="54">
        <v>46140</v>
      </c>
      <c r="B54" s="46">
        <f t="shared" si="2"/>
        <v>30</v>
      </c>
      <c r="C54" s="47">
        <f t="shared" si="3"/>
        <v>23771</v>
      </c>
      <c r="D54" s="48">
        <f t="shared" si="0"/>
        <v>20994.73</v>
      </c>
      <c r="E54" s="68">
        <f t="shared" si="4"/>
        <v>2776.27</v>
      </c>
      <c r="F54" s="47">
        <f t="shared" si="5"/>
        <v>222101.63000000012</v>
      </c>
      <c r="G54" s="47">
        <f t="shared" si="6"/>
        <v>201106.90000000011</v>
      </c>
    </row>
    <row r="55" spans="1:7" x14ac:dyDescent="0.25">
      <c r="A55" s="54">
        <v>46170</v>
      </c>
      <c r="B55" s="46">
        <f t="shared" si="2"/>
        <v>30</v>
      </c>
      <c r="C55" s="47">
        <f t="shared" si="3"/>
        <v>23771</v>
      </c>
      <c r="D55" s="48">
        <f t="shared" si="0"/>
        <v>21257.16</v>
      </c>
      <c r="E55" s="68">
        <f t="shared" si="4"/>
        <v>2513.84</v>
      </c>
      <c r="F55" s="47">
        <f t="shared" si="5"/>
        <v>201106.90000000011</v>
      </c>
      <c r="G55" s="47">
        <f t="shared" si="6"/>
        <v>179849.74000000011</v>
      </c>
    </row>
    <row r="56" spans="1:7" x14ac:dyDescent="0.25">
      <c r="A56" s="54">
        <v>46201</v>
      </c>
      <c r="B56" s="46">
        <f t="shared" si="2"/>
        <v>30</v>
      </c>
      <c r="C56" s="47">
        <f t="shared" si="3"/>
        <v>23771</v>
      </c>
      <c r="D56" s="48">
        <f t="shared" si="0"/>
        <v>21522.880000000001</v>
      </c>
      <c r="E56" s="68">
        <f t="shared" si="4"/>
        <v>2248.12</v>
      </c>
      <c r="F56" s="47">
        <f t="shared" si="5"/>
        <v>179849.74000000011</v>
      </c>
      <c r="G56" s="47">
        <f t="shared" si="6"/>
        <v>158326.8600000001</v>
      </c>
    </row>
    <row r="57" spans="1:7" x14ac:dyDescent="0.25">
      <c r="A57" s="54">
        <v>46231</v>
      </c>
      <c r="B57" s="46">
        <f t="shared" si="2"/>
        <v>30</v>
      </c>
      <c r="C57" s="47">
        <f t="shared" si="3"/>
        <v>23771</v>
      </c>
      <c r="D57" s="48">
        <f t="shared" si="0"/>
        <v>21791.91</v>
      </c>
      <c r="E57" s="68">
        <f t="shared" si="4"/>
        <v>1979.09</v>
      </c>
      <c r="F57" s="47">
        <f t="shared" si="5"/>
        <v>158326.8600000001</v>
      </c>
      <c r="G57" s="47">
        <f t="shared" si="6"/>
        <v>136534.9500000001</v>
      </c>
    </row>
    <row r="58" spans="1:7" x14ac:dyDescent="0.25">
      <c r="A58" s="54">
        <v>46262</v>
      </c>
      <c r="B58" s="46">
        <f t="shared" si="2"/>
        <v>30</v>
      </c>
      <c r="C58" s="47">
        <f t="shared" si="3"/>
        <v>23771</v>
      </c>
      <c r="D58" s="48">
        <f t="shared" si="0"/>
        <v>22064.31</v>
      </c>
      <c r="E58" s="68">
        <f t="shared" si="4"/>
        <v>1706.69</v>
      </c>
      <c r="F58" s="47">
        <f t="shared" si="5"/>
        <v>136534.9500000001</v>
      </c>
      <c r="G58" s="47">
        <f t="shared" si="6"/>
        <v>114470.6400000001</v>
      </c>
    </row>
    <row r="59" spans="1:7" x14ac:dyDescent="0.25">
      <c r="A59" s="54">
        <v>46293</v>
      </c>
      <c r="B59" s="46">
        <f t="shared" si="2"/>
        <v>30</v>
      </c>
      <c r="C59" s="47">
        <f t="shared" si="3"/>
        <v>23771</v>
      </c>
      <c r="D59" s="48">
        <f t="shared" si="0"/>
        <v>22340.12</v>
      </c>
      <c r="E59" s="68">
        <f t="shared" si="4"/>
        <v>1430.88</v>
      </c>
      <c r="F59" s="47">
        <f t="shared" si="5"/>
        <v>114470.6400000001</v>
      </c>
      <c r="G59" s="47">
        <f t="shared" si="6"/>
        <v>92130.520000000106</v>
      </c>
    </row>
    <row r="60" spans="1:7" x14ac:dyDescent="0.25">
      <c r="A60" s="54">
        <v>46323</v>
      </c>
      <c r="B60" s="46">
        <f t="shared" si="2"/>
        <v>30</v>
      </c>
      <c r="C60" s="47">
        <f t="shared" si="3"/>
        <v>23771</v>
      </c>
      <c r="D60" s="48">
        <f t="shared" si="0"/>
        <v>22619.37</v>
      </c>
      <c r="E60" s="68">
        <f t="shared" si="4"/>
        <v>1151.6300000000001</v>
      </c>
      <c r="F60" s="47">
        <f t="shared" si="5"/>
        <v>92130.520000000106</v>
      </c>
      <c r="G60" s="47">
        <f t="shared" si="6"/>
        <v>69511.150000000111</v>
      </c>
    </row>
    <row r="61" spans="1:7" x14ac:dyDescent="0.25">
      <c r="A61" s="54">
        <v>46354</v>
      </c>
      <c r="B61" s="46">
        <f t="shared" si="2"/>
        <v>30</v>
      </c>
      <c r="C61" s="47">
        <f t="shared" si="3"/>
        <v>23771</v>
      </c>
      <c r="D61" s="48">
        <f t="shared" si="0"/>
        <v>22902.11</v>
      </c>
      <c r="E61" s="68">
        <f t="shared" si="4"/>
        <v>868.89</v>
      </c>
      <c r="F61" s="47">
        <f t="shared" si="5"/>
        <v>69511.150000000111</v>
      </c>
      <c r="G61" s="47">
        <f t="shared" si="6"/>
        <v>46609.04000000011</v>
      </c>
    </row>
    <row r="62" spans="1:7" x14ac:dyDescent="0.25">
      <c r="A62" s="54">
        <v>46384</v>
      </c>
      <c r="B62" s="46">
        <f t="shared" si="2"/>
        <v>30</v>
      </c>
      <c r="C62" s="47">
        <f t="shared" si="3"/>
        <v>23771</v>
      </c>
      <c r="D62" s="48">
        <f t="shared" si="0"/>
        <v>23188.39</v>
      </c>
      <c r="E62" s="68">
        <f t="shared" si="4"/>
        <v>582.61</v>
      </c>
      <c r="F62" s="47">
        <f t="shared" si="5"/>
        <v>46609.04000000011</v>
      </c>
      <c r="G62" s="47">
        <f t="shared" si="6"/>
        <v>23420.650000000111</v>
      </c>
    </row>
    <row r="63" spans="1:7" x14ac:dyDescent="0.25">
      <c r="A63" s="54">
        <v>46415</v>
      </c>
      <c r="B63" s="46">
        <f t="shared" si="2"/>
        <v>30</v>
      </c>
      <c r="C63" s="47">
        <f t="shared" si="3"/>
        <v>23771</v>
      </c>
      <c r="D63" s="48">
        <f t="shared" si="0"/>
        <v>23420.65</v>
      </c>
      <c r="E63" s="68">
        <v>350.35</v>
      </c>
      <c r="F63" s="47">
        <f t="shared" si="5"/>
        <v>23420.650000000111</v>
      </c>
      <c r="G63" s="47">
        <f t="shared" si="6"/>
        <v>1.0913936421275139E-10</v>
      </c>
    </row>
    <row r="64" spans="1:7" x14ac:dyDescent="0.25">
      <c r="A64" s="70">
        <v>44770</v>
      </c>
      <c r="B64" s="46">
        <f>DAYS360(A7,A8,TRUE)</f>
        <v>30</v>
      </c>
      <c r="C64" s="47">
        <f t="shared" si="3"/>
        <v>23771</v>
      </c>
      <c r="D64" s="48">
        <f>C9-E9</f>
        <v>12004.22</v>
      </c>
      <c r="E64" s="68">
        <f>ROUND(F9*$B$2*B9/360,2)</f>
        <v>11766.78</v>
      </c>
      <c r="F64" s="47">
        <f>G8</f>
        <v>941342.62</v>
      </c>
      <c r="G64" s="47">
        <f>F64-D64</f>
        <v>929338.4</v>
      </c>
    </row>
    <row r="65" spans="1:7" x14ac:dyDescent="0.25">
      <c r="A65" s="70">
        <v>44801</v>
      </c>
      <c r="B65" s="84">
        <f t="shared" si="2"/>
        <v>30</v>
      </c>
      <c r="C65" s="90">
        <f>$H$1</f>
        <v>21443</v>
      </c>
      <c r="D65" s="91">
        <f t="shared" ref="D65:D68" si="7">C65-E65</f>
        <v>13698.51</v>
      </c>
      <c r="E65" s="90">
        <f>ROUND(F65*$J$1*B65/360,2)</f>
        <v>7744.49</v>
      </c>
      <c r="F65" s="90">
        <f t="shared" ref="F65:F68" si="8">G64</f>
        <v>929338.4</v>
      </c>
      <c r="G65" s="90">
        <f t="shared" ref="G65:G68" si="9">F65-D65</f>
        <v>915639.89</v>
      </c>
    </row>
    <row r="66" spans="1:7" x14ac:dyDescent="0.25">
      <c r="A66" s="70">
        <v>44832</v>
      </c>
      <c r="B66" s="46">
        <f t="shared" si="2"/>
        <v>30</v>
      </c>
      <c r="C66" s="47">
        <f t="shared" ref="C66:C74" si="10">$H$1</f>
        <v>21443</v>
      </c>
      <c r="D66" s="48">
        <f t="shared" si="7"/>
        <v>13812.67</v>
      </c>
      <c r="E66" s="68">
        <f t="shared" ref="E66:E68" si="11">ROUND(F66*$J$1*B66/360,2)</f>
        <v>7630.33</v>
      </c>
      <c r="F66" s="47">
        <f t="shared" si="8"/>
        <v>915639.89</v>
      </c>
      <c r="G66" s="47">
        <f t="shared" si="9"/>
        <v>901827.22</v>
      </c>
    </row>
    <row r="67" spans="1:7" x14ac:dyDescent="0.25">
      <c r="A67" s="70">
        <v>44862</v>
      </c>
      <c r="B67" s="46">
        <f t="shared" si="2"/>
        <v>30</v>
      </c>
      <c r="C67" s="47">
        <f t="shared" si="10"/>
        <v>21443</v>
      </c>
      <c r="D67" s="48">
        <f t="shared" si="7"/>
        <v>13927.77</v>
      </c>
      <c r="E67" s="68">
        <f t="shared" si="11"/>
        <v>7515.23</v>
      </c>
      <c r="F67" s="47">
        <f t="shared" si="8"/>
        <v>901827.22</v>
      </c>
      <c r="G67" s="47">
        <f t="shared" si="9"/>
        <v>887899.45</v>
      </c>
    </row>
    <row r="68" spans="1:7" x14ac:dyDescent="0.25">
      <c r="A68" s="70">
        <v>44893</v>
      </c>
      <c r="B68" s="46">
        <f t="shared" si="2"/>
        <v>30</v>
      </c>
      <c r="C68" s="47">
        <f t="shared" si="10"/>
        <v>21443</v>
      </c>
      <c r="D68" s="48">
        <f t="shared" si="7"/>
        <v>14043.84</v>
      </c>
      <c r="E68" s="68">
        <f t="shared" si="11"/>
        <v>7399.16</v>
      </c>
      <c r="F68" s="47">
        <f t="shared" si="8"/>
        <v>887899.45</v>
      </c>
      <c r="G68" s="47">
        <f t="shared" si="9"/>
        <v>873855.61</v>
      </c>
    </row>
    <row r="69" spans="1:7" x14ac:dyDescent="0.25">
      <c r="A69" s="70">
        <v>44923</v>
      </c>
      <c r="B69" s="46">
        <f t="shared" si="2"/>
        <v>30</v>
      </c>
      <c r="C69" s="47">
        <f t="shared" si="10"/>
        <v>21443</v>
      </c>
      <c r="D69" s="48">
        <f t="shared" ref="D69:D106" si="12">C69-E69</f>
        <v>14160.869999999999</v>
      </c>
      <c r="E69" s="68">
        <f t="shared" ref="E69:E105" si="13">ROUND(F69*$J$1*B69/360,2)</f>
        <v>7282.13</v>
      </c>
      <c r="F69" s="47">
        <f t="shared" ref="F69:F106" si="14">G68</f>
        <v>873855.61</v>
      </c>
      <c r="G69" s="47">
        <f t="shared" ref="G69:G106" si="15">F69-D69</f>
        <v>859694.74</v>
      </c>
    </row>
    <row r="70" spans="1:7" x14ac:dyDescent="0.25">
      <c r="A70" s="70">
        <v>44954</v>
      </c>
      <c r="B70" s="46">
        <f t="shared" si="2"/>
        <v>30</v>
      </c>
      <c r="C70" s="47">
        <f t="shared" si="10"/>
        <v>21443</v>
      </c>
      <c r="D70" s="48">
        <f t="shared" si="12"/>
        <v>14278.880000000001</v>
      </c>
      <c r="E70" s="68">
        <f t="shared" si="13"/>
        <v>7164.12</v>
      </c>
      <c r="F70" s="47">
        <f t="shared" si="14"/>
        <v>859694.74</v>
      </c>
      <c r="G70" s="47">
        <f t="shared" si="15"/>
        <v>845415.86</v>
      </c>
    </row>
    <row r="71" spans="1:7" x14ac:dyDescent="0.25">
      <c r="A71" s="70">
        <v>44985</v>
      </c>
      <c r="B71" s="46">
        <f t="shared" ref="B71:B106" si="16">DAYS360(A70,A71,TRUE)</f>
        <v>30</v>
      </c>
      <c r="C71" s="47">
        <f t="shared" si="10"/>
        <v>21443</v>
      </c>
      <c r="D71" s="48">
        <f t="shared" si="12"/>
        <v>14397.869999999999</v>
      </c>
      <c r="E71" s="68">
        <f t="shared" si="13"/>
        <v>7045.13</v>
      </c>
      <c r="F71" s="47">
        <f t="shared" si="14"/>
        <v>845415.86</v>
      </c>
      <c r="G71" s="47">
        <f t="shared" si="15"/>
        <v>831017.99</v>
      </c>
    </row>
    <row r="72" spans="1:7" x14ac:dyDescent="0.25">
      <c r="A72" s="70">
        <v>45013</v>
      </c>
      <c r="B72" s="46">
        <f t="shared" si="16"/>
        <v>30</v>
      </c>
      <c r="C72" s="47">
        <f t="shared" si="10"/>
        <v>21443</v>
      </c>
      <c r="D72" s="48">
        <f t="shared" si="12"/>
        <v>14517.85</v>
      </c>
      <c r="E72" s="68">
        <f t="shared" si="13"/>
        <v>6925.15</v>
      </c>
      <c r="F72" s="47">
        <f t="shared" si="14"/>
        <v>831017.99</v>
      </c>
      <c r="G72" s="47">
        <f t="shared" si="15"/>
        <v>816500.14</v>
      </c>
    </row>
    <row r="73" spans="1:7" x14ac:dyDescent="0.25">
      <c r="A73" s="70">
        <v>45044</v>
      </c>
      <c r="B73" s="46">
        <f t="shared" si="16"/>
        <v>30</v>
      </c>
      <c r="C73" s="47">
        <f t="shared" si="10"/>
        <v>21443</v>
      </c>
      <c r="D73" s="48">
        <f t="shared" si="12"/>
        <v>14638.83</v>
      </c>
      <c r="E73" s="68">
        <f t="shared" si="13"/>
        <v>6804.17</v>
      </c>
      <c r="F73" s="47">
        <f t="shared" si="14"/>
        <v>816500.14</v>
      </c>
      <c r="G73" s="47">
        <f t="shared" si="15"/>
        <v>801861.31</v>
      </c>
    </row>
    <row r="74" spans="1:7" x14ac:dyDescent="0.25">
      <c r="A74" s="70">
        <v>45074</v>
      </c>
      <c r="B74" s="46">
        <f t="shared" si="16"/>
        <v>30</v>
      </c>
      <c r="C74" s="47">
        <f t="shared" si="10"/>
        <v>21443</v>
      </c>
      <c r="D74" s="48">
        <f t="shared" si="12"/>
        <v>14760.82</v>
      </c>
      <c r="E74" s="68">
        <f t="shared" si="13"/>
        <v>6682.18</v>
      </c>
      <c r="F74" s="47">
        <f t="shared" si="14"/>
        <v>801861.31</v>
      </c>
      <c r="G74" s="47">
        <f t="shared" si="15"/>
        <v>787100.49000000011</v>
      </c>
    </row>
    <row r="75" spans="1:7" x14ac:dyDescent="0.25">
      <c r="A75" s="70">
        <v>45105</v>
      </c>
      <c r="B75" s="84">
        <f t="shared" si="16"/>
        <v>30</v>
      </c>
      <c r="C75" s="90">
        <f>$N$1</f>
        <v>20080</v>
      </c>
      <c r="D75" s="91">
        <f t="shared" si="12"/>
        <v>13937.5</v>
      </c>
      <c r="E75" s="90">
        <f t="shared" si="13"/>
        <v>6142.5</v>
      </c>
      <c r="F75" s="90">
        <f>G74-P1</f>
        <v>737100.49000000011</v>
      </c>
      <c r="G75" s="90">
        <f t="shared" si="15"/>
        <v>723162.99000000011</v>
      </c>
    </row>
    <row r="76" spans="1:7" x14ac:dyDescent="0.25">
      <c r="A76" s="70">
        <v>45135</v>
      </c>
      <c r="B76" s="46">
        <f t="shared" si="16"/>
        <v>30</v>
      </c>
      <c r="C76" s="47">
        <f>$N$1</f>
        <v>20080</v>
      </c>
      <c r="D76" s="48">
        <f t="shared" si="12"/>
        <v>14053.64</v>
      </c>
      <c r="E76" s="68">
        <f t="shared" si="13"/>
        <v>6026.36</v>
      </c>
      <c r="F76" s="47">
        <f t="shared" si="14"/>
        <v>723162.99000000011</v>
      </c>
      <c r="G76" s="47">
        <f t="shared" si="15"/>
        <v>709109.35000000009</v>
      </c>
    </row>
    <row r="77" spans="1:7" x14ac:dyDescent="0.25">
      <c r="A77" s="70">
        <v>45166</v>
      </c>
      <c r="B77" s="46">
        <f t="shared" si="16"/>
        <v>30</v>
      </c>
      <c r="C77" s="47">
        <f t="shared" ref="C77:C85" si="17">$N$1</f>
        <v>20080</v>
      </c>
      <c r="D77" s="48">
        <f t="shared" si="12"/>
        <v>14170.76</v>
      </c>
      <c r="E77" s="68">
        <f t="shared" si="13"/>
        <v>5909.24</v>
      </c>
      <c r="F77" s="47">
        <f t="shared" si="14"/>
        <v>709109.35000000009</v>
      </c>
      <c r="G77" s="47">
        <f t="shared" si="15"/>
        <v>694938.59000000008</v>
      </c>
    </row>
    <row r="78" spans="1:7" x14ac:dyDescent="0.25">
      <c r="A78" s="70">
        <v>45197</v>
      </c>
      <c r="B78" s="46">
        <f t="shared" si="16"/>
        <v>30</v>
      </c>
      <c r="C78" s="47">
        <f t="shared" si="17"/>
        <v>20080</v>
      </c>
      <c r="D78" s="48">
        <f t="shared" si="12"/>
        <v>14288.85</v>
      </c>
      <c r="E78" s="68">
        <f t="shared" si="13"/>
        <v>5791.15</v>
      </c>
      <c r="F78" s="47">
        <f t="shared" si="14"/>
        <v>694938.59000000008</v>
      </c>
      <c r="G78" s="47">
        <f t="shared" si="15"/>
        <v>680649.74000000011</v>
      </c>
    </row>
    <row r="79" spans="1:7" x14ac:dyDescent="0.25">
      <c r="A79" s="70">
        <v>45227</v>
      </c>
      <c r="B79" s="46">
        <f t="shared" si="16"/>
        <v>30</v>
      </c>
      <c r="C79" s="47">
        <f t="shared" si="17"/>
        <v>20080</v>
      </c>
      <c r="D79" s="48">
        <f t="shared" si="12"/>
        <v>14407.92</v>
      </c>
      <c r="E79" s="68">
        <f t="shared" si="13"/>
        <v>5672.08</v>
      </c>
      <c r="F79" s="47">
        <f t="shared" si="14"/>
        <v>680649.74000000011</v>
      </c>
      <c r="G79" s="47">
        <f t="shared" si="15"/>
        <v>666241.82000000007</v>
      </c>
    </row>
    <row r="80" spans="1:7" x14ac:dyDescent="0.25">
      <c r="A80" s="70">
        <v>45258</v>
      </c>
      <c r="B80" s="46">
        <f t="shared" si="16"/>
        <v>30</v>
      </c>
      <c r="C80" s="47">
        <f t="shared" si="17"/>
        <v>20080</v>
      </c>
      <c r="D80" s="48">
        <f t="shared" si="12"/>
        <v>14527.98</v>
      </c>
      <c r="E80" s="68">
        <f t="shared" si="13"/>
        <v>5552.02</v>
      </c>
      <c r="F80" s="47">
        <f t="shared" si="14"/>
        <v>666241.82000000007</v>
      </c>
      <c r="G80" s="47">
        <f t="shared" si="15"/>
        <v>651713.84000000008</v>
      </c>
    </row>
    <row r="81" spans="1:7" x14ac:dyDescent="0.25">
      <c r="A81" s="70">
        <v>45288</v>
      </c>
      <c r="B81" s="46">
        <f t="shared" si="16"/>
        <v>30</v>
      </c>
      <c r="C81" s="47">
        <f t="shared" si="17"/>
        <v>20080</v>
      </c>
      <c r="D81" s="48">
        <f t="shared" si="12"/>
        <v>14649.05</v>
      </c>
      <c r="E81" s="68">
        <f t="shared" si="13"/>
        <v>5430.95</v>
      </c>
      <c r="F81" s="47">
        <f t="shared" si="14"/>
        <v>651713.84000000008</v>
      </c>
      <c r="G81" s="47">
        <f t="shared" si="15"/>
        <v>637064.79</v>
      </c>
    </row>
    <row r="82" spans="1:7" x14ac:dyDescent="0.25">
      <c r="A82" s="70">
        <v>45319</v>
      </c>
      <c r="B82" s="46">
        <f t="shared" si="16"/>
        <v>30</v>
      </c>
      <c r="C82" s="47">
        <f t="shared" si="17"/>
        <v>20080</v>
      </c>
      <c r="D82" s="48">
        <f t="shared" si="12"/>
        <v>14771.130000000001</v>
      </c>
      <c r="E82" s="68">
        <f t="shared" si="13"/>
        <v>5308.87</v>
      </c>
      <c r="F82" s="47">
        <f t="shared" si="14"/>
        <v>637064.79</v>
      </c>
      <c r="G82" s="47">
        <f t="shared" si="15"/>
        <v>622293.66</v>
      </c>
    </row>
    <row r="83" spans="1:7" x14ac:dyDescent="0.25">
      <c r="A83" s="70">
        <v>45350</v>
      </c>
      <c r="B83" s="46">
        <f t="shared" si="16"/>
        <v>30</v>
      </c>
      <c r="C83" s="47">
        <f t="shared" si="17"/>
        <v>20080</v>
      </c>
      <c r="D83" s="48">
        <f t="shared" si="12"/>
        <v>14894.220000000001</v>
      </c>
      <c r="E83" s="68">
        <f t="shared" si="13"/>
        <v>5185.78</v>
      </c>
      <c r="F83" s="47">
        <f t="shared" si="14"/>
        <v>622293.66</v>
      </c>
      <c r="G83" s="47">
        <f t="shared" si="15"/>
        <v>607399.44000000006</v>
      </c>
    </row>
    <row r="84" spans="1:7" x14ac:dyDescent="0.25">
      <c r="A84" s="70">
        <v>45379</v>
      </c>
      <c r="B84" s="46">
        <f t="shared" si="16"/>
        <v>30</v>
      </c>
      <c r="C84" s="47">
        <f t="shared" si="17"/>
        <v>20080</v>
      </c>
      <c r="D84" s="48">
        <f t="shared" si="12"/>
        <v>15018.34</v>
      </c>
      <c r="E84" s="68">
        <f t="shared" si="13"/>
        <v>5061.66</v>
      </c>
      <c r="F84" s="47">
        <f t="shared" si="14"/>
        <v>607399.44000000006</v>
      </c>
      <c r="G84" s="47">
        <f t="shared" si="15"/>
        <v>592381.10000000009</v>
      </c>
    </row>
    <row r="85" spans="1:7" x14ac:dyDescent="0.25">
      <c r="A85" s="70">
        <v>45410</v>
      </c>
      <c r="B85" s="46">
        <f t="shared" si="16"/>
        <v>30</v>
      </c>
      <c r="C85" s="47">
        <f t="shared" si="17"/>
        <v>20080</v>
      </c>
      <c r="D85" s="48">
        <f t="shared" si="12"/>
        <v>15143.49</v>
      </c>
      <c r="E85" s="68">
        <f t="shared" si="13"/>
        <v>4936.51</v>
      </c>
      <c r="F85" s="47">
        <f t="shared" si="14"/>
        <v>592381.10000000009</v>
      </c>
      <c r="G85" s="47">
        <f t="shared" si="15"/>
        <v>577237.6100000001</v>
      </c>
    </row>
    <row r="86" spans="1:7" x14ac:dyDescent="0.25">
      <c r="A86" s="70">
        <v>45440</v>
      </c>
      <c r="B86" s="46">
        <f t="shared" si="16"/>
        <v>30</v>
      </c>
      <c r="C86" s="47">
        <f>$N$1</f>
        <v>20080</v>
      </c>
      <c r="D86" s="48">
        <f t="shared" si="12"/>
        <v>15269.689999999999</v>
      </c>
      <c r="E86" s="68">
        <f t="shared" si="13"/>
        <v>4810.3100000000004</v>
      </c>
      <c r="F86" s="47">
        <f t="shared" si="14"/>
        <v>577237.6100000001</v>
      </c>
      <c r="G86" s="47">
        <f t="shared" si="15"/>
        <v>561967.92000000016</v>
      </c>
    </row>
    <row r="87" spans="1:7" x14ac:dyDescent="0.25">
      <c r="A87" s="70">
        <v>45471</v>
      </c>
      <c r="B87" s="84">
        <f t="shared" si="16"/>
        <v>30</v>
      </c>
      <c r="C87" s="90">
        <f>$F$2</f>
        <v>15000</v>
      </c>
      <c r="D87" s="91">
        <f t="shared" si="12"/>
        <v>10316.93</v>
      </c>
      <c r="E87" s="90">
        <f t="shared" si="13"/>
        <v>4683.07</v>
      </c>
      <c r="F87" s="90">
        <f t="shared" si="14"/>
        <v>561967.92000000016</v>
      </c>
      <c r="G87" s="90">
        <f t="shared" si="15"/>
        <v>551650.99000000011</v>
      </c>
    </row>
    <row r="88" spans="1:7" x14ac:dyDescent="0.25">
      <c r="A88" s="70">
        <v>45501</v>
      </c>
      <c r="B88" s="46">
        <f t="shared" si="16"/>
        <v>30</v>
      </c>
      <c r="C88" s="47">
        <f>$F$2</f>
        <v>15000</v>
      </c>
      <c r="D88" s="48">
        <f t="shared" si="12"/>
        <v>10402.91</v>
      </c>
      <c r="E88" s="68">
        <f t="shared" si="13"/>
        <v>4597.09</v>
      </c>
      <c r="F88" s="47">
        <f t="shared" si="14"/>
        <v>551650.99000000011</v>
      </c>
      <c r="G88" s="47">
        <f t="shared" si="15"/>
        <v>541248.08000000007</v>
      </c>
    </row>
    <row r="89" spans="1:7" x14ac:dyDescent="0.25">
      <c r="A89" s="70">
        <v>45532</v>
      </c>
      <c r="B89" s="46">
        <f t="shared" si="16"/>
        <v>30</v>
      </c>
      <c r="C89" s="47">
        <f t="shared" ref="C89:C98" si="18">$F$2</f>
        <v>15000</v>
      </c>
      <c r="D89" s="48">
        <f t="shared" si="12"/>
        <v>10489.6</v>
      </c>
      <c r="E89" s="68">
        <f t="shared" si="13"/>
        <v>4510.3999999999996</v>
      </c>
      <c r="F89" s="47">
        <f t="shared" si="14"/>
        <v>541248.08000000007</v>
      </c>
      <c r="G89" s="47">
        <f t="shared" si="15"/>
        <v>530758.4800000001</v>
      </c>
    </row>
    <row r="90" spans="1:7" x14ac:dyDescent="0.25">
      <c r="A90" s="70">
        <v>45563</v>
      </c>
      <c r="B90" s="46">
        <f t="shared" si="16"/>
        <v>30</v>
      </c>
      <c r="C90" s="47">
        <f t="shared" si="18"/>
        <v>15000</v>
      </c>
      <c r="D90" s="48">
        <f t="shared" si="12"/>
        <v>10577.01</v>
      </c>
      <c r="E90" s="68">
        <f t="shared" si="13"/>
        <v>4422.99</v>
      </c>
      <c r="F90" s="47">
        <f t="shared" si="14"/>
        <v>530758.4800000001</v>
      </c>
      <c r="G90" s="47">
        <f t="shared" si="15"/>
        <v>520181.47000000009</v>
      </c>
    </row>
    <row r="91" spans="1:7" x14ac:dyDescent="0.25">
      <c r="A91" s="70">
        <v>45593</v>
      </c>
      <c r="B91" s="46">
        <f t="shared" si="16"/>
        <v>30</v>
      </c>
      <c r="C91" s="47">
        <f t="shared" si="18"/>
        <v>15000</v>
      </c>
      <c r="D91" s="48">
        <f t="shared" si="12"/>
        <v>10665.15</v>
      </c>
      <c r="E91" s="68">
        <f t="shared" si="13"/>
        <v>4334.8500000000004</v>
      </c>
      <c r="F91" s="47">
        <f t="shared" si="14"/>
        <v>520181.47000000009</v>
      </c>
      <c r="G91" s="47">
        <f t="shared" si="15"/>
        <v>509516.32000000007</v>
      </c>
    </row>
    <row r="92" spans="1:7" x14ac:dyDescent="0.25">
      <c r="A92" s="70">
        <v>45624</v>
      </c>
      <c r="B92" s="46">
        <f t="shared" si="16"/>
        <v>30</v>
      </c>
      <c r="C92" s="47">
        <f t="shared" si="18"/>
        <v>15000</v>
      </c>
      <c r="D92" s="48">
        <f t="shared" si="12"/>
        <v>10754.029999999999</v>
      </c>
      <c r="E92" s="68">
        <f t="shared" si="13"/>
        <v>4245.97</v>
      </c>
      <c r="F92" s="47">
        <f t="shared" si="14"/>
        <v>509516.32000000007</v>
      </c>
      <c r="G92" s="47">
        <f t="shared" si="15"/>
        <v>498762.29000000004</v>
      </c>
    </row>
    <row r="93" spans="1:7" x14ac:dyDescent="0.25">
      <c r="A93" s="70">
        <v>45654</v>
      </c>
      <c r="B93" s="46">
        <f t="shared" si="16"/>
        <v>30</v>
      </c>
      <c r="C93" s="47">
        <f t="shared" si="18"/>
        <v>15000</v>
      </c>
      <c r="D93" s="48">
        <f t="shared" si="12"/>
        <v>10843.65</v>
      </c>
      <c r="E93" s="68">
        <f t="shared" si="13"/>
        <v>4156.3500000000004</v>
      </c>
      <c r="F93" s="47">
        <f t="shared" si="14"/>
        <v>498762.29000000004</v>
      </c>
      <c r="G93" s="47">
        <f t="shared" si="15"/>
        <v>487918.64</v>
      </c>
    </row>
    <row r="94" spans="1:7" x14ac:dyDescent="0.25">
      <c r="A94" s="70">
        <v>45685</v>
      </c>
      <c r="B94" s="46">
        <f t="shared" si="16"/>
        <v>30</v>
      </c>
      <c r="C94" s="47">
        <f t="shared" si="18"/>
        <v>15000</v>
      </c>
      <c r="D94" s="48">
        <f t="shared" si="12"/>
        <v>10934.01</v>
      </c>
      <c r="E94" s="68">
        <f t="shared" si="13"/>
        <v>4065.99</v>
      </c>
      <c r="F94" s="47">
        <f t="shared" si="14"/>
        <v>487918.64</v>
      </c>
      <c r="G94" s="47">
        <f t="shared" si="15"/>
        <v>476984.63</v>
      </c>
    </row>
    <row r="95" spans="1:7" x14ac:dyDescent="0.25">
      <c r="A95" s="70">
        <v>45716</v>
      </c>
      <c r="B95" s="46">
        <f t="shared" si="16"/>
        <v>30</v>
      </c>
      <c r="C95" s="47">
        <f t="shared" si="18"/>
        <v>15000</v>
      </c>
      <c r="D95" s="48">
        <f t="shared" si="12"/>
        <v>11025.130000000001</v>
      </c>
      <c r="E95" s="68">
        <f t="shared" si="13"/>
        <v>3974.87</v>
      </c>
      <c r="F95" s="47">
        <f t="shared" si="14"/>
        <v>476984.63</v>
      </c>
      <c r="G95" s="47">
        <f t="shared" si="15"/>
        <v>465959.5</v>
      </c>
    </row>
    <row r="96" spans="1:7" x14ac:dyDescent="0.25">
      <c r="A96" s="70">
        <v>45744</v>
      </c>
      <c r="B96" s="46">
        <f t="shared" si="16"/>
        <v>30</v>
      </c>
      <c r="C96" s="47">
        <f t="shared" si="18"/>
        <v>15000</v>
      </c>
      <c r="D96" s="48">
        <f t="shared" si="12"/>
        <v>11117</v>
      </c>
      <c r="E96" s="68">
        <f t="shared" si="13"/>
        <v>3883</v>
      </c>
      <c r="F96" s="47">
        <f t="shared" si="14"/>
        <v>465959.5</v>
      </c>
      <c r="G96" s="47">
        <f t="shared" si="15"/>
        <v>454842.5</v>
      </c>
    </row>
    <row r="97" spans="1:7" x14ac:dyDescent="0.25">
      <c r="A97" s="70">
        <v>45775</v>
      </c>
      <c r="B97" s="46">
        <f t="shared" si="16"/>
        <v>30</v>
      </c>
      <c r="C97" s="47">
        <f t="shared" si="18"/>
        <v>15000</v>
      </c>
      <c r="D97" s="48">
        <f t="shared" si="12"/>
        <v>11209.65</v>
      </c>
      <c r="E97" s="68">
        <f t="shared" si="13"/>
        <v>3790.35</v>
      </c>
      <c r="F97" s="47">
        <f t="shared" si="14"/>
        <v>454842.5</v>
      </c>
      <c r="G97" s="47">
        <f t="shared" si="15"/>
        <v>443632.85</v>
      </c>
    </row>
    <row r="98" spans="1:7" x14ac:dyDescent="0.25">
      <c r="A98" s="70">
        <v>45805</v>
      </c>
      <c r="B98" s="46">
        <f t="shared" si="16"/>
        <v>30</v>
      </c>
      <c r="C98" s="47">
        <f t="shared" si="18"/>
        <v>15000</v>
      </c>
      <c r="D98" s="48">
        <f t="shared" si="12"/>
        <v>11303.06</v>
      </c>
      <c r="E98" s="68">
        <f t="shared" si="13"/>
        <v>3696.94</v>
      </c>
      <c r="F98" s="47">
        <f t="shared" si="14"/>
        <v>443632.85</v>
      </c>
      <c r="G98" s="47">
        <f t="shared" si="15"/>
        <v>432329.79</v>
      </c>
    </row>
    <row r="99" spans="1:7" x14ac:dyDescent="0.25">
      <c r="A99" s="70">
        <v>45836</v>
      </c>
      <c r="B99" s="84">
        <f t="shared" ref="B99" si="19">DAYS360(A98,A99,TRUE)</f>
        <v>30</v>
      </c>
      <c r="C99" s="90">
        <f>$J$2</f>
        <v>56088</v>
      </c>
      <c r="D99" s="91">
        <f t="shared" ref="D99" si="20">C99-E99</f>
        <v>52485.25</v>
      </c>
      <c r="E99" s="90">
        <f t="shared" ref="E99" si="21">ROUND(F99*$J$1*B99/360,2)</f>
        <v>3602.75</v>
      </c>
      <c r="F99" s="90">
        <f t="shared" ref="F99" si="22">G98</f>
        <v>432329.79</v>
      </c>
      <c r="G99" s="90">
        <f t="shared" ref="G99" si="23">F99-D99</f>
        <v>379844.54</v>
      </c>
    </row>
    <row r="100" spans="1:7" x14ac:dyDescent="0.25">
      <c r="A100" s="70">
        <v>45866</v>
      </c>
      <c r="B100" s="85">
        <f t="shared" si="16"/>
        <v>30</v>
      </c>
      <c r="C100" s="68">
        <f>$J$2</f>
        <v>56088</v>
      </c>
      <c r="D100" s="92">
        <f t="shared" si="12"/>
        <v>52922.63</v>
      </c>
      <c r="E100" s="68">
        <f t="shared" si="13"/>
        <v>3165.37</v>
      </c>
      <c r="F100" s="68">
        <f t="shared" si="14"/>
        <v>379844.54</v>
      </c>
      <c r="G100" s="68">
        <f t="shared" si="15"/>
        <v>326921.90999999997</v>
      </c>
    </row>
    <row r="101" spans="1:7" x14ac:dyDescent="0.25">
      <c r="A101" s="70">
        <v>45897</v>
      </c>
      <c r="B101" s="46">
        <f t="shared" si="16"/>
        <v>30</v>
      </c>
      <c r="C101" s="68">
        <f t="shared" ref="C101:C106" si="24">$J$2</f>
        <v>56088</v>
      </c>
      <c r="D101" s="48">
        <f t="shared" si="12"/>
        <v>53363.65</v>
      </c>
      <c r="E101" s="68">
        <f t="shared" si="13"/>
        <v>2724.35</v>
      </c>
      <c r="F101" s="47">
        <f t="shared" si="14"/>
        <v>326921.90999999997</v>
      </c>
      <c r="G101" s="47">
        <f t="shared" si="15"/>
        <v>273558.25999999995</v>
      </c>
    </row>
    <row r="102" spans="1:7" x14ac:dyDescent="0.25">
      <c r="A102" s="70">
        <v>45928</v>
      </c>
      <c r="B102" s="46">
        <f t="shared" si="16"/>
        <v>30</v>
      </c>
      <c r="C102" s="68">
        <f t="shared" si="24"/>
        <v>56088</v>
      </c>
      <c r="D102" s="48">
        <f t="shared" si="12"/>
        <v>53808.35</v>
      </c>
      <c r="E102" s="68">
        <f t="shared" si="13"/>
        <v>2279.65</v>
      </c>
      <c r="F102" s="47">
        <f t="shared" si="14"/>
        <v>273558.25999999995</v>
      </c>
      <c r="G102" s="47">
        <f t="shared" si="15"/>
        <v>219749.90999999995</v>
      </c>
    </row>
    <row r="103" spans="1:7" x14ac:dyDescent="0.25">
      <c r="A103" s="70">
        <v>45958</v>
      </c>
      <c r="B103" s="46">
        <f t="shared" si="16"/>
        <v>30</v>
      </c>
      <c r="C103" s="68">
        <f t="shared" si="24"/>
        <v>56088</v>
      </c>
      <c r="D103" s="48">
        <f t="shared" si="12"/>
        <v>54256.75</v>
      </c>
      <c r="E103" s="68">
        <f t="shared" si="13"/>
        <v>1831.25</v>
      </c>
      <c r="F103" s="47">
        <f t="shared" si="14"/>
        <v>219749.90999999995</v>
      </c>
      <c r="G103" s="47">
        <f t="shared" si="15"/>
        <v>165493.15999999995</v>
      </c>
    </row>
    <row r="104" spans="1:7" x14ac:dyDescent="0.25">
      <c r="A104" s="70">
        <v>45989</v>
      </c>
      <c r="B104" s="46">
        <f t="shared" si="16"/>
        <v>30</v>
      </c>
      <c r="C104" s="68">
        <f t="shared" si="24"/>
        <v>56088</v>
      </c>
      <c r="D104" s="48">
        <f t="shared" si="12"/>
        <v>54708.89</v>
      </c>
      <c r="E104" s="68">
        <f t="shared" si="13"/>
        <v>1379.11</v>
      </c>
      <c r="F104" s="47">
        <f t="shared" si="14"/>
        <v>165493.15999999995</v>
      </c>
      <c r="G104" s="47">
        <f t="shared" si="15"/>
        <v>110784.26999999995</v>
      </c>
    </row>
    <row r="105" spans="1:7" x14ac:dyDescent="0.25">
      <c r="A105" s="70">
        <v>46019</v>
      </c>
      <c r="B105" s="46">
        <f t="shared" si="16"/>
        <v>30</v>
      </c>
      <c r="C105" s="68">
        <f t="shared" si="24"/>
        <v>56088</v>
      </c>
      <c r="D105" s="48">
        <f t="shared" si="12"/>
        <v>55164.800000000003</v>
      </c>
      <c r="E105" s="68">
        <f t="shared" si="13"/>
        <v>923.2</v>
      </c>
      <c r="F105" s="47">
        <f t="shared" si="14"/>
        <v>110784.26999999995</v>
      </c>
      <c r="G105" s="47">
        <f t="shared" si="15"/>
        <v>55619.469999999943</v>
      </c>
    </row>
    <row r="106" spans="1:7" x14ac:dyDescent="0.25">
      <c r="A106" s="70">
        <v>46050</v>
      </c>
      <c r="B106" s="46">
        <f t="shared" si="16"/>
        <v>30</v>
      </c>
      <c r="C106" s="68">
        <f t="shared" si="24"/>
        <v>56088</v>
      </c>
      <c r="D106" s="48">
        <f t="shared" si="12"/>
        <v>55619.47</v>
      </c>
      <c r="E106" s="68">
        <v>468.53</v>
      </c>
      <c r="F106" s="47">
        <f t="shared" si="14"/>
        <v>55619.469999999943</v>
      </c>
      <c r="G106" s="47">
        <f t="shared" si="15"/>
        <v>-5.8207660913467407E-11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BDA3F7-A43A-4C67-BB92-D644E59F2C2A}">
  <dimension ref="A1:AA3"/>
  <sheetViews>
    <sheetView workbookViewId="0">
      <selection activeCell="B2" sqref="B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5" width="17" bestFit="1" customWidth="1"/>
    <col min="16" max="16" width="16.85546875" bestFit="1" customWidth="1"/>
    <col min="17" max="18" width="17" bestFit="1" customWidth="1"/>
    <col min="19" max="19" width="16.85546875" bestFit="1" customWidth="1"/>
    <col min="20" max="21" width="17" bestFit="1" customWidth="1"/>
    <col min="22" max="22" width="16.85546875" bestFit="1" customWidth="1"/>
    <col min="23" max="24" width="17" bestFit="1" customWidth="1"/>
    <col min="25" max="26" width="16.85546875" bestFit="1" customWidth="1"/>
    <col min="27" max="27" width="104.425781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2" t="s">
        <v>0</v>
      </c>
      <c r="B2" s="7" t="s">
        <v>9</v>
      </c>
      <c r="C2" s="7" t="s">
        <v>76</v>
      </c>
      <c r="D2" s="8" t="s">
        <v>191</v>
      </c>
      <c r="E2" s="8" t="s">
        <v>23</v>
      </c>
      <c r="F2" s="8" t="s">
        <v>41</v>
      </c>
      <c r="G2" s="8" t="s">
        <v>191</v>
      </c>
      <c r="H2" s="8" t="s">
        <v>172</v>
      </c>
      <c r="I2" s="8" t="s">
        <v>0</v>
      </c>
      <c r="J2" s="8" t="s">
        <v>42</v>
      </c>
      <c r="K2" s="8" t="s">
        <v>25</v>
      </c>
      <c r="L2" s="8" t="s">
        <v>26</v>
      </c>
      <c r="M2" s="8" t="s">
        <v>27</v>
      </c>
      <c r="N2" s="20" t="s">
        <v>29</v>
      </c>
      <c r="O2" s="20" t="s">
        <v>167</v>
      </c>
      <c r="P2" s="20" t="s">
        <v>21</v>
      </c>
      <c r="Q2" s="20" t="s">
        <v>84</v>
      </c>
      <c r="R2" s="20" t="s">
        <v>168</v>
      </c>
      <c r="S2" s="20" t="s">
        <v>45</v>
      </c>
      <c r="T2" s="20" t="s">
        <v>142</v>
      </c>
      <c r="U2" s="20" t="s">
        <v>263</v>
      </c>
      <c r="V2" s="20" t="s">
        <v>141</v>
      </c>
      <c r="W2" s="20" t="s">
        <v>180</v>
      </c>
      <c r="X2" s="20" t="s">
        <v>170</v>
      </c>
      <c r="Y2" s="20" t="s">
        <v>104</v>
      </c>
      <c r="Z2" s="20" t="s">
        <v>181</v>
      </c>
      <c r="AA2" s="93" t="s">
        <v>203</v>
      </c>
    </row>
    <row r="3" spans="1:27" x14ac:dyDescent="0.25">
      <c r="A3" s="12" t="s">
        <v>0</v>
      </c>
      <c r="B3" s="7" t="s">
        <v>9</v>
      </c>
      <c r="C3" s="7" t="s">
        <v>76</v>
      </c>
      <c r="D3" s="8" t="s">
        <v>191</v>
      </c>
      <c r="E3" s="8" t="s">
        <v>23</v>
      </c>
      <c r="F3" s="8" t="s">
        <v>41</v>
      </c>
      <c r="G3" s="8" t="s">
        <v>191</v>
      </c>
      <c r="H3" s="8" t="s">
        <v>172</v>
      </c>
      <c r="I3" s="8" t="s">
        <v>0</v>
      </c>
      <c r="J3" s="8" t="s">
        <v>42</v>
      </c>
      <c r="K3" s="8" t="s">
        <v>31</v>
      </c>
      <c r="L3" s="8" t="s">
        <v>26</v>
      </c>
      <c r="M3" s="8" t="s">
        <v>27</v>
      </c>
      <c r="N3" s="20" t="s">
        <v>29</v>
      </c>
      <c r="O3" s="20" t="s">
        <v>167</v>
      </c>
      <c r="P3" s="20" t="s">
        <v>21</v>
      </c>
      <c r="Q3" s="20" t="s">
        <v>84</v>
      </c>
      <c r="R3" s="20" t="s">
        <v>168</v>
      </c>
      <c r="S3" s="20" t="s">
        <v>45</v>
      </c>
      <c r="T3" s="20" t="s">
        <v>142</v>
      </c>
      <c r="U3" s="20" t="s">
        <v>263</v>
      </c>
      <c r="V3" s="20" t="s">
        <v>141</v>
      </c>
      <c r="W3" s="20" t="s">
        <v>180</v>
      </c>
      <c r="X3" s="20" t="s">
        <v>170</v>
      </c>
      <c r="Y3" s="20" t="s">
        <v>104</v>
      </c>
      <c r="Z3" s="20" t="s">
        <v>181</v>
      </c>
      <c r="AA3" s="93" t="s">
        <v>204</v>
      </c>
    </row>
  </sheetData>
  <pageMargins left="0.7" right="0.7" top="0.75" bottom="0.75" header="0.3" footer="0.3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C2D90D-6F7A-4FAE-9215-8CC880755A96}">
  <dimension ref="A1:P107"/>
  <sheetViews>
    <sheetView zoomScaleNormal="100" workbookViewId="0">
      <pane ySplit="3" topLeftCell="A4" activePane="bottomLeft" state="frozen"/>
      <selection activeCell="C5" sqref="C5"/>
      <selection pane="bottomLeft" activeCell="L2" sqref="C2:L2"/>
    </sheetView>
  </sheetViews>
  <sheetFormatPr defaultRowHeight="15" x14ac:dyDescent="0.25"/>
  <cols>
    <col min="1" max="1" width="15.7109375" bestFit="1" customWidth="1"/>
    <col min="2" max="2" width="12.42578125" bestFit="1" customWidth="1"/>
    <col min="3" max="3" width="24.140625" bestFit="1" customWidth="1"/>
    <col min="4" max="4" width="13.28515625" bestFit="1" customWidth="1"/>
    <col min="5" max="5" width="19" bestFit="1" customWidth="1"/>
    <col min="6" max="6" width="17.28515625" bestFit="1" customWidth="1"/>
    <col min="7" max="7" width="19" bestFit="1" customWidth="1"/>
    <col min="8" max="8" width="16.42578125" bestFit="1" customWidth="1"/>
    <col min="9" max="9" width="17.7109375" bestFit="1" customWidth="1"/>
    <col min="10" max="10" width="9.42578125" bestFit="1" customWidth="1"/>
    <col min="11" max="11" width="19" bestFit="1" customWidth="1"/>
    <col min="12" max="12" width="11" bestFit="1" customWidth="1"/>
    <col min="13" max="13" width="17.7109375" bestFit="1" customWidth="1"/>
    <col min="14" max="14" width="6.7109375" bestFit="1" customWidth="1"/>
    <col min="15" max="15" width="16" bestFit="1" customWidth="1"/>
    <col min="16" max="16" width="6.7109375" bestFit="1" customWidth="1"/>
  </cols>
  <sheetData>
    <row r="1" spans="1:16" x14ac:dyDescent="0.25">
      <c r="A1" s="17" t="s">
        <v>33</v>
      </c>
      <c r="B1" s="22">
        <v>41852</v>
      </c>
      <c r="C1" s="17" t="s">
        <v>37</v>
      </c>
      <c r="D1" s="79">
        <f>ROUNDUP(23797.2324459771,0)</f>
        <v>23798</v>
      </c>
      <c r="E1" s="73" t="s">
        <v>147</v>
      </c>
      <c r="F1" s="74">
        <v>42009</v>
      </c>
      <c r="G1" s="73" t="s">
        <v>150</v>
      </c>
      <c r="H1" s="79">
        <f>ROUNDUP(21442.4971855011,0)</f>
        <v>21443</v>
      </c>
      <c r="I1" s="73" t="s">
        <v>175</v>
      </c>
      <c r="J1" s="87">
        <v>0.1</v>
      </c>
      <c r="K1" s="73" t="s">
        <v>148</v>
      </c>
      <c r="L1" s="20" t="s">
        <v>168</v>
      </c>
      <c r="M1" s="73" t="s">
        <v>149</v>
      </c>
      <c r="N1" s="69">
        <f>ROUNDUP(20235.7630342097,0)</f>
        <v>20236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42526</v>
      </c>
      <c r="E2" s="73" t="s">
        <v>177</v>
      </c>
      <c r="F2" s="69">
        <v>15000</v>
      </c>
      <c r="G2" s="73" t="s">
        <v>173</v>
      </c>
      <c r="H2" s="20" t="s">
        <v>170</v>
      </c>
      <c r="I2" s="73" t="s">
        <v>174</v>
      </c>
      <c r="J2" s="89">
        <f>ROUNDUP(38980.688271677,0)</f>
        <v>38981</v>
      </c>
      <c r="K2" s="73" t="s">
        <v>178</v>
      </c>
      <c r="L2" s="88">
        <v>48</v>
      </c>
      <c r="M2" t="s">
        <v>261</v>
      </c>
      <c r="N2" s="88">
        <f>F1-A64</f>
        <v>4</v>
      </c>
      <c r="O2" t="s">
        <v>262</v>
      </c>
      <c r="P2">
        <v>27</v>
      </c>
    </row>
    <row r="3" spans="1:16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6" x14ac:dyDescent="0.25">
      <c r="A4" s="94" t="s">
        <v>205</v>
      </c>
      <c r="B4" s="1">
        <f>_xlfn.DAYS(A4,B1)</f>
        <v>31</v>
      </c>
      <c r="C4" s="14">
        <f t="shared" ref="C4:C64" si="0">$D$1</f>
        <v>23798</v>
      </c>
      <c r="D4" s="95">
        <f t="shared" ref="D4:D39" si="1">C4-E4</f>
        <v>11058.27</v>
      </c>
      <c r="E4" s="96">
        <f>ROUND(F4*$B$2*B4/365,2)</f>
        <v>12739.73</v>
      </c>
      <c r="F4" s="14">
        <v>1000000</v>
      </c>
      <c r="G4" s="14">
        <f t="shared" ref="G4:G39" si="2">F4-D4</f>
        <v>988941.73</v>
      </c>
      <c r="H4" s="14">
        <f t="shared" ref="H4:H39" si="3">F4*$B$2*B4/365</f>
        <v>12739.726027397261</v>
      </c>
      <c r="I4" s="16">
        <f t="shared" ref="I4:I39" si="4">H4-E4</f>
        <v>-3.9726027389406227E-3</v>
      </c>
    </row>
    <row r="5" spans="1:16" x14ac:dyDescent="0.25">
      <c r="A5" s="94" t="s">
        <v>206</v>
      </c>
      <c r="B5" s="1">
        <f t="shared" ref="B5:B39" si="5">_xlfn.DAYS(A5,A4)</f>
        <v>30</v>
      </c>
      <c r="C5" s="14">
        <f t="shared" si="0"/>
        <v>23798</v>
      </c>
      <c r="D5" s="95">
        <f t="shared" si="1"/>
        <v>11605.57</v>
      </c>
      <c r="E5" s="96">
        <f t="shared" ref="E5:E39" si="6">ROUND(F5*$B$2*B5/365,2)</f>
        <v>12192.43</v>
      </c>
      <c r="F5" s="14">
        <f t="shared" ref="F5:F39" si="7">G4</f>
        <v>988941.73</v>
      </c>
      <c r="G5" s="14">
        <f t="shared" si="2"/>
        <v>977336.16</v>
      </c>
      <c r="H5" s="14">
        <f t="shared" si="3"/>
        <v>12192.43228767123</v>
      </c>
      <c r="I5" s="16">
        <f t="shared" si="4"/>
        <v>2.2876712300785584E-3</v>
      </c>
    </row>
    <row r="6" spans="1:16" x14ac:dyDescent="0.25">
      <c r="A6" s="94" t="s">
        <v>207</v>
      </c>
      <c r="B6" s="1">
        <f t="shared" si="5"/>
        <v>31</v>
      </c>
      <c r="C6" s="14">
        <f t="shared" si="0"/>
        <v>23798</v>
      </c>
      <c r="D6" s="95">
        <f t="shared" si="1"/>
        <v>11347.01</v>
      </c>
      <c r="E6" s="96">
        <f t="shared" si="6"/>
        <v>12450.99</v>
      </c>
      <c r="F6" s="14">
        <f t="shared" si="7"/>
        <v>977336.16</v>
      </c>
      <c r="G6" s="14">
        <f t="shared" si="2"/>
        <v>965989.15</v>
      </c>
      <c r="H6" s="14">
        <f t="shared" si="3"/>
        <v>12450.994915068493</v>
      </c>
      <c r="I6" s="16">
        <f t="shared" si="4"/>
        <v>4.9150684935739264E-3</v>
      </c>
    </row>
    <row r="7" spans="1:16" x14ac:dyDescent="0.25">
      <c r="A7" s="94" t="s">
        <v>208</v>
      </c>
      <c r="B7" s="1">
        <f t="shared" si="5"/>
        <v>30</v>
      </c>
      <c r="C7" s="14">
        <f t="shared" si="0"/>
        <v>23798</v>
      </c>
      <c r="D7" s="95">
        <f t="shared" si="1"/>
        <v>11888.54</v>
      </c>
      <c r="E7" s="96">
        <f t="shared" si="6"/>
        <v>11909.46</v>
      </c>
      <c r="F7" s="14">
        <f t="shared" si="7"/>
        <v>965989.15</v>
      </c>
      <c r="G7" s="14">
        <f t="shared" si="2"/>
        <v>954100.61</v>
      </c>
      <c r="H7" s="14">
        <f t="shared" si="3"/>
        <v>11909.455273972602</v>
      </c>
      <c r="I7" s="16">
        <f t="shared" si="4"/>
        <v>-4.7260273968277033E-3</v>
      </c>
    </row>
    <row r="8" spans="1:16" x14ac:dyDescent="0.25">
      <c r="A8" s="94" t="s">
        <v>209</v>
      </c>
      <c r="B8" s="1">
        <f t="shared" si="5"/>
        <v>31</v>
      </c>
      <c r="C8" s="14">
        <f t="shared" si="0"/>
        <v>23798</v>
      </c>
      <c r="D8" s="95">
        <f t="shared" si="1"/>
        <v>11643.02</v>
      </c>
      <c r="E8" s="96">
        <f t="shared" si="6"/>
        <v>12154.98</v>
      </c>
      <c r="F8" s="14">
        <f t="shared" si="7"/>
        <v>954100.61</v>
      </c>
      <c r="G8" s="14">
        <f t="shared" si="2"/>
        <v>942457.59</v>
      </c>
      <c r="H8" s="14">
        <f t="shared" si="3"/>
        <v>12154.980373972601</v>
      </c>
      <c r="I8" s="16">
        <f t="shared" si="4"/>
        <v>3.7397260166471824E-4</v>
      </c>
    </row>
    <row r="9" spans="1:16" x14ac:dyDescent="0.25">
      <c r="A9" s="94" t="s">
        <v>210</v>
      </c>
      <c r="B9" s="1">
        <f t="shared" si="5"/>
        <v>31</v>
      </c>
      <c r="C9" s="14">
        <f t="shared" si="0"/>
        <v>23798</v>
      </c>
      <c r="D9" s="95">
        <f t="shared" si="1"/>
        <v>11791.35</v>
      </c>
      <c r="E9" s="96">
        <f t="shared" si="6"/>
        <v>12006.65</v>
      </c>
      <c r="F9" s="14">
        <f t="shared" si="7"/>
        <v>942457.59</v>
      </c>
      <c r="G9" s="14">
        <f t="shared" si="2"/>
        <v>930666.24</v>
      </c>
      <c r="H9" s="14">
        <f t="shared" si="3"/>
        <v>12006.651489041094</v>
      </c>
      <c r="I9" s="16">
        <f t="shared" si="4"/>
        <v>1.4890410948282806E-3</v>
      </c>
    </row>
    <row r="10" spans="1:16" x14ac:dyDescent="0.25">
      <c r="A10" s="94" t="s">
        <v>211</v>
      </c>
      <c r="B10" s="1">
        <f t="shared" si="5"/>
        <v>28</v>
      </c>
      <c r="C10" s="14">
        <f t="shared" si="0"/>
        <v>23798</v>
      </c>
      <c r="D10" s="95">
        <f t="shared" si="1"/>
        <v>13088.96</v>
      </c>
      <c r="E10" s="96">
        <f t="shared" si="6"/>
        <v>10709.04</v>
      </c>
      <c r="F10" s="14">
        <f t="shared" si="7"/>
        <v>930666.24</v>
      </c>
      <c r="G10" s="14">
        <f t="shared" si="2"/>
        <v>917577.28</v>
      </c>
      <c r="H10" s="14">
        <f t="shared" si="3"/>
        <v>10709.03618630137</v>
      </c>
      <c r="I10" s="16">
        <f t="shared" si="4"/>
        <v>-3.8136986313475063E-3</v>
      </c>
    </row>
    <row r="11" spans="1:16" x14ac:dyDescent="0.25">
      <c r="A11" s="94" t="s">
        <v>212</v>
      </c>
      <c r="B11" s="1">
        <f t="shared" si="5"/>
        <v>31</v>
      </c>
      <c r="C11" s="14">
        <f t="shared" si="0"/>
        <v>23798</v>
      </c>
      <c r="D11" s="95">
        <f t="shared" si="1"/>
        <v>12108.32</v>
      </c>
      <c r="E11" s="96">
        <f t="shared" si="6"/>
        <v>11689.68</v>
      </c>
      <c r="F11" s="14">
        <f t="shared" si="7"/>
        <v>917577.28</v>
      </c>
      <c r="G11" s="14">
        <f t="shared" si="2"/>
        <v>905468.96000000008</v>
      </c>
      <c r="H11" s="14">
        <f t="shared" si="3"/>
        <v>11689.683156164383</v>
      </c>
      <c r="I11" s="16">
        <f t="shared" si="4"/>
        <v>3.1561643827444641E-3</v>
      </c>
    </row>
    <row r="12" spans="1:16" x14ac:dyDescent="0.25">
      <c r="A12" s="94" t="s">
        <v>213</v>
      </c>
      <c r="B12" s="1">
        <f t="shared" si="5"/>
        <v>30</v>
      </c>
      <c r="C12" s="14">
        <f t="shared" si="0"/>
        <v>23798</v>
      </c>
      <c r="D12" s="95">
        <f t="shared" si="1"/>
        <v>12634.68</v>
      </c>
      <c r="E12" s="96">
        <f t="shared" si="6"/>
        <v>11163.32</v>
      </c>
      <c r="F12" s="14">
        <f t="shared" si="7"/>
        <v>905468.96000000008</v>
      </c>
      <c r="G12" s="14">
        <f t="shared" si="2"/>
        <v>892834.28</v>
      </c>
      <c r="H12" s="14">
        <f t="shared" si="3"/>
        <v>11163.315945205481</v>
      </c>
      <c r="I12" s="16">
        <f t="shared" si="4"/>
        <v>-4.0547945191065082E-3</v>
      </c>
    </row>
    <row r="13" spans="1:16" x14ac:dyDescent="0.25">
      <c r="A13" s="94" t="s">
        <v>214</v>
      </c>
      <c r="B13" s="1">
        <f t="shared" si="5"/>
        <v>31</v>
      </c>
      <c r="C13" s="14">
        <f t="shared" si="0"/>
        <v>23798</v>
      </c>
      <c r="D13" s="95">
        <f t="shared" si="1"/>
        <v>12423.54</v>
      </c>
      <c r="E13" s="96">
        <f t="shared" si="6"/>
        <v>11374.46</v>
      </c>
      <c r="F13" s="14">
        <f t="shared" si="7"/>
        <v>892834.28</v>
      </c>
      <c r="G13" s="14">
        <f t="shared" si="2"/>
        <v>880410.74</v>
      </c>
      <c r="H13" s="14">
        <f t="shared" si="3"/>
        <v>11374.464115068493</v>
      </c>
      <c r="I13" s="16">
        <f t="shared" si="4"/>
        <v>4.1150684937747428E-3</v>
      </c>
    </row>
    <row r="14" spans="1:16" x14ac:dyDescent="0.25">
      <c r="A14" s="94" t="s">
        <v>215</v>
      </c>
      <c r="B14" s="1">
        <f t="shared" si="5"/>
        <v>30</v>
      </c>
      <c r="C14" s="14">
        <f t="shared" si="0"/>
        <v>23798</v>
      </c>
      <c r="D14" s="95">
        <f t="shared" si="1"/>
        <v>12943.62</v>
      </c>
      <c r="E14" s="96">
        <f t="shared" si="6"/>
        <v>10854.38</v>
      </c>
      <c r="F14" s="14">
        <f t="shared" si="7"/>
        <v>880410.74</v>
      </c>
      <c r="G14" s="14">
        <f t="shared" si="2"/>
        <v>867467.12</v>
      </c>
      <c r="H14" s="14">
        <f t="shared" si="3"/>
        <v>10854.37898630137</v>
      </c>
      <c r="I14" s="16">
        <f t="shared" si="4"/>
        <v>-1.0136986293218797E-3</v>
      </c>
    </row>
    <row r="15" spans="1:16" x14ac:dyDescent="0.25">
      <c r="A15" s="94" t="s">
        <v>216</v>
      </c>
      <c r="B15" s="1">
        <f t="shared" si="5"/>
        <v>31</v>
      </c>
      <c r="C15" s="14">
        <f t="shared" si="0"/>
        <v>23798</v>
      </c>
      <c r="D15" s="95">
        <f t="shared" si="1"/>
        <v>12746.71</v>
      </c>
      <c r="E15" s="96">
        <f t="shared" si="6"/>
        <v>11051.29</v>
      </c>
      <c r="F15" s="14">
        <f t="shared" si="7"/>
        <v>867467.12</v>
      </c>
      <c r="G15" s="14">
        <f t="shared" si="2"/>
        <v>854720.41</v>
      </c>
      <c r="H15" s="14">
        <f t="shared" si="3"/>
        <v>11051.293446575342</v>
      </c>
      <c r="I15" s="16">
        <f t="shared" si="4"/>
        <v>3.4465753415133804E-3</v>
      </c>
    </row>
    <row r="16" spans="1:16" x14ac:dyDescent="0.25">
      <c r="A16" s="94" t="s">
        <v>122</v>
      </c>
      <c r="B16" s="1">
        <f t="shared" si="5"/>
        <v>31</v>
      </c>
      <c r="C16" s="14">
        <f t="shared" si="0"/>
        <v>23798</v>
      </c>
      <c r="D16" s="95">
        <f t="shared" si="1"/>
        <v>12909.1</v>
      </c>
      <c r="E16" s="96">
        <f t="shared" si="6"/>
        <v>10888.9</v>
      </c>
      <c r="F16" s="14">
        <f t="shared" si="7"/>
        <v>854720.41</v>
      </c>
      <c r="G16" s="14">
        <f t="shared" si="2"/>
        <v>841811.31</v>
      </c>
      <c r="H16" s="14">
        <f t="shared" si="3"/>
        <v>10888.903853424657</v>
      </c>
      <c r="I16" s="16">
        <f t="shared" si="4"/>
        <v>3.853424657791038E-3</v>
      </c>
    </row>
    <row r="17" spans="1:9" x14ac:dyDescent="0.25">
      <c r="A17" s="94" t="s">
        <v>217</v>
      </c>
      <c r="B17" s="1">
        <f t="shared" si="5"/>
        <v>30</v>
      </c>
      <c r="C17" s="14">
        <f t="shared" si="0"/>
        <v>23798</v>
      </c>
      <c r="D17" s="95">
        <f t="shared" si="1"/>
        <v>13419.5</v>
      </c>
      <c r="E17" s="96">
        <f t="shared" si="6"/>
        <v>10378.5</v>
      </c>
      <c r="F17" s="14">
        <f t="shared" si="7"/>
        <v>841811.31</v>
      </c>
      <c r="G17" s="14">
        <f t="shared" si="2"/>
        <v>828391.81</v>
      </c>
      <c r="H17" s="14">
        <f t="shared" si="3"/>
        <v>10378.495602739726</v>
      </c>
      <c r="I17" s="16">
        <f t="shared" si="4"/>
        <v>-4.3972602743451716E-3</v>
      </c>
    </row>
    <row r="18" spans="1:9" x14ac:dyDescent="0.25">
      <c r="A18" s="94" t="s">
        <v>218</v>
      </c>
      <c r="B18" s="1">
        <f t="shared" si="5"/>
        <v>31</v>
      </c>
      <c r="C18" s="14">
        <f t="shared" si="0"/>
        <v>23798</v>
      </c>
      <c r="D18" s="95">
        <f t="shared" si="1"/>
        <v>13244.52</v>
      </c>
      <c r="E18" s="96">
        <f t="shared" si="6"/>
        <v>10553.48</v>
      </c>
      <c r="F18" s="14">
        <f t="shared" si="7"/>
        <v>828391.81</v>
      </c>
      <c r="G18" s="14">
        <f t="shared" si="2"/>
        <v>815147.29</v>
      </c>
      <c r="H18" s="14">
        <f t="shared" si="3"/>
        <v>10553.484702739726</v>
      </c>
      <c r="I18" s="16">
        <f t="shared" si="4"/>
        <v>4.7027397267811466E-3</v>
      </c>
    </row>
    <row r="19" spans="1:9" x14ac:dyDescent="0.25">
      <c r="A19" s="94" t="s">
        <v>219</v>
      </c>
      <c r="B19" s="1">
        <f t="shared" si="5"/>
        <v>30</v>
      </c>
      <c r="C19" s="14">
        <f t="shared" si="0"/>
        <v>23798</v>
      </c>
      <c r="D19" s="95">
        <f t="shared" si="1"/>
        <v>13748.24</v>
      </c>
      <c r="E19" s="96">
        <f t="shared" si="6"/>
        <v>10049.76</v>
      </c>
      <c r="F19" s="14">
        <f t="shared" si="7"/>
        <v>815147.29</v>
      </c>
      <c r="G19" s="14">
        <f t="shared" si="2"/>
        <v>801399.05</v>
      </c>
      <c r="H19" s="14">
        <f t="shared" si="3"/>
        <v>10049.761109589042</v>
      </c>
      <c r="I19" s="16">
        <f t="shared" si="4"/>
        <v>1.109589042243897E-3</v>
      </c>
    </row>
    <row r="20" spans="1:9" x14ac:dyDescent="0.25">
      <c r="A20" s="94" t="s">
        <v>80</v>
      </c>
      <c r="B20" s="1">
        <f t="shared" si="5"/>
        <v>31</v>
      </c>
      <c r="C20" s="14">
        <f t="shared" si="0"/>
        <v>23798</v>
      </c>
      <c r="D20" s="95">
        <f t="shared" si="1"/>
        <v>13588.4</v>
      </c>
      <c r="E20" s="96">
        <f t="shared" si="6"/>
        <v>10209.6</v>
      </c>
      <c r="F20" s="14">
        <f t="shared" si="7"/>
        <v>801399.05</v>
      </c>
      <c r="G20" s="14">
        <f t="shared" si="2"/>
        <v>787810.65</v>
      </c>
      <c r="H20" s="14">
        <f t="shared" si="3"/>
        <v>10209.604335616439</v>
      </c>
      <c r="I20" s="16">
        <f t="shared" si="4"/>
        <v>4.3356164387660101E-3</v>
      </c>
    </row>
    <row r="21" spans="1:9" x14ac:dyDescent="0.25">
      <c r="A21" s="94" t="s">
        <v>220</v>
      </c>
      <c r="B21" s="1">
        <f t="shared" si="5"/>
        <v>31</v>
      </c>
      <c r="C21" s="14">
        <f t="shared" si="0"/>
        <v>23798</v>
      </c>
      <c r="D21" s="95">
        <f t="shared" si="1"/>
        <v>13761.51</v>
      </c>
      <c r="E21" s="96">
        <f t="shared" si="6"/>
        <v>10036.49</v>
      </c>
      <c r="F21" s="14">
        <f t="shared" si="7"/>
        <v>787810.65</v>
      </c>
      <c r="G21" s="14">
        <f t="shared" si="2"/>
        <v>774049.14</v>
      </c>
      <c r="H21" s="14">
        <f t="shared" si="3"/>
        <v>10036.491842465754</v>
      </c>
      <c r="I21" s="16">
        <f t="shared" si="4"/>
        <v>1.8424657537252642E-3</v>
      </c>
    </row>
    <row r="22" spans="1:9" x14ac:dyDescent="0.25">
      <c r="A22" s="94" t="s">
        <v>221</v>
      </c>
      <c r="B22" s="1">
        <f t="shared" si="5"/>
        <v>29</v>
      </c>
      <c r="C22" s="14">
        <f t="shared" si="0"/>
        <v>23798</v>
      </c>
      <c r="D22" s="95">
        <f t="shared" si="1"/>
        <v>14573.03</v>
      </c>
      <c r="E22" s="96">
        <f t="shared" si="6"/>
        <v>9224.9699999999993</v>
      </c>
      <c r="F22" s="14">
        <f t="shared" si="7"/>
        <v>774049.14</v>
      </c>
      <c r="G22" s="14">
        <f t="shared" si="2"/>
        <v>759476.11</v>
      </c>
      <c r="H22" s="14">
        <f t="shared" si="3"/>
        <v>9224.9692027397268</v>
      </c>
      <c r="I22" s="16">
        <f t="shared" si="4"/>
        <v>-7.9726027252036147E-4</v>
      </c>
    </row>
    <row r="23" spans="1:9" x14ac:dyDescent="0.25">
      <c r="A23" s="94" t="s">
        <v>222</v>
      </c>
      <c r="B23" s="1">
        <f t="shared" si="5"/>
        <v>31</v>
      </c>
      <c r="C23" s="14">
        <f t="shared" si="0"/>
        <v>23798</v>
      </c>
      <c r="D23" s="95">
        <f t="shared" si="1"/>
        <v>14122.48</v>
      </c>
      <c r="E23" s="96">
        <f t="shared" si="6"/>
        <v>9675.52</v>
      </c>
      <c r="F23" s="14">
        <f t="shared" si="7"/>
        <v>759476.11</v>
      </c>
      <c r="G23" s="14">
        <f t="shared" si="2"/>
        <v>745353.63</v>
      </c>
      <c r="H23" s="14">
        <f t="shared" si="3"/>
        <v>9675.5175657534237</v>
      </c>
      <c r="I23" s="16">
        <f t="shared" si="4"/>
        <v>-2.4342465767404065E-3</v>
      </c>
    </row>
    <row r="24" spans="1:9" x14ac:dyDescent="0.25">
      <c r="A24" s="94" t="s">
        <v>223</v>
      </c>
      <c r="B24" s="1">
        <f t="shared" si="5"/>
        <v>30</v>
      </c>
      <c r="C24" s="14">
        <f t="shared" si="0"/>
        <v>23798</v>
      </c>
      <c r="D24" s="95">
        <f t="shared" si="1"/>
        <v>14608.71</v>
      </c>
      <c r="E24" s="96">
        <f t="shared" si="6"/>
        <v>9189.2900000000009</v>
      </c>
      <c r="F24" s="14">
        <f t="shared" si="7"/>
        <v>745353.63</v>
      </c>
      <c r="G24" s="14">
        <f t="shared" si="2"/>
        <v>730744.92</v>
      </c>
      <c r="H24" s="14">
        <f t="shared" si="3"/>
        <v>9189.2913287671236</v>
      </c>
      <c r="I24" s="16">
        <f t="shared" si="4"/>
        <v>1.3287671226862585E-3</v>
      </c>
    </row>
    <row r="25" spans="1:9" x14ac:dyDescent="0.25">
      <c r="A25" s="94" t="s">
        <v>224</v>
      </c>
      <c r="B25" s="1">
        <f t="shared" si="5"/>
        <v>31</v>
      </c>
      <c r="C25" s="14">
        <f t="shared" si="0"/>
        <v>23798</v>
      </c>
      <c r="D25" s="95">
        <f t="shared" si="1"/>
        <v>14488.51</v>
      </c>
      <c r="E25" s="96">
        <f t="shared" si="6"/>
        <v>9309.49</v>
      </c>
      <c r="F25" s="14">
        <f t="shared" si="7"/>
        <v>730744.92</v>
      </c>
      <c r="G25" s="14">
        <f t="shared" si="2"/>
        <v>716256.41</v>
      </c>
      <c r="H25" s="14">
        <f t="shared" si="3"/>
        <v>9309.490076712329</v>
      </c>
      <c r="I25" s="16">
        <f t="shared" si="4"/>
        <v>7.6712329246220179E-5</v>
      </c>
    </row>
    <row r="26" spans="1:9" x14ac:dyDescent="0.25">
      <c r="A26" s="94" t="s">
        <v>225</v>
      </c>
      <c r="B26" s="1">
        <f t="shared" si="5"/>
        <v>30</v>
      </c>
      <c r="C26" s="14">
        <f t="shared" si="0"/>
        <v>23798</v>
      </c>
      <c r="D26" s="95">
        <f t="shared" si="1"/>
        <v>14967.44</v>
      </c>
      <c r="E26" s="96">
        <f t="shared" si="6"/>
        <v>8830.56</v>
      </c>
      <c r="F26" s="14">
        <f t="shared" si="7"/>
        <v>716256.41</v>
      </c>
      <c r="G26" s="14">
        <f t="shared" si="2"/>
        <v>701288.97000000009</v>
      </c>
      <c r="H26" s="14">
        <f t="shared" si="3"/>
        <v>8830.5584794520546</v>
      </c>
      <c r="I26" s="16">
        <f t="shared" si="4"/>
        <v>-1.5205479448923143E-3</v>
      </c>
    </row>
    <row r="27" spans="1:9" x14ac:dyDescent="0.25">
      <c r="A27" s="94" t="s">
        <v>226</v>
      </c>
      <c r="B27" s="1">
        <f t="shared" si="5"/>
        <v>31</v>
      </c>
      <c r="C27" s="14">
        <f t="shared" si="0"/>
        <v>23798</v>
      </c>
      <c r="D27" s="95">
        <f t="shared" si="1"/>
        <v>14863.77</v>
      </c>
      <c r="E27" s="96">
        <f t="shared" si="6"/>
        <v>8934.23</v>
      </c>
      <c r="F27" s="14">
        <f t="shared" si="7"/>
        <v>701288.97000000009</v>
      </c>
      <c r="G27" s="14">
        <f t="shared" si="2"/>
        <v>686425.20000000007</v>
      </c>
      <c r="H27" s="14">
        <f t="shared" si="3"/>
        <v>8934.2293438356173</v>
      </c>
      <c r="I27" s="16">
        <f t="shared" si="4"/>
        <v>-6.5616438223514706E-4</v>
      </c>
    </row>
    <row r="28" spans="1:9" x14ac:dyDescent="0.25">
      <c r="A28" s="94" t="s">
        <v>138</v>
      </c>
      <c r="B28" s="1">
        <f t="shared" si="5"/>
        <v>31</v>
      </c>
      <c r="C28" s="14">
        <f t="shared" si="0"/>
        <v>23798</v>
      </c>
      <c r="D28" s="95">
        <f t="shared" si="1"/>
        <v>15053.13</v>
      </c>
      <c r="E28" s="96">
        <f t="shared" si="6"/>
        <v>8744.8700000000008</v>
      </c>
      <c r="F28" s="14">
        <f t="shared" si="7"/>
        <v>686425.20000000007</v>
      </c>
      <c r="G28" s="14">
        <f t="shared" si="2"/>
        <v>671372.07000000007</v>
      </c>
      <c r="H28" s="14">
        <f t="shared" si="3"/>
        <v>8744.8689863013715</v>
      </c>
      <c r="I28" s="16">
        <f t="shared" si="4"/>
        <v>-1.0136986293218797E-3</v>
      </c>
    </row>
    <row r="29" spans="1:9" x14ac:dyDescent="0.25">
      <c r="A29" s="94" t="s">
        <v>227</v>
      </c>
      <c r="B29" s="1">
        <f t="shared" si="5"/>
        <v>30</v>
      </c>
      <c r="C29" s="14">
        <f t="shared" si="0"/>
        <v>23798</v>
      </c>
      <c r="D29" s="95">
        <f t="shared" si="1"/>
        <v>15520.81</v>
      </c>
      <c r="E29" s="96">
        <f t="shared" si="6"/>
        <v>8277.19</v>
      </c>
      <c r="F29" s="14">
        <f t="shared" si="7"/>
        <v>671372.07000000007</v>
      </c>
      <c r="G29" s="14">
        <f t="shared" si="2"/>
        <v>655851.26</v>
      </c>
      <c r="H29" s="14">
        <f t="shared" si="3"/>
        <v>8277.1899041095894</v>
      </c>
      <c r="I29" s="16">
        <f t="shared" si="4"/>
        <v>-9.5890411103027873E-5</v>
      </c>
    </row>
    <row r="30" spans="1:9" x14ac:dyDescent="0.25">
      <c r="A30" s="94" t="s">
        <v>228</v>
      </c>
      <c r="B30" s="1">
        <f t="shared" si="5"/>
        <v>31</v>
      </c>
      <c r="C30" s="14">
        <f t="shared" si="0"/>
        <v>23798</v>
      </c>
      <c r="D30" s="95">
        <f t="shared" si="1"/>
        <v>15442.63</v>
      </c>
      <c r="E30" s="96">
        <f t="shared" si="6"/>
        <v>8355.3700000000008</v>
      </c>
      <c r="F30" s="14">
        <f t="shared" si="7"/>
        <v>655851.26</v>
      </c>
      <c r="G30" s="14">
        <f t="shared" si="2"/>
        <v>640408.63</v>
      </c>
      <c r="H30" s="14">
        <f t="shared" si="3"/>
        <v>8355.3653671232878</v>
      </c>
      <c r="I30" s="16">
        <f t="shared" si="4"/>
        <v>-4.6328767130034976E-3</v>
      </c>
    </row>
    <row r="31" spans="1:9" x14ac:dyDescent="0.25">
      <c r="A31" s="94" t="s">
        <v>229</v>
      </c>
      <c r="B31" s="1">
        <f t="shared" si="5"/>
        <v>30</v>
      </c>
      <c r="C31" s="14">
        <f t="shared" si="0"/>
        <v>23798</v>
      </c>
      <c r="D31" s="95">
        <f t="shared" si="1"/>
        <v>15902.55</v>
      </c>
      <c r="E31" s="96">
        <f t="shared" si="6"/>
        <v>7895.45</v>
      </c>
      <c r="F31" s="14">
        <f t="shared" si="7"/>
        <v>640408.63</v>
      </c>
      <c r="G31" s="14">
        <f t="shared" si="2"/>
        <v>624506.07999999996</v>
      </c>
      <c r="H31" s="14">
        <f t="shared" si="3"/>
        <v>7895.4488630136984</v>
      </c>
      <c r="I31" s="16">
        <f t="shared" si="4"/>
        <v>-1.1369863013896975E-3</v>
      </c>
    </row>
    <row r="32" spans="1:9" x14ac:dyDescent="0.25">
      <c r="A32" s="94" t="s">
        <v>230</v>
      </c>
      <c r="B32" s="1">
        <f t="shared" si="5"/>
        <v>31</v>
      </c>
      <c r="C32" s="14">
        <f t="shared" si="0"/>
        <v>23798</v>
      </c>
      <c r="D32" s="95">
        <f t="shared" si="1"/>
        <v>15841.96</v>
      </c>
      <c r="E32" s="96">
        <f t="shared" si="6"/>
        <v>7956.04</v>
      </c>
      <c r="F32" s="14">
        <f t="shared" si="7"/>
        <v>624506.07999999996</v>
      </c>
      <c r="G32" s="14">
        <f t="shared" si="2"/>
        <v>608664.12</v>
      </c>
      <c r="H32" s="14">
        <f t="shared" si="3"/>
        <v>7956.0363616438353</v>
      </c>
      <c r="I32" s="16">
        <f t="shared" si="4"/>
        <v>-3.6383561646289309E-3</v>
      </c>
    </row>
    <row r="33" spans="1:9" x14ac:dyDescent="0.25">
      <c r="A33" s="94" t="s">
        <v>231</v>
      </c>
      <c r="B33" s="1">
        <f t="shared" si="5"/>
        <v>31</v>
      </c>
      <c r="C33" s="14">
        <f t="shared" si="0"/>
        <v>23798</v>
      </c>
      <c r="D33" s="95">
        <f t="shared" si="1"/>
        <v>16043.79</v>
      </c>
      <c r="E33" s="96">
        <f t="shared" si="6"/>
        <v>7754.21</v>
      </c>
      <c r="F33" s="14">
        <f t="shared" si="7"/>
        <v>608664.12</v>
      </c>
      <c r="G33" s="14">
        <f t="shared" si="2"/>
        <v>592620.32999999996</v>
      </c>
      <c r="H33" s="14">
        <f t="shared" si="3"/>
        <v>7754.2141315068502</v>
      </c>
      <c r="I33" s="16">
        <f t="shared" si="4"/>
        <v>4.1315068501717178E-3</v>
      </c>
    </row>
    <row r="34" spans="1:9" x14ac:dyDescent="0.25">
      <c r="A34" s="94" t="s">
        <v>232</v>
      </c>
      <c r="B34" s="1">
        <f t="shared" si="5"/>
        <v>28</v>
      </c>
      <c r="C34" s="14">
        <f t="shared" si="0"/>
        <v>23798</v>
      </c>
      <c r="D34" s="95">
        <f t="shared" si="1"/>
        <v>16978.810000000001</v>
      </c>
      <c r="E34" s="96">
        <f t="shared" si="6"/>
        <v>6819.19</v>
      </c>
      <c r="F34" s="14">
        <f t="shared" si="7"/>
        <v>592620.32999999996</v>
      </c>
      <c r="G34" s="14">
        <f t="shared" si="2"/>
        <v>575641.5199999999</v>
      </c>
      <c r="H34" s="14">
        <f t="shared" si="3"/>
        <v>6819.1928383561644</v>
      </c>
      <c r="I34" s="16">
        <f t="shared" si="4"/>
        <v>2.8383561648297473E-3</v>
      </c>
    </row>
    <row r="35" spans="1:9" x14ac:dyDescent="0.25">
      <c r="A35" s="94" t="s">
        <v>233</v>
      </c>
      <c r="B35" s="1">
        <f t="shared" si="5"/>
        <v>31</v>
      </c>
      <c r="C35" s="14">
        <f t="shared" si="0"/>
        <v>23798</v>
      </c>
      <c r="D35" s="95">
        <f t="shared" si="1"/>
        <v>16464.48</v>
      </c>
      <c r="E35" s="96">
        <f t="shared" si="6"/>
        <v>7333.52</v>
      </c>
      <c r="F35" s="14">
        <f t="shared" si="7"/>
        <v>575641.5199999999</v>
      </c>
      <c r="G35" s="14">
        <f t="shared" si="2"/>
        <v>559177.03999999992</v>
      </c>
      <c r="H35" s="14">
        <f t="shared" si="3"/>
        <v>7333.515254794519</v>
      </c>
      <c r="I35" s="16">
        <f t="shared" si="4"/>
        <v>-4.7452054814129951E-3</v>
      </c>
    </row>
    <row r="36" spans="1:9" x14ac:dyDescent="0.25">
      <c r="A36" s="94" t="s">
        <v>234</v>
      </c>
      <c r="B36" s="1">
        <f t="shared" si="5"/>
        <v>30</v>
      </c>
      <c r="C36" s="14">
        <f t="shared" si="0"/>
        <v>23798</v>
      </c>
      <c r="D36" s="95">
        <f t="shared" si="1"/>
        <v>16904.04</v>
      </c>
      <c r="E36" s="96">
        <f t="shared" si="6"/>
        <v>6893.96</v>
      </c>
      <c r="F36" s="14">
        <f t="shared" si="7"/>
        <v>559177.03999999992</v>
      </c>
      <c r="G36" s="14">
        <f t="shared" si="2"/>
        <v>542272.99999999988</v>
      </c>
      <c r="H36" s="14">
        <f t="shared" si="3"/>
        <v>6893.9635068493144</v>
      </c>
      <c r="I36" s="16">
        <f t="shared" si="4"/>
        <v>3.5068493143626256E-3</v>
      </c>
    </row>
    <row r="37" spans="1:9" x14ac:dyDescent="0.25">
      <c r="A37" s="94" t="s">
        <v>235</v>
      </c>
      <c r="B37" s="1">
        <f t="shared" si="5"/>
        <v>31</v>
      </c>
      <c r="C37" s="14">
        <f t="shared" si="0"/>
        <v>23798</v>
      </c>
      <c r="D37" s="95">
        <f t="shared" si="1"/>
        <v>16889.59</v>
      </c>
      <c r="E37" s="96">
        <f t="shared" si="6"/>
        <v>6908.41</v>
      </c>
      <c r="F37" s="14">
        <f t="shared" si="7"/>
        <v>542272.99999999988</v>
      </c>
      <c r="G37" s="14">
        <f t="shared" si="2"/>
        <v>525383.40999999992</v>
      </c>
      <c r="H37" s="14">
        <f t="shared" si="3"/>
        <v>6908.4094520547924</v>
      </c>
      <c r="I37" s="16">
        <f t="shared" si="4"/>
        <v>-5.4794520747236675E-4</v>
      </c>
    </row>
    <row r="38" spans="1:9" x14ac:dyDescent="0.25">
      <c r="A38" s="94" t="s">
        <v>236</v>
      </c>
      <c r="B38" s="1">
        <f t="shared" si="5"/>
        <v>30</v>
      </c>
      <c r="C38" s="14">
        <f t="shared" si="0"/>
        <v>23798</v>
      </c>
      <c r="D38" s="95">
        <f t="shared" si="1"/>
        <v>17320.669999999998</v>
      </c>
      <c r="E38" s="96">
        <f t="shared" si="6"/>
        <v>6477.33</v>
      </c>
      <c r="F38" s="14">
        <f t="shared" si="7"/>
        <v>525383.40999999992</v>
      </c>
      <c r="G38" s="14">
        <f t="shared" si="2"/>
        <v>508062.73999999993</v>
      </c>
      <c r="H38" s="14">
        <f t="shared" si="3"/>
        <v>6477.3297123287648</v>
      </c>
      <c r="I38" s="16">
        <f t="shared" si="4"/>
        <v>-2.8767123512807302E-4</v>
      </c>
    </row>
    <row r="39" spans="1:9" x14ac:dyDescent="0.25">
      <c r="A39" s="94" t="s">
        <v>237</v>
      </c>
      <c r="B39" s="1">
        <f t="shared" si="5"/>
        <v>31</v>
      </c>
      <c r="C39" s="14">
        <f t="shared" si="0"/>
        <v>23798</v>
      </c>
      <c r="D39" s="95">
        <f t="shared" si="1"/>
        <v>17325.419999999998</v>
      </c>
      <c r="E39" s="96">
        <f t="shared" si="6"/>
        <v>6472.58</v>
      </c>
      <c r="F39" s="14">
        <f t="shared" si="7"/>
        <v>508062.73999999993</v>
      </c>
      <c r="G39" s="14">
        <f t="shared" si="2"/>
        <v>490737.31999999995</v>
      </c>
      <c r="H39" s="14">
        <f t="shared" si="3"/>
        <v>6472.5801123287665</v>
      </c>
      <c r="I39" s="16">
        <f t="shared" si="4"/>
        <v>1.1232876659050817E-4</v>
      </c>
    </row>
    <row r="40" spans="1:9" x14ac:dyDescent="0.25">
      <c r="A40" s="94" t="s">
        <v>139</v>
      </c>
      <c r="B40" s="1">
        <f t="shared" ref="B40:B103" si="8">_xlfn.DAYS(A40,A39)</f>
        <v>31</v>
      </c>
      <c r="C40" s="14">
        <f t="shared" si="0"/>
        <v>23798</v>
      </c>
      <c r="D40" s="95">
        <f t="shared" ref="D40:D65" si="9">C40-E40</f>
        <v>17546.14</v>
      </c>
      <c r="E40" s="96">
        <f t="shared" ref="E40:E62" si="10">ROUND(F40*$B$2*B40/365,2)</f>
        <v>6251.86</v>
      </c>
      <c r="F40" s="14">
        <f t="shared" ref="F40:F63" si="11">G39</f>
        <v>490737.31999999995</v>
      </c>
      <c r="G40" s="14">
        <f t="shared" ref="G40:G64" si="12">F40-D40</f>
        <v>473191.17999999993</v>
      </c>
    </row>
    <row r="41" spans="1:9" x14ac:dyDescent="0.25">
      <c r="A41" s="94" t="s">
        <v>239</v>
      </c>
      <c r="B41" s="1">
        <f t="shared" si="8"/>
        <v>30</v>
      </c>
      <c r="C41" s="14">
        <f t="shared" si="0"/>
        <v>23798</v>
      </c>
      <c r="D41" s="95">
        <f t="shared" si="9"/>
        <v>17964.14</v>
      </c>
      <c r="E41" s="96">
        <f t="shared" si="10"/>
        <v>5833.86</v>
      </c>
      <c r="F41" s="14">
        <f t="shared" si="11"/>
        <v>473191.17999999993</v>
      </c>
      <c r="G41" s="14">
        <f t="shared" si="12"/>
        <v>455227.03999999992</v>
      </c>
    </row>
    <row r="42" spans="1:9" x14ac:dyDescent="0.25">
      <c r="A42" s="94" t="s">
        <v>240</v>
      </c>
      <c r="B42" s="1">
        <f t="shared" si="8"/>
        <v>31</v>
      </c>
      <c r="C42" s="14">
        <f t="shared" si="0"/>
        <v>23798</v>
      </c>
      <c r="D42" s="95">
        <f t="shared" si="9"/>
        <v>17998.53</v>
      </c>
      <c r="E42" s="96">
        <f t="shared" si="10"/>
        <v>5799.47</v>
      </c>
      <c r="F42" s="14">
        <f t="shared" si="11"/>
        <v>455227.03999999992</v>
      </c>
      <c r="G42" s="14">
        <f t="shared" si="12"/>
        <v>437228.50999999989</v>
      </c>
    </row>
    <row r="43" spans="1:9" x14ac:dyDescent="0.25">
      <c r="A43" s="94" t="s">
        <v>241</v>
      </c>
      <c r="B43" s="1">
        <f t="shared" si="8"/>
        <v>30</v>
      </c>
      <c r="C43" s="14">
        <f t="shared" si="0"/>
        <v>23798</v>
      </c>
      <c r="D43" s="95">
        <f t="shared" si="9"/>
        <v>18407.510000000002</v>
      </c>
      <c r="E43" s="96">
        <f t="shared" si="10"/>
        <v>5390.49</v>
      </c>
      <c r="F43" s="14">
        <f t="shared" si="11"/>
        <v>437228.50999999989</v>
      </c>
      <c r="G43" s="14">
        <f t="shared" si="12"/>
        <v>418820.99999999988</v>
      </c>
    </row>
    <row r="44" spans="1:9" x14ac:dyDescent="0.25">
      <c r="A44" s="94" t="s">
        <v>245</v>
      </c>
      <c r="B44" s="1">
        <f t="shared" si="8"/>
        <v>31</v>
      </c>
      <c r="C44" s="14">
        <f t="shared" si="0"/>
        <v>23798</v>
      </c>
      <c r="D44" s="95">
        <f t="shared" si="9"/>
        <v>18462.34</v>
      </c>
      <c r="E44" s="96">
        <f t="shared" si="10"/>
        <v>5335.66</v>
      </c>
      <c r="F44" s="14">
        <f t="shared" si="11"/>
        <v>418820.99999999988</v>
      </c>
      <c r="G44" s="14">
        <f t="shared" si="12"/>
        <v>400358.65999999986</v>
      </c>
    </row>
    <row r="45" spans="1:9" x14ac:dyDescent="0.25">
      <c r="A45" s="94" t="s">
        <v>246</v>
      </c>
      <c r="B45" s="1">
        <f t="shared" si="8"/>
        <v>31</v>
      </c>
      <c r="C45" s="14">
        <f t="shared" si="0"/>
        <v>23798</v>
      </c>
      <c r="D45" s="95">
        <f t="shared" si="9"/>
        <v>18697.54</v>
      </c>
      <c r="E45" s="96">
        <f t="shared" si="10"/>
        <v>5100.46</v>
      </c>
      <c r="F45" s="14">
        <f t="shared" si="11"/>
        <v>400358.65999999986</v>
      </c>
      <c r="G45" s="14">
        <f t="shared" si="12"/>
        <v>381661.11999999988</v>
      </c>
    </row>
    <row r="46" spans="1:9" x14ac:dyDescent="0.25">
      <c r="A46" s="94" t="s">
        <v>247</v>
      </c>
      <c r="B46" s="1">
        <f t="shared" si="8"/>
        <v>28</v>
      </c>
      <c r="C46" s="14">
        <f t="shared" si="0"/>
        <v>23798</v>
      </c>
      <c r="D46" s="95">
        <f t="shared" si="9"/>
        <v>19406.28</v>
      </c>
      <c r="E46" s="96">
        <f t="shared" si="10"/>
        <v>4391.72</v>
      </c>
      <c r="F46" s="14">
        <f t="shared" si="11"/>
        <v>381661.11999999988</v>
      </c>
      <c r="G46" s="14">
        <f t="shared" si="12"/>
        <v>362254.83999999985</v>
      </c>
    </row>
    <row r="47" spans="1:9" x14ac:dyDescent="0.25">
      <c r="A47" s="94" t="s">
        <v>248</v>
      </c>
      <c r="B47" s="1">
        <f t="shared" si="8"/>
        <v>31</v>
      </c>
      <c r="C47" s="14">
        <f t="shared" si="0"/>
        <v>23798</v>
      </c>
      <c r="D47" s="95">
        <f t="shared" si="9"/>
        <v>19182.97</v>
      </c>
      <c r="E47" s="96">
        <f t="shared" si="10"/>
        <v>4615.03</v>
      </c>
      <c r="F47" s="14">
        <f t="shared" si="11"/>
        <v>362254.83999999985</v>
      </c>
      <c r="G47" s="14">
        <f t="shared" si="12"/>
        <v>343071.86999999988</v>
      </c>
    </row>
    <row r="48" spans="1:9" x14ac:dyDescent="0.25">
      <c r="A48" s="94" t="s">
        <v>242</v>
      </c>
      <c r="B48" s="1">
        <f t="shared" si="8"/>
        <v>30</v>
      </c>
      <c r="C48" s="14">
        <f t="shared" si="0"/>
        <v>23798</v>
      </c>
      <c r="D48" s="95">
        <f t="shared" si="9"/>
        <v>19568.349999999999</v>
      </c>
      <c r="E48" s="96">
        <f t="shared" si="10"/>
        <v>4229.6499999999996</v>
      </c>
      <c r="F48" s="14">
        <f t="shared" si="11"/>
        <v>343071.86999999988</v>
      </c>
      <c r="G48" s="14">
        <f t="shared" si="12"/>
        <v>323503.5199999999</v>
      </c>
    </row>
    <row r="49" spans="1:7" x14ac:dyDescent="0.25">
      <c r="A49" s="94" t="s">
        <v>243</v>
      </c>
      <c r="B49" s="1">
        <f t="shared" si="8"/>
        <v>31</v>
      </c>
      <c r="C49" s="14">
        <f t="shared" si="0"/>
        <v>23798</v>
      </c>
      <c r="D49" s="95">
        <f t="shared" si="9"/>
        <v>19676.650000000001</v>
      </c>
      <c r="E49" s="96">
        <f t="shared" si="10"/>
        <v>4121.3500000000004</v>
      </c>
      <c r="F49" s="14">
        <f t="shared" si="11"/>
        <v>323503.5199999999</v>
      </c>
      <c r="G49" s="14">
        <f t="shared" si="12"/>
        <v>303826.86999999988</v>
      </c>
    </row>
    <row r="50" spans="1:7" x14ac:dyDescent="0.25">
      <c r="A50" s="94" t="s">
        <v>238</v>
      </c>
      <c r="B50" s="1">
        <f t="shared" si="8"/>
        <v>30</v>
      </c>
      <c r="C50" s="14">
        <f t="shared" si="0"/>
        <v>23798</v>
      </c>
      <c r="D50" s="95">
        <f t="shared" si="9"/>
        <v>20052.189999999999</v>
      </c>
      <c r="E50" s="96">
        <f t="shared" si="10"/>
        <v>3745.81</v>
      </c>
      <c r="F50" s="14">
        <f t="shared" si="11"/>
        <v>303826.86999999988</v>
      </c>
      <c r="G50" s="14">
        <f t="shared" si="12"/>
        <v>283774.67999999988</v>
      </c>
    </row>
    <row r="51" spans="1:7" x14ac:dyDescent="0.25">
      <c r="A51" s="94" t="s">
        <v>244</v>
      </c>
      <c r="B51" s="1">
        <f t="shared" si="8"/>
        <v>31</v>
      </c>
      <c r="C51" s="14">
        <f t="shared" si="0"/>
        <v>23798</v>
      </c>
      <c r="D51" s="95">
        <f t="shared" si="9"/>
        <v>20182.79</v>
      </c>
      <c r="E51" s="96">
        <f t="shared" si="10"/>
        <v>3615.21</v>
      </c>
      <c r="F51" s="14">
        <f t="shared" si="11"/>
        <v>283774.67999999988</v>
      </c>
      <c r="G51" s="14">
        <f t="shared" si="12"/>
        <v>263591.8899999999</v>
      </c>
    </row>
    <row r="52" spans="1:7" x14ac:dyDescent="0.25">
      <c r="A52" s="94" t="s">
        <v>249</v>
      </c>
      <c r="B52" s="1">
        <f t="shared" si="8"/>
        <v>31</v>
      </c>
      <c r="C52" s="14">
        <f t="shared" si="0"/>
        <v>23798</v>
      </c>
      <c r="D52" s="95">
        <f t="shared" si="9"/>
        <v>20439.91</v>
      </c>
      <c r="E52" s="96">
        <f t="shared" si="10"/>
        <v>3358.09</v>
      </c>
      <c r="F52" s="14">
        <f t="shared" si="11"/>
        <v>263591.8899999999</v>
      </c>
      <c r="G52" s="14">
        <f t="shared" si="12"/>
        <v>243151.97999999989</v>
      </c>
    </row>
    <row r="53" spans="1:7" x14ac:dyDescent="0.25">
      <c r="A53" s="94" t="s">
        <v>250</v>
      </c>
      <c r="B53" s="1">
        <f t="shared" si="8"/>
        <v>30</v>
      </c>
      <c r="C53" s="14">
        <f t="shared" si="0"/>
        <v>23798</v>
      </c>
      <c r="D53" s="95">
        <f t="shared" si="9"/>
        <v>20800.239999999998</v>
      </c>
      <c r="E53" s="96">
        <f t="shared" si="10"/>
        <v>2997.76</v>
      </c>
      <c r="F53" s="14">
        <f t="shared" si="11"/>
        <v>243151.97999999989</v>
      </c>
      <c r="G53" s="14">
        <f t="shared" si="12"/>
        <v>222351.7399999999</v>
      </c>
    </row>
    <row r="54" spans="1:7" x14ac:dyDescent="0.25">
      <c r="A54" s="94" t="s">
        <v>251</v>
      </c>
      <c r="B54" s="1">
        <f t="shared" si="8"/>
        <v>31</v>
      </c>
      <c r="C54" s="14">
        <f t="shared" si="0"/>
        <v>23798</v>
      </c>
      <c r="D54" s="95">
        <f t="shared" si="9"/>
        <v>20965.3</v>
      </c>
      <c r="E54" s="96">
        <f t="shared" si="10"/>
        <v>2832.7</v>
      </c>
      <c r="F54" s="14">
        <f t="shared" si="11"/>
        <v>222351.7399999999</v>
      </c>
      <c r="G54" s="14">
        <f t="shared" si="12"/>
        <v>201386.43999999992</v>
      </c>
    </row>
    <row r="55" spans="1:7" x14ac:dyDescent="0.25">
      <c r="A55" s="94" t="s">
        <v>252</v>
      </c>
      <c r="B55" s="1">
        <f t="shared" si="8"/>
        <v>30</v>
      </c>
      <c r="C55" s="14">
        <f t="shared" si="0"/>
        <v>23798</v>
      </c>
      <c r="D55" s="95">
        <f t="shared" si="9"/>
        <v>21315.15</v>
      </c>
      <c r="E55" s="96">
        <f t="shared" si="10"/>
        <v>2482.85</v>
      </c>
      <c r="F55" s="14">
        <f t="shared" si="11"/>
        <v>201386.43999999992</v>
      </c>
      <c r="G55" s="14">
        <f t="shared" si="12"/>
        <v>180071.28999999992</v>
      </c>
    </row>
    <row r="56" spans="1:7" x14ac:dyDescent="0.25">
      <c r="A56" s="94" t="s">
        <v>253</v>
      </c>
      <c r="B56" s="1">
        <f t="shared" si="8"/>
        <v>31</v>
      </c>
      <c r="C56" s="14">
        <f t="shared" si="0"/>
        <v>23798</v>
      </c>
      <c r="D56" s="95">
        <f t="shared" si="9"/>
        <v>21503.94</v>
      </c>
      <c r="E56" s="96">
        <f t="shared" si="10"/>
        <v>2294.06</v>
      </c>
      <c r="F56" s="14">
        <f t="shared" si="11"/>
        <v>180071.28999999992</v>
      </c>
      <c r="G56" s="14">
        <f t="shared" si="12"/>
        <v>158567.34999999992</v>
      </c>
    </row>
    <row r="57" spans="1:7" x14ac:dyDescent="0.25">
      <c r="A57" s="94" t="s">
        <v>254</v>
      </c>
      <c r="B57" s="1">
        <f t="shared" si="8"/>
        <v>31</v>
      </c>
      <c r="C57" s="14">
        <f t="shared" si="0"/>
        <v>23798</v>
      </c>
      <c r="D57" s="95">
        <f t="shared" si="9"/>
        <v>21777.9</v>
      </c>
      <c r="E57" s="96">
        <f t="shared" si="10"/>
        <v>2020.1</v>
      </c>
      <c r="F57" s="14">
        <f t="shared" si="11"/>
        <v>158567.34999999992</v>
      </c>
      <c r="G57" s="14">
        <f t="shared" si="12"/>
        <v>136789.44999999992</v>
      </c>
    </row>
    <row r="58" spans="1:7" x14ac:dyDescent="0.25">
      <c r="A58" s="94" t="s">
        <v>255</v>
      </c>
      <c r="B58" s="1">
        <f t="shared" si="8"/>
        <v>28</v>
      </c>
      <c r="C58" s="14">
        <f t="shared" si="0"/>
        <v>23798</v>
      </c>
      <c r="D58" s="95">
        <f t="shared" si="9"/>
        <v>22223.98</v>
      </c>
      <c r="E58" s="96">
        <f t="shared" si="10"/>
        <v>1574.02</v>
      </c>
      <c r="F58" s="14">
        <f t="shared" si="11"/>
        <v>136789.44999999992</v>
      </c>
      <c r="G58" s="14">
        <f t="shared" si="12"/>
        <v>114565.46999999993</v>
      </c>
    </row>
    <row r="59" spans="1:7" x14ac:dyDescent="0.25">
      <c r="A59" s="94" t="s">
        <v>256</v>
      </c>
      <c r="B59" s="1">
        <f t="shared" si="8"/>
        <v>31</v>
      </c>
      <c r="C59" s="14">
        <f t="shared" si="0"/>
        <v>23798</v>
      </c>
      <c r="D59" s="95">
        <f t="shared" si="9"/>
        <v>22338.47</v>
      </c>
      <c r="E59" s="96">
        <f t="shared" si="10"/>
        <v>1459.53</v>
      </c>
      <c r="F59" s="14">
        <f t="shared" si="11"/>
        <v>114565.46999999993</v>
      </c>
      <c r="G59" s="14">
        <f t="shared" si="12"/>
        <v>92226.999999999927</v>
      </c>
    </row>
    <row r="60" spans="1:7" x14ac:dyDescent="0.25">
      <c r="A60" s="94" t="s">
        <v>257</v>
      </c>
      <c r="B60" s="1">
        <f t="shared" si="8"/>
        <v>30</v>
      </c>
      <c r="C60" s="14">
        <f t="shared" si="0"/>
        <v>23798</v>
      </c>
      <c r="D60" s="95">
        <f t="shared" si="9"/>
        <v>22660.95</v>
      </c>
      <c r="E60" s="96">
        <f t="shared" si="10"/>
        <v>1137.05</v>
      </c>
      <c r="F60" s="14">
        <f t="shared" si="11"/>
        <v>92226.999999999927</v>
      </c>
      <c r="G60" s="14">
        <f t="shared" si="12"/>
        <v>69566.04999999993</v>
      </c>
    </row>
    <row r="61" spans="1:7" x14ac:dyDescent="0.25">
      <c r="A61" s="94" t="s">
        <v>258</v>
      </c>
      <c r="B61" s="1">
        <f t="shared" si="8"/>
        <v>31</v>
      </c>
      <c r="C61" s="14">
        <f t="shared" si="0"/>
        <v>23798</v>
      </c>
      <c r="D61" s="95">
        <f t="shared" si="9"/>
        <v>22911.75</v>
      </c>
      <c r="E61" s="96">
        <f t="shared" si="10"/>
        <v>886.25</v>
      </c>
      <c r="F61" s="14">
        <f t="shared" si="11"/>
        <v>69566.04999999993</v>
      </c>
      <c r="G61" s="14">
        <f t="shared" si="12"/>
        <v>46654.29999999993</v>
      </c>
    </row>
    <row r="62" spans="1:7" x14ac:dyDescent="0.25">
      <c r="A62" s="94" t="s">
        <v>259</v>
      </c>
      <c r="B62" s="1">
        <f t="shared" si="8"/>
        <v>30</v>
      </c>
      <c r="C62" s="14">
        <f t="shared" si="0"/>
        <v>23798</v>
      </c>
      <c r="D62" s="95">
        <f t="shared" si="9"/>
        <v>23222.81</v>
      </c>
      <c r="E62" s="96">
        <f t="shared" si="10"/>
        <v>575.19000000000005</v>
      </c>
      <c r="F62" s="14">
        <f t="shared" si="11"/>
        <v>46654.29999999993</v>
      </c>
      <c r="G62" s="14">
        <f t="shared" si="12"/>
        <v>23431.489999999929</v>
      </c>
    </row>
    <row r="63" spans="1:7" x14ac:dyDescent="0.25">
      <c r="A63" s="94" t="s">
        <v>260</v>
      </c>
      <c r="B63" s="1">
        <f t="shared" si="8"/>
        <v>31</v>
      </c>
      <c r="C63" s="14">
        <f t="shared" si="0"/>
        <v>23798</v>
      </c>
      <c r="D63" s="95">
        <f t="shared" si="9"/>
        <v>23431.489999999929</v>
      </c>
      <c r="E63" s="96">
        <v>366.51000000007275</v>
      </c>
      <c r="F63" s="14">
        <f t="shared" si="11"/>
        <v>23431.489999999929</v>
      </c>
      <c r="G63" s="14">
        <f t="shared" si="12"/>
        <v>0</v>
      </c>
    </row>
    <row r="64" spans="1:7" x14ac:dyDescent="0.25">
      <c r="A64" s="97">
        <v>42005</v>
      </c>
      <c r="B64" s="103">
        <f>_xlfn.DAYS(A8,A7)</f>
        <v>31</v>
      </c>
      <c r="C64" s="99">
        <f t="shared" si="0"/>
        <v>23798</v>
      </c>
      <c r="D64" s="100">
        <f>C8-E8</f>
        <v>11643.02</v>
      </c>
      <c r="E64" s="101">
        <f>ROUND(F8*$B$2*B8/365,2)</f>
        <v>12154.98</v>
      </c>
      <c r="F64" s="99">
        <f>G7</f>
        <v>954100.61</v>
      </c>
      <c r="G64" s="99">
        <f t="shared" si="12"/>
        <v>942457.59</v>
      </c>
    </row>
    <row r="65" spans="1:7" x14ac:dyDescent="0.25">
      <c r="A65" s="94">
        <v>42036</v>
      </c>
      <c r="B65" s="1">
        <f t="shared" si="8"/>
        <v>31</v>
      </c>
      <c r="C65" s="14">
        <f>$H$1</f>
        <v>21443</v>
      </c>
      <c r="D65" s="95">
        <f t="shared" si="9"/>
        <v>12922.15</v>
      </c>
      <c r="E65" s="96">
        <f>ROUND((F65*$B$2*N2/365)+(F65*$J$1*P2/365),2)</f>
        <v>8520.85</v>
      </c>
      <c r="F65" s="14">
        <f t="shared" ref="F65" si="13">G64</f>
        <v>942457.59</v>
      </c>
      <c r="G65" s="14">
        <f t="shared" ref="G65" si="14">F65-D65</f>
        <v>929535.44</v>
      </c>
    </row>
    <row r="66" spans="1:7" x14ac:dyDescent="0.25">
      <c r="A66" s="94">
        <v>42064</v>
      </c>
      <c r="B66" s="1">
        <f t="shared" si="8"/>
        <v>28</v>
      </c>
      <c r="C66" s="14">
        <f t="shared" ref="C66:C68" si="15">$H$1</f>
        <v>21443</v>
      </c>
      <c r="D66" s="95">
        <f t="shared" ref="D66:D107" si="16">C66-E66</f>
        <v>14312.32</v>
      </c>
      <c r="E66" s="96">
        <f t="shared" ref="E66:E106" si="17">ROUND(F66*$J$1*B66/365,2)</f>
        <v>7130.68</v>
      </c>
      <c r="F66" s="14">
        <f t="shared" ref="F66:F107" si="18">G65</f>
        <v>929535.44</v>
      </c>
      <c r="G66" s="14">
        <f t="shared" ref="G66:G107" si="19">F66-D66</f>
        <v>915223.12</v>
      </c>
    </row>
    <row r="67" spans="1:7" x14ac:dyDescent="0.25">
      <c r="A67" s="94">
        <v>42095</v>
      </c>
      <c r="B67" s="1">
        <f t="shared" si="8"/>
        <v>31</v>
      </c>
      <c r="C67" s="14">
        <f t="shared" si="15"/>
        <v>21443</v>
      </c>
      <c r="D67" s="95">
        <f t="shared" si="16"/>
        <v>13669.869999999999</v>
      </c>
      <c r="E67" s="96">
        <f t="shared" si="17"/>
        <v>7773.13</v>
      </c>
      <c r="F67" s="14">
        <f t="shared" si="18"/>
        <v>915223.12</v>
      </c>
      <c r="G67" s="14">
        <f t="shared" si="19"/>
        <v>901553.25</v>
      </c>
    </row>
    <row r="68" spans="1:7" x14ac:dyDescent="0.25">
      <c r="A68" s="36">
        <v>42125</v>
      </c>
      <c r="B68" s="1">
        <f t="shared" si="8"/>
        <v>30</v>
      </c>
      <c r="C68" s="14">
        <f t="shared" si="15"/>
        <v>21443</v>
      </c>
      <c r="D68" s="95">
        <f t="shared" si="16"/>
        <v>14032.970000000001</v>
      </c>
      <c r="E68" s="96">
        <f t="shared" si="17"/>
        <v>7410.03</v>
      </c>
      <c r="F68" s="14">
        <f t="shared" si="18"/>
        <v>901553.25</v>
      </c>
      <c r="G68" s="14">
        <f t="shared" si="19"/>
        <v>887520.28</v>
      </c>
    </row>
    <row r="69" spans="1:7" x14ac:dyDescent="0.25">
      <c r="A69" s="70">
        <v>42156</v>
      </c>
      <c r="B69" s="98">
        <f t="shared" si="8"/>
        <v>31</v>
      </c>
      <c r="C69" s="99">
        <f>$N$1</f>
        <v>20236</v>
      </c>
      <c r="D69" s="100">
        <f t="shared" si="16"/>
        <v>13068.02</v>
      </c>
      <c r="E69" s="101">
        <f>ROUND((G68*$J$1*N2/365)+(F69*$J$1*P2/365),2)</f>
        <v>7167.98</v>
      </c>
      <c r="F69" s="99">
        <f>G68-P1</f>
        <v>837520.28</v>
      </c>
      <c r="G69" s="99">
        <f t="shared" si="19"/>
        <v>824452.26</v>
      </c>
    </row>
    <row r="70" spans="1:7" x14ac:dyDescent="0.25">
      <c r="A70" s="36">
        <v>42186</v>
      </c>
      <c r="B70" s="1">
        <f t="shared" si="8"/>
        <v>30</v>
      </c>
      <c r="C70" s="102">
        <f t="shared" ref="C70:C81" si="20">$N$1</f>
        <v>20236</v>
      </c>
      <c r="D70" s="95">
        <f t="shared" si="16"/>
        <v>13459.68</v>
      </c>
      <c r="E70" s="96">
        <f t="shared" si="17"/>
        <v>6776.32</v>
      </c>
      <c r="F70" s="14">
        <f t="shared" si="18"/>
        <v>824452.26</v>
      </c>
      <c r="G70" s="14">
        <f t="shared" si="19"/>
        <v>810992.58</v>
      </c>
    </row>
    <row r="71" spans="1:7" x14ac:dyDescent="0.25">
      <c r="A71" s="36">
        <v>42217</v>
      </c>
      <c r="B71" s="1">
        <f t="shared" si="8"/>
        <v>31</v>
      </c>
      <c r="C71" s="102">
        <f t="shared" si="20"/>
        <v>20236</v>
      </c>
      <c r="D71" s="95">
        <f t="shared" si="16"/>
        <v>13348.119999999999</v>
      </c>
      <c r="E71" s="96">
        <f t="shared" si="17"/>
        <v>6887.88</v>
      </c>
      <c r="F71" s="14">
        <f t="shared" si="18"/>
        <v>810992.58</v>
      </c>
      <c r="G71" s="14">
        <f t="shared" si="19"/>
        <v>797644.46</v>
      </c>
    </row>
    <row r="72" spans="1:7" x14ac:dyDescent="0.25">
      <c r="A72" s="36">
        <v>42248</v>
      </c>
      <c r="B72" s="1">
        <f t="shared" si="8"/>
        <v>31</v>
      </c>
      <c r="C72" s="102">
        <f t="shared" si="20"/>
        <v>20236</v>
      </c>
      <c r="D72" s="95">
        <f t="shared" si="16"/>
        <v>13461.49</v>
      </c>
      <c r="E72" s="96">
        <f t="shared" si="17"/>
        <v>6774.51</v>
      </c>
      <c r="F72" s="14">
        <f t="shared" si="18"/>
        <v>797644.46</v>
      </c>
      <c r="G72" s="14">
        <f t="shared" si="19"/>
        <v>784182.97</v>
      </c>
    </row>
    <row r="73" spans="1:7" x14ac:dyDescent="0.25">
      <c r="A73" s="36">
        <v>42278</v>
      </c>
      <c r="B73" s="1">
        <f t="shared" si="8"/>
        <v>30</v>
      </c>
      <c r="C73" s="102">
        <f t="shared" si="20"/>
        <v>20236</v>
      </c>
      <c r="D73" s="95">
        <f t="shared" si="16"/>
        <v>13790.66</v>
      </c>
      <c r="E73" s="96">
        <f t="shared" si="17"/>
        <v>6445.34</v>
      </c>
      <c r="F73" s="14">
        <f t="shared" si="18"/>
        <v>784182.97</v>
      </c>
      <c r="G73" s="14">
        <f t="shared" si="19"/>
        <v>770392.30999999994</v>
      </c>
    </row>
    <row r="74" spans="1:7" x14ac:dyDescent="0.25">
      <c r="A74" s="36">
        <v>42309</v>
      </c>
      <c r="B74" s="1">
        <f t="shared" si="8"/>
        <v>31</v>
      </c>
      <c r="C74" s="102">
        <f t="shared" si="20"/>
        <v>20236</v>
      </c>
      <c r="D74" s="95">
        <f t="shared" si="16"/>
        <v>13692.939999999999</v>
      </c>
      <c r="E74" s="96">
        <f t="shared" si="17"/>
        <v>6543.06</v>
      </c>
      <c r="F74" s="14">
        <f t="shared" si="18"/>
        <v>770392.30999999994</v>
      </c>
      <c r="G74" s="14">
        <f t="shared" si="19"/>
        <v>756699.37</v>
      </c>
    </row>
    <row r="75" spans="1:7" x14ac:dyDescent="0.25">
      <c r="A75" s="36">
        <v>42339</v>
      </c>
      <c r="B75" s="1">
        <f t="shared" si="8"/>
        <v>30</v>
      </c>
      <c r="C75" s="102">
        <f t="shared" si="20"/>
        <v>20236</v>
      </c>
      <c r="D75" s="95">
        <f t="shared" si="16"/>
        <v>14016.55</v>
      </c>
      <c r="E75" s="96">
        <f t="shared" si="17"/>
        <v>6219.45</v>
      </c>
      <c r="F75" s="14">
        <f t="shared" si="18"/>
        <v>756699.37</v>
      </c>
      <c r="G75" s="14">
        <f t="shared" si="19"/>
        <v>742682.82</v>
      </c>
    </row>
    <row r="76" spans="1:7" x14ac:dyDescent="0.25">
      <c r="A76" s="36">
        <v>42370</v>
      </c>
      <c r="B76" s="1">
        <f t="shared" si="8"/>
        <v>31</v>
      </c>
      <c r="C76" s="102">
        <f t="shared" si="20"/>
        <v>20236</v>
      </c>
      <c r="D76" s="95">
        <f t="shared" si="16"/>
        <v>13928.279999999999</v>
      </c>
      <c r="E76" s="96">
        <f t="shared" si="17"/>
        <v>6307.72</v>
      </c>
      <c r="F76" s="14">
        <f t="shared" si="18"/>
        <v>742682.82</v>
      </c>
      <c r="G76" s="14">
        <f t="shared" si="19"/>
        <v>728754.53999999992</v>
      </c>
    </row>
    <row r="77" spans="1:7" x14ac:dyDescent="0.25">
      <c r="A77" s="36">
        <v>42401</v>
      </c>
      <c r="B77" s="1">
        <f t="shared" si="8"/>
        <v>31</v>
      </c>
      <c r="C77" s="102">
        <f t="shared" si="20"/>
        <v>20236</v>
      </c>
      <c r="D77" s="95">
        <f t="shared" si="16"/>
        <v>14046.58</v>
      </c>
      <c r="E77" s="96">
        <f t="shared" si="17"/>
        <v>6189.42</v>
      </c>
      <c r="F77" s="14">
        <f t="shared" si="18"/>
        <v>728754.53999999992</v>
      </c>
      <c r="G77" s="14">
        <f t="shared" si="19"/>
        <v>714707.96</v>
      </c>
    </row>
    <row r="78" spans="1:7" x14ac:dyDescent="0.25">
      <c r="A78" s="36">
        <v>42430</v>
      </c>
      <c r="B78" s="1">
        <f t="shared" si="8"/>
        <v>29</v>
      </c>
      <c r="C78" s="102">
        <f t="shared" si="20"/>
        <v>20236</v>
      </c>
      <c r="D78" s="95">
        <f t="shared" si="16"/>
        <v>14557.5</v>
      </c>
      <c r="E78" s="96">
        <f t="shared" si="17"/>
        <v>5678.5</v>
      </c>
      <c r="F78" s="14">
        <f t="shared" si="18"/>
        <v>714707.96</v>
      </c>
      <c r="G78" s="14">
        <f t="shared" si="19"/>
        <v>700150.46</v>
      </c>
    </row>
    <row r="79" spans="1:7" x14ac:dyDescent="0.25">
      <c r="A79" s="36">
        <v>42461</v>
      </c>
      <c r="B79" s="1">
        <f t="shared" si="8"/>
        <v>31</v>
      </c>
      <c r="C79" s="102">
        <f t="shared" si="20"/>
        <v>20236</v>
      </c>
      <c r="D79" s="95">
        <f t="shared" si="16"/>
        <v>14289.52</v>
      </c>
      <c r="E79" s="96">
        <f t="shared" si="17"/>
        <v>5946.48</v>
      </c>
      <c r="F79" s="14">
        <f t="shared" si="18"/>
        <v>700150.46</v>
      </c>
      <c r="G79" s="14">
        <f t="shared" si="19"/>
        <v>685860.94</v>
      </c>
    </row>
    <row r="80" spans="1:7" x14ac:dyDescent="0.25">
      <c r="A80" s="36">
        <v>42491</v>
      </c>
      <c r="B80" s="1">
        <f t="shared" si="8"/>
        <v>30</v>
      </c>
      <c r="C80" s="102">
        <f t="shared" si="20"/>
        <v>20236</v>
      </c>
      <c r="D80" s="95">
        <f t="shared" si="16"/>
        <v>14598.79</v>
      </c>
      <c r="E80" s="96">
        <f t="shared" si="17"/>
        <v>5637.21</v>
      </c>
      <c r="F80" s="14">
        <f t="shared" si="18"/>
        <v>685860.94</v>
      </c>
      <c r="G80" s="14">
        <f t="shared" si="19"/>
        <v>671262.14999999991</v>
      </c>
    </row>
    <row r="81" spans="1:7" x14ac:dyDescent="0.25">
      <c r="A81" s="70">
        <v>42522</v>
      </c>
      <c r="B81" s="98">
        <f t="shared" si="8"/>
        <v>31</v>
      </c>
      <c r="C81" s="99">
        <f t="shared" si="20"/>
        <v>20236</v>
      </c>
      <c r="D81" s="100">
        <f t="shared" si="16"/>
        <v>14534.869999999999</v>
      </c>
      <c r="E81" s="101">
        <f t="shared" si="17"/>
        <v>5701.13</v>
      </c>
      <c r="F81" s="99">
        <f t="shared" si="18"/>
        <v>671262.14999999991</v>
      </c>
      <c r="G81" s="99">
        <f t="shared" si="19"/>
        <v>656727.27999999991</v>
      </c>
    </row>
    <row r="82" spans="1:7" x14ac:dyDescent="0.25">
      <c r="A82" s="36">
        <v>42552</v>
      </c>
      <c r="B82" s="1">
        <f t="shared" si="8"/>
        <v>30</v>
      </c>
      <c r="C82" s="102">
        <f t="shared" ref="C82:C92" si="21">$F$2</f>
        <v>15000</v>
      </c>
      <c r="D82" s="95">
        <f t="shared" si="16"/>
        <v>9602.24</v>
      </c>
      <c r="E82" s="96">
        <f t="shared" si="17"/>
        <v>5397.76</v>
      </c>
      <c r="F82" s="14">
        <f t="shared" si="18"/>
        <v>656727.27999999991</v>
      </c>
      <c r="G82" s="14">
        <f t="shared" si="19"/>
        <v>647125.03999999992</v>
      </c>
    </row>
    <row r="83" spans="1:7" x14ac:dyDescent="0.25">
      <c r="A83" s="36">
        <v>42583</v>
      </c>
      <c r="B83" s="1">
        <f t="shared" si="8"/>
        <v>31</v>
      </c>
      <c r="C83" s="102">
        <f t="shared" si="21"/>
        <v>15000</v>
      </c>
      <c r="D83" s="95">
        <f t="shared" si="16"/>
        <v>9503.869999999999</v>
      </c>
      <c r="E83" s="96">
        <f t="shared" si="17"/>
        <v>5496.13</v>
      </c>
      <c r="F83" s="14">
        <f t="shared" si="18"/>
        <v>647125.03999999992</v>
      </c>
      <c r="G83" s="14">
        <f t="shared" si="19"/>
        <v>637621.16999999993</v>
      </c>
    </row>
    <row r="84" spans="1:7" x14ac:dyDescent="0.25">
      <c r="A84" s="36">
        <v>42614</v>
      </c>
      <c r="B84" s="1">
        <f t="shared" si="8"/>
        <v>31</v>
      </c>
      <c r="C84" s="102">
        <f t="shared" si="21"/>
        <v>15000</v>
      </c>
      <c r="D84" s="95">
        <f t="shared" si="16"/>
        <v>9584.59</v>
      </c>
      <c r="E84" s="96">
        <f t="shared" si="17"/>
        <v>5415.41</v>
      </c>
      <c r="F84" s="14">
        <f t="shared" si="18"/>
        <v>637621.16999999993</v>
      </c>
      <c r="G84" s="14">
        <f t="shared" si="19"/>
        <v>628036.57999999996</v>
      </c>
    </row>
    <row r="85" spans="1:7" x14ac:dyDescent="0.25">
      <c r="A85" s="36">
        <v>42644</v>
      </c>
      <c r="B85" s="1">
        <f t="shared" si="8"/>
        <v>30</v>
      </c>
      <c r="C85" s="102">
        <f t="shared" si="21"/>
        <v>15000</v>
      </c>
      <c r="D85" s="95">
        <f t="shared" si="16"/>
        <v>9838.0600000000013</v>
      </c>
      <c r="E85" s="96">
        <f t="shared" si="17"/>
        <v>5161.9399999999996</v>
      </c>
      <c r="F85" s="14">
        <f t="shared" si="18"/>
        <v>628036.57999999996</v>
      </c>
      <c r="G85" s="14">
        <f t="shared" si="19"/>
        <v>618198.5199999999</v>
      </c>
    </row>
    <row r="86" spans="1:7" x14ac:dyDescent="0.25">
      <c r="A86" s="36">
        <v>42675</v>
      </c>
      <c r="B86" s="1">
        <f t="shared" si="8"/>
        <v>31</v>
      </c>
      <c r="C86" s="102">
        <f t="shared" si="21"/>
        <v>15000</v>
      </c>
      <c r="D86" s="95">
        <f t="shared" si="16"/>
        <v>9749.5499999999993</v>
      </c>
      <c r="E86" s="96">
        <f t="shared" si="17"/>
        <v>5250.45</v>
      </c>
      <c r="F86" s="14">
        <f t="shared" si="18"/>
        <v>618198.5199999999</v>
      </c>
      <c r="G86" s="14">
        <f t="shared" si="19"/>
        <v>608448.96999999986</v>
      </c>
    </row>
    <row r="87" spans="1:7" x14ac:dyDescent="0.25">
      <c r="A87" s="36">
        <v>42705</v>
      </c>
      <c r="B87" s="1">
        <f t="shared" si="8"/>
        <v>30</v>
      </c>
      <c r="C87" s="102">
        <f t="shared" si="21"/>
        <v>15000</v>
      </c>
      <c r="D87" s="95">
        <f t="shared" si="16"/>
        <v>9999.0499999999993</v>
      </c>
      <c r="E87" s="96">
        <f t="shared" si="17"/>
        <v>5000.95</v>
      </c>
      <c r="F87" s="14">
        <f t="shared" si="18"/>
        <v>608448.96999999986</v>
      </c>
      <c r="G87" s="14">
        <f t="shared" si="19"/>
        <v>598449.91999999981</v>
      </c>
    </row>
    <row r="88" spans="1:7" x14ac:dyDescent="0.25">
      <c r="A88" s="36">
        <v>42736</v>
      </c>
      <c r="B88" s="1">
        <f t="shared" si="8"/>
        <v>31</v>
      </c>
      <c r="C88" s="102">
        <f t="shared" si="21"/>
        <v>15000</v>
      </c>
      <c r="D88" s="95">
        <f t="shared" si="16"/>
        <v>9917.27</v>
      </c>
      <c r="E88" s="96">
        <f t="shared" si="17"/>
        <v>5082.7299999999996</v>
      </c>
      <c r="F88" s="14">
        <f t="shared" si="18"/>
        <v>598449.91999999981</v>
      </c>
      <c r="G88" s="14">
        <f t="shared" si="19"/>
        <v>588532.64999999979</v>
      </c>
    </row>
    <row r="89" spans="1:7" x14ac:dyDescent="0.25">
      <c r="A89" s="36">
        <v>42767</v>
      </c>
      <c r="B89" s="1">
        <f t="shared" si="8"/>
        <v>31</v>
      </c>
      <c r="C89" s="102">
        <f t="shared" si="21"/>
        <v>15000</v>
      </c>
      <c r="D89" s="95">
        <f t="shared" si="16"/>
        <v>10001.5</v>
      </c>
      <c r="E89" s="96">
        <f t="shared" si="17"/>
        <v>4998.5</v>
      </c>
      <c r="F89" s="14">
        <f t="shared" si="18"/>
        <v>588532.64999999979</v>
      </c>
      <c r="G89" s="14">
        <f t="shared" si="19"/>
        <v>578531.14999999979</v>
      </c>
    </row>
    <row r="90" spans="1:7" x14ac:dyDescent="0.25">
      <c r="A90" s="36">
        <v>42795</v>
      </c>
      <c r="B90" s="1">
        <f t="shared" si="8"/>
        <v>28</v>
      </c>
      <c r="C90" s="102">
        <f t="shared" si="21"/>
        <v>15000</v>
      </c>
      <c r="D90" s="95">
        <f t="shared" si="16"/>
        <v>10561.95</v>
      </c>
      <c r="E90" s="96">
        <f t="shared" si="17"/>
        <v>4438.05</v>
      </c>
      <c r="F90" s="14">
        <f t="shared" si="18"/>
        <v>578531.14999999979</v>
      </c>
      <c r="G90" s="14">
        <f t="shared" si="19"/>
        <v>567969.19999999984</v>
      </c>
    </row>
    <row r="91" spans="1:7" x14ac:dyDescent="0.25">
      <c r="A91" s="36">
        <v>42826</v>
      </c>
      <c r="B91" s="1">
        <f t="shared" si="8"/>
        <v>31</v>
      </c>
      <c r="C91" s="102">
        <f t="shared" si="21"/>
        <v>15000</v>
      </c>
      <c r="D91" s="95">
        <f t="shared" si="16"/>
        <v>10176.15</v>
      </c>
      <c r="E91" s="96">
        <f t="shared" si="17"/>
        <v>4823.8500000000004</v>
      </c>
      <c r="F91" s="14">
        <f t="shared" si="18"/>
        <v>567969.19999999984</v>
      </c>
      <c r="G91" s="14">
        <f t="shared" si="19"/>
        <v>557793.04999999981</v>
      </c>
    </row>
    <row r="92" spans="1:7" x14ac:dyDescent="0.25">
      <c r="A92" s="36">
        <v>42856</v>
      </c>
      <c r="B92" s="1">
        <f t="shared" si="8"/>
        <v>30</v>
      </c>
      <c r="C92" s="102">
        <f t="shared" si="21"/>
        <v>15000</v>
      </c>
      <c r="D92" s="95">
        <f t="shared" si="16"/>
        <v>10415.4</v>
      </c>
      <c r="E92" s="96">
        <f t="shared" si="17"/>
        <v>4584.6000000000004</v>
      </c>
      <c r="F92" s="14">
        <f t="shared" si="18"/>
        <v>557793.04999999981</v>
      </c>
      <c r="G92" s="14">
        <f t="shared" si="19"/>
        <v>547377.64999999979</v>
      </c>
    </row>
    <row r="93" spans="1:7" x14ac:dyDescent="0.25">
      <c r="A93" s="70">
        <v>42887</v>
      </c>
      <c r="B93" s="98">
        <f t="shared" si="8"/>
        <v>31</v>
      </c>
      <c r="C93" s="99">
        <f>$J$2</f>
        <v>38981</v>
      </c>
      <c r="D93" s="100">
        <f t="shared" si="16"/>
        <v>34332.04</v>
      </c>
      <c r="E93" s="101">
        <f t="shared" si="17"/>
        <v>4648.96</v>
      </c>
      <c r="F93" s="99">
        <f t="shared" si="18"/>
        <v>547377.64999999979</v>
      </c>
      <c r="G93" s="99">
        <f t="shared" si="19"/>
        <v>513045.60999999981</v>
      </c>
    </row>
    <row r="94" spans="1:7" x14ac:dyDescent="0.25">
      <c r="A94" s="36">
        <v>42917</v>
      </c>
      <c r="B94" s="1">
        <f t="shared" si="8"/>
        <v>30</v>
      </c>
      <c r="C94" s="102">
        <f t="shared" ref="C94:C107" si="22">$J$2</f>
        <v>38981</v>
      </c>
      <c r="D94" s="95">
        <f t="shared" si="16"/>
        <v>34764.19</v>
      </c>
      <c r="E94" s="96">
        <f t="shared" si="17"/>
        <v>4216.8100000000004</v>
      </c>
      <c r="F94" s="14">
        <f t="shared" si="18"/>
        <v>513045.60999999981</v>
      </c>
      <c r="G94" s="14">
        <f t="shared" si="19"/>
        <v>478281.41999999981</v>
      </c>
    </row>
    <row r="95" spans="1:7" x14ac:dyDescent="0.25">
      <c r="A95" s="36">
        <v>42948</v>
      </c>
      <c r="B95" s="1">
        <f t="shared" si="8"/>
        <v>31</v>
      </c>
      <c r="C95" s="102">
        <f t="shared" si="22"/>
        <v>38981</v>
      </c>
      <c r="D95" s="95">
        <f t="shared" si="16"/>
        <v>34918.879999999997</v>
      </c>
      <c r="E95" s="96">
        <f t="shared" si="17"/>
        <v>4062.12</v>
      </c>
      <c r="F95" s="14">
        <f t="shared" si="18"/>
        <v>478281.41999999981</v>
      </c>
      <c r="G95" s="14">
        <f t="shared" si="19"/>
        <v>443362.5399999998</v>
      </c>
    </row>
    <row r="96" spans="1:7" x14ac:dyDescent="0.25">
      <c r="A96" s="36">
        <v>42979</v>
      </c>
      <c r="B96" s="1">
        <f t="shared" si="8"/>
        <v>31</v>
      </c>
      <c r="C96" s="102">
        <f t="shared" si="22"/>
        <v>38981</v>
      </c>
      <c r="D96" s="95">
        <f t="shared" si="16"/>
        <v>35215.46</v>
      </c>
      <c r="E96" s="96">
        <f t="shared" si="17"/>
        <v>3765.54</v>
      </c>
      <c r="F96" s="14">
        <f t="shared" si="18"/>
        <v>443362.5399999998</v>
      </c>
      <c r="G96" s="14">
        <f t="shared" si="19"/>
        <v>408147.07999999978</v>
      </c>
    </row>
    <row r="97" spans="1:7" x14ac:dyDescent="0.25">
      <c r="A97" s="36">
        <v>43009</v>
      </c>
      <c r="B97" s="1">
        <f t="shared" si="8"/>
        <v>30</v>
      </c>
      <c r="C97" s="102">
        <f t="shared" si="22"/>
        <v>38981</v>
      </c>
      <c r="D97" s="95">
        <f t="shared" si="16"/>
        <v>35626.370000000003</v>
      </c>
      <c r="E97" s="96">
        <f t="shared" si="17"/>
        <v>3354.63</v>
      </c>
      <c r="F97" s="14">
        <f t="shared" si="18"/>
        <v>408147.07999999978</v>
      </c>
      <c r="G97" s="14">
        <f t="shared" si="19"/>
        <v>372520.70999999979</v>
      </c>
    </row>
    <row r="98" spans="1:7" x14ac:dyDescent="0.25">
      <c r="A98" s="94" t="s">
        <v>240</v>
      </c>
      <c r="B98" s="1">
        <f t="shared" si="8"/>
        <v>31</v>
      </c>
      <c r="C98" s="102">
        <f t="shared" si="22"/>
        <v>38981</v>
      </c>
      <c r="D98" s="95">
        <f t="shared" si="16"/>
        <v>35817.129999999997</v>
      </c>
      <c r="E98" s="96">
        <f t="shared" si="17"/>
        <v>3163.87</v>
      </c>
      <c r="F98" s="14">
        <f t="shared" si="18"/>
        <v>372520.70999999979</v>
      </c>
      <c r="G98" s="14">
        <f t="shared" si="19"/>
        <v>336703.57999999978</v>
      </c>
    </row>
    <row r="99" spans="1:7" x14ac:dyDescent="0.25">
      <c r="A99" s="94" t="s">
        <v>241</v>
      </c>
      <c r="B99" s="1">
        <f t="shared" si="8"/>
        <v>30</v>
      </c>
      <c r="C99" s="102">
        <f t="shared" si="22"/>
        <v>38981</v>
      </c>
      <c r="D99" s="95">
        <f t="shared" si="16"/>
        <v>36213.57</v>
      </c>
      <c r="E99" s="96">
        <f t="shared" si="17"/>
        <v>2767.43</v>
      </c>
      <c r="F99" s="14">
        <f t="shared" si="18"/>
        <v>336703.57999999978</v>
      </c>
      <c r="G99" s="14">
        <f t="shared" si="19"/>
        <v>300490.00999999978</v>
      </c>
    </row>
    <row r="100" spans="1:7" x14ac:dyDescent="0.25">
      <c r="A100" s="94" t="s">
        <v>245</v>
      </c>
      <c r="B100" s="1">
        <f t="shared" si="8"/>
        <v>31</v>
      </c>
      <c r="C100" s="102">
        <f t="shared" si="22"/>
        <v>38981</v>
      </c>
      <c r="D100" s="95">
        <f t="shared" si="16"/>
        <v>36428.89</v>
      </c>
      <c r="E100" s="96">
        <f t="shared" si="17"/>
        <v>2552.11</v>
      </c>
      <c r="F100" s="14">
        <f t="shared" si="18"/>
        <v>300490.00999999978</v>
      </c>
      <c r="G100" s="14">
        <f t="shared" si="19"/>
        <v>264061.11999999976</v>
      </c>
    </row>
    <row r="101" spans="1:7" x14ac:dyDescent="0.25">
      <c r="A101" s="94" t="s">
        <v>246</v>
      </c>
      <c r="B101" s="1">
        <f t="shared" si="8"/>
        <v>31</v>
      </c>
      <c r="C101" s="102">
        <f t="shared" si="22"/>
        <v>38981</v>
      </c>
      <c r="D101" s="95">
        <f t="shared" si="16"/>
        <v>36738.29</v>
      </c>
      <c r="E101" s="96">
        <f t="shared" si="17"/>
        <v>2242.71</v>
      </c>
      <c r="F101" s="14">
        <f t="shared" si="18"/>
        <v>264061.11999999976</v>
      </c>
      <c r="G101" s="14">
        <f t="shared" si="19"/>
        <v>227322.82999999975</v>
      </c>
    </row>
    <row r="102" spans="1:7" x14ac:dyDescent="0.25">
      <c r="A102" s="94" t="s">
        <v>247</v>
      </c>
      <c r="B102" s="1">
        <f t="shared" si="8"/>
        <v>28</v>
      </c>
      <c r="C102" s="102">
        <f t="shared" si="22"/>
        <v>38981</v>
      </c>
      <c r="D102" s="95">
        <f t="shared" si="16"/>
        <v>37237.15</v>
      </c>
      <c r="E102" s="96">
        <f t="shared" si="17"/>
        <v>1743.85</v>
      </c>
      <c r="F102" s="14">
        <f t="shared" si="18"/>
        <v>227322.82999999975</v>
      </c>
      <c r="G102" s="14">
        <f t="shared" si="19"/>
        <v>190085.67999999976</v>
      </c>
    </row>
    <row r="103" spans="1:7" x14ac:dyDescent="0.25">
      <c r="A103" s="94" t="s">
        <v>248</v>
      </c>
      <c r="B103" s="1">
        <f t="shared" si="8"/>
        <v>31</v>
      </c>
      <c r="C103" s="102">
        <f t="shared" si="22"/>
        <v>38981</v>
      </c>
      <c r="D103" s="95">
        <f t="shared" si="16"/>
        <v>37366.57</v>
      </c>
      <c r="E103" s="96">
        <f t="shared" si="17"/>
        <v>1614.43</v>
      </c>
      <c r="F103" s="14">
        <f t="shared" si="18"/>
        <v>190085.67999999976</v>
      </c>
      <c r="G103" s="14">
        <f t="shared" si="19"/>
        <v>152719.10999999975</v>
      </c>
    </row>
    <row r="104" spans="1:7" x14ac:dyDescent="0.25">
      <c r="A104" s="94" t="s">
        <v>242</v>
      </c>
      <c r="B104" s="1">
        <f t="shared" ref="B104:B107" si="23">_xlfn.DAYS(A104,A103)</f>
        <v>30</v>
      </c>
      <c r="C104" s="102">
        <f t="shared" si="22"/>
        <v>38981</v>
      </c>
      <c r="D104" s="95">
        <f t="shared" si="16"/>
        <v>37725.769999999997</v>
      </c>
      <c r="E104" s="96">
        <f t="shared" si="17"/>
        <v>1255.23</v>
      </c>
      <c r="F104" s="14">
        <f t="shared" si="18"/>
        <v>152719.10999999975</v>
      </c>
      <c r="G104" s="14">
        <f t="shared" si="19"/>
        <v>114993.33999999976</v>
      </c>
    </row>
    <row r="105" spans="1:7" x14ac:dyDescent="0.25">
      <c r="A105" s="94" t="s">
        <v>243</v>
      </c>
      <c r="B105" s="1">
        <f t="shared" si="23"/>
        <v>31</v>
      </c>
      <c r="C105" s="102">
        <f t="shared" si="22"/>
        <v>38981</v>
      </c>
      <c r="D105" s="95">
        <f t="shared" si="16"/>
        <v>38004.339999999997</v>
      </c>
      <c r="E105" s="96">
        <f t="shared" si="17"/>
        <v>976.66</v>
      </c>
      <c r="F105" s="14">
        <f t="shared" si="18"/>
        <v>114993.33999999976</v>
      </c>
      <c r="G105" s="14">
        <f t="shared" si="19"/>
        <v>76988.999999999767</v>
      </c>
    </row>
    <row r="106" spans="1:7" x14ac:dyDescent="0.25">
      <c r="A106" s="94" t="s">
        <v>238</v>
      </c>
      <c r="B106" s="1">
        <f t="shared" si="23"/>
        <v>30</v>
      </c>
      <c r="C106" s="102">
        <f t="shared" si="22"/>
        <v>38981</v>
      </c>
      <c r="D106" s="95">
        <f t="shared" si="16"/>
        <v>38348.21</v>
      </c>
      <c r="E106" s="96">
        <f t="shared" si="17"/>
        <v>632.79</v>
      </c>
      <c r="F106" s="14">
        <f t="shared" si="18"/>
        <v>76988.999999999767</v>
      </c>
      <c r="G106" s="14">
        <f t="shared" si="19"/>
        <v>38640.789999999768</v>
      </c>
    </row>
    <row r="107" spans="1:7" x14ac:dyDescent="0.25">
      <c r="A107" s="94" t="s">
        <v>244</v>
      </c>
      <c r="B107" s="1">
        <f t="shared" si="23"/>
        <v>31</v>
      </c>
      <c r="C107" s="102">
        <f t="shared" si="22"/>
        <v>38981</v>
      </c>
      <c r="D107" s="95">
        <f t="shared" si="16"/>
        <v>38640.789999999768</v>
      </c>
      <c r="E107" s="96">
        <v>340.2100000002319</v>
      </c>
      <c r="F107" s="14">
        <f t="shared" si="18"/>
        <v>38640.789999999768</v>
      </c>
      <c r="G107" s="14">
        <f t="shared" si="19"/>
        <v>0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63A74-FBE6-4E24-9EFD-B49625205F80}">
  <dimension ref="A1:P107"/>
  <sheetViews>
    <sheetView workbookViewId="0">
      <pane ySplit="3" topLeftCell="A93" activePane="bottomLeft" state="frozen"/>
      <selection activeCell="C5" sqref="C5"/>
      <selection pane="bottomLeft" activeCell="E107" sqref="E107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" bestFit="1" customWidth="1"/>
    <col min="4" max="4" width="11.7109375" bestFit="1" customWidth="1"/>
    <col min="5" max="5" width="16.5703125" bestFit="1" customWidth="1"/>
    <col min="6" max="6" width="15.28515625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8.5703125" bestFit="1" customWidth="1"/>
    <col min="11" max="11" width="16.5703125" bestFit="1" customWidth="1"/>
    <col min="12" max="12" width="10.140625" bestFit="1" customWidth="1"/>
    <col min="13" max="13" width="15.7109375" bestFit="1" customWidth="1"/>
    <col min="14" max="14" width="6" bestFit="1" customWidth="1"/>
    <col min="15" max="15" width="14.5703125" bestFit="1" customWidth="1"/>
    <col min="16" max="16" width="6" bestFit="1" customWidth="1"/>
  </cols>
  <sheetData>
    <row r="1" spans="1:16" x14ac:dyDescent="0.25">
      <c r="A1" s="17" t="s">
        <v>33</v>
      </c>
      <c r="B1" s="22">
        <v>41852</v>
      </c>
      <c r="C1" s="17" t="s">
        <v>37</v>
      </c>
      <c r="D1" s="79">
        <f>ROUNDUP(23789.9299005681,0)</f>
        <v>23790</v>
      </c>
      <c r="E1" s="73" t="s">
        <v>147</v>
      </c>
      <c r="F1" s="74">
        <v>42009</v>
      </c>
      <c r="G1" s="73" t="s">
        <v>150</v>
      </c>
      <c r="H1" s="79">
        <f>ROUNDUP(21435.5481818182,0)</f>
        <v>21436</v>
      </c>
      <c r="I1" s="73" t="s">
        <v>175</v>
      </c>
      <c r="J1" s="87">
        <v>0.1</v>
      </c>
      <c r="K1" s="73" t="s">
        <v>148</v>
      </c>
      <c r="L1" s="20" t="s">
        <v>168</v>
      </c>
      <c r="M1" s="73" t="s">
        <v>149</v>
      </c>
      <c r="N1" s="69">
        <f>ROUNDUP(20229.9509803922,0)</f>
        <v>20230</v>
      </c>
      <c r="O1" s="73" t="s">
        <v>176</v>
      </c>
      <c r="P1" s="88">
        <v>50000</v>
      </c>
    </row>
    <row r="2" spans="1:16" x14ac:dyDescent="0.25">
      <c r="A2" s="75" t="s">
        <v>34</v>
      </c>
      <c r="B2" s="76">
        <v>0.15</v>
      </c>
      <c r="C2" s="73" t="s">
        <v>125</v>
      </c>
      <c r="D2" s="74">
        <v>42526</v>
      </c>
      <c r="E2" s="73" t="s">
        <v>177</v>
      </c>
      <c r="F2" s="69">
        <v>15000</v>
      </c>
      <c r="G2" s="73" t="s">
        <v>173</v>
      </c>
      <c r="H2" s="20" t="s">
        <v>170</v>
      </c>
      <c r="I2" s="73" t="s">
        <v>174</v>
      </c>
      <c r="J2" s="89">
        <f>ROUNDUP(38964.4033146451,0)</f>
        <v>38965</v>
      </c>
      <c r="K2" s="73" t="s">
        <v>178</v>
      </c>
      <c r="L2" s="88">
        <v>48</v>
      </c>
      <c r="M2" t="s">
        <v>261</v>
      </c>
      <c r="N2" s="88">
        <f>DAYS360(A64,F1,TRUE)</f>
        <v>4</v>
      </c>
      <c r="O2" t="s">
        <v>262</v>
      </c>
      <c r="P2">
        <v>26</v>
      </c>
    </row>
    <row r="3" spans="1:16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6" x14ac:dyDescent="0.25">
      <c r="A4" s="94" t="s">
        <v>205</v>
      </c>
      <c r="B4" s="1">
        <f>DAYS360(B1,A4,TRUE)</f>
        <v>30</v>
      </c>
      <c r="C4" s="14">
        <f t="shared" ref="C4:C64" si="0">$D$1</f>
        <v>23790</v>
      </c>
      <c r="D4" s="95">
        <f t="shared" ref="D4:D39" si="1">C4-E4</f>
        <v>11290</v>
      </c>
      <c r="E4" s="96">
        <f>ROUND(F4*$B$2*B4/360,2)</f>
        <v>12500</v>
      </c>
      <c r="F4" s="14">
        <v>1000000</v>
      </c>
      <c r="G4" s="14">
        <f t="shared" ref="G4:G39" si="2">F4-D4</f>
        <v>988710</v>
      </c>
      <c r="H4" s="14">
        <f>F4*$B$2*B4/360</f>
        <v>12500</v>
      </c>
      <c r="I4" s="16">
        <f t="shared" ref="I4:I39" si="3">H4-E4</f>
        <v>0</v>
      </c>
    </row>
    <row r="5" spans="1:16" x14ac:dyDescent="0.25">
      <c r="A5" s="94" t="s">
        <v>206</v>
      </c>
      <c r="B5" s="1">
        <f>DAYS360(A4,A5,TRUE)</f>
        <v>30</v>
      </c>
      <c r="C5" s="14">
        <f t="shared" si="0"/>
        <v>23790</v>
      </c>
      <c r="D5" s="95">
        <f t="shared" si="1"/>
        <v>11431.12</v>
      </c>
      <c r="E5" s="96">
        <f t="shared" ref="E5:E39" si="4">ROUND(F5*$B$2*B5/360,2)</f>
        <v>12358.88</v>
      </c>
      <c r="F5" s="14">
        <f t="shared" ref="F5:F39" si="5">G4</f>
        <v>988710</v>
      </c>
      <c r="G5" s="14">
        <f t="shared" si="2"/>
        <v>977278.88</v>
      </c>
      <c r="H5" s="14">
        <f t="shared" ref="H5:H39" si="6">F5*$B$2*B5/360</f>
        <v>12358.875</v>
      </c>
      <c r="I5" s="16">
        <f t="shared" si="3"/>
        <v>-4.9999999991996447E-3</v>
      </c>
    </row>
    <row r="6" spans="1:16" x14ac:dyDescent="0.25">
      <c r="A6" s="94" t="s">
        <v>207</v>
      </c>
      <c r="B6" s="1">
        <f t="shared" ref="B6:B39" si="7">DAYS360(A5,A6,TRUE)</f>
        <v>30</v>
      </c>
      <c r="C6" s="14">
        <f t="shared" si="0"/>
        <v>23790</v>
      </c>
      <c r="D6" s="95">
        <f t="shared" si="1"/>
        <v>11574.01</v>
      </c>
      <c r="E6" s="96">
        <f t="shared" si="4"/>
        <v>12215.99</v>
      </c>
      <c r="F6" s="14">
        <f t="shared" si="5"/>
        <v>977278.88</v>
      </c>
      <c r="G6" s="14">
        <f t="shared" si="2"/>
        <v>965704.87</v>
      </c>
      <c r="H6" s="14">
        <f t="shared" si="6"/>
        <v>12215.986000000001</v>
      </c>
      <c r="I6" s="16">
        <f t="shared" si="3"/>
        <v>-3.9999999989959178E-3</v>
      </c>
    </row>
    <row r="7" spans="1:16" x14ac:dyDescent="0.25">
      <c r="A7" s="94" t="s">
        <v>208</v>
      </c>
      <c r="B7" s="1">
        <f t="shared" si="7"/>
        <v>30</v>
      </c>
      <c r="C7" s="14">
        <f t="shared" si="0"/>
        <v>23790</v>
      </c>
      <c r="D7" s="95">
        <f t="shared" si="1"/>
        <v>11718.69</v>
      </c>
      <c r="E7" s="96">
        <f t="shared" si="4"/>
        <v>12071.31</v>
      </c>
      <c r="F7" s="14">
        <f t="shared" si="5"/>
        <v>965704.87</v>
      </c>
      <c r="G7" s="14">
        <f t="shared" si="2"/>
        <v>953986.18</v>
      </c>
      <c r="H7" s="14">
        <f t="shared" si="6"/>
        <v>12071.310874999999</v>
      </c>
      <c r="I7" s="16">
        <f t="shared" si="3"/>
        <v>8.7499999972351361E-4</v>
      </c>
    </row>
    <row r="8" spans="1:16" x14ac:dyDescent="0.25">
      <c r="A8" s="94" t="s">
        <v>209</v>
      </c>
      <c r="B8" s="1">
        <f t="shared" si="7"/>
        <v>30</v>
      </c>
      <c r="C8" s="14">
        <f t="shared" si="0"/>
        <v>23790</v>
      </c>
      <c r="D8" s="95">
        <f t="shared" si="1"/>
        <v>11865.17</v>
      </c>
      <c r="E8" s="96">
        <f t="shared" si="4"/>
        <v>11924.83</v>
      </c>
      <c r="F8" s="14">
        <f t="shared" si="5"/>
        <v>953986.18</v>
      </c>
      <c r="G8" s="14">
        <f t="shared" si="2"/>
        <v>942121.01</v>
      </c>
      <c r="H8" s="14">
        <f t="shared" si="6"/>
        <v>11924.827249999998</v>
      </c>
      <c r="I8" s="16">
        <f t="shared" si="3"/>
        <v>-2.7500000014697434E-3</v>
      </c>
    </row>
    <row r="9" spans="1:16" x14ac:dyDescent="0.25">
      <c r="A9" s="94" t="s">
        <v>210</v>
      </c>
      <c r="B9" s="1">
        <f t="shared" si="7"/>
        <v>30</v>
      </c>
      <c r="C9" s="14">
        <f t="shared" si="0"/>
        <v>23790</v>
      </c>
      <c r="D9" s="95">
        <f t="shared" si="1"/>
        <v>12013.49</v>
      </c>
      <c r="E9" s="96">
        <f t="shared" si="4"/>
        <v>11776.51</v>
      </c>
      <c r="F9" s="14">
        <f t="shared" si="5"/>
        <v>942121.01</v>
      </c>
      <c r="G9" s="14">
        <f t="shared" si="2"/>
        <v>930107.52</v>
      </c>
      <c r="H9" s="14">
        <f t="shared" si="6"/>
        <v>11776.512624999999</v>
      </c>
      <c r="I9" s="16">
        <f t="shared" si="3"/>
        <v>2.6249999991705408E-3</v>
      </c>
    </row>
    <row r="10" spans="1:16" x14ac:dyDescent="0.25">
      <c r="A10" s="94" t="s">
        <v>211</v>
      </c>
      <c r="B10" s="1">
        <f t="shared" si="7"/>
        <v>30</v>
      </c>
      <c r="C10" s="14">
        <f t="shared" si="0"/>
        <v>23790</v>
      </c>
      <c r="D10" s="95">
        <f t="shared" si="1"/>
        <v>12163.66</v>
      </c>
      <c r="E10" s="96">
        <f t="shared" si="4"/>
        <v>11626.34</v>
      </c>
      <c r="F10" s="14">
        <f t="shared" si="5"/>
        <v>930107.52</v>
      </c>
      <c r="G10" s="14">
        <f t="shared" si="2"/>
        <v>917943.86</v>
      </c>
      <c r="H10" s="14">
        <f t="shared" si="6"/>
        <v>11626.343999999999</v>
      </c>
      <c r="I10" s="16">
        <f t="shared" si="3"/>
        <v>3.9999999989959178E-3</v>
      </c>
    </row>
    <row r="11" spans="1:16" x14ac:dyDescent="0.25">
      <c r="A11" s="94" t="s">
        <v>212</v>
      </c>
      <c r="B11" s="1">
        <f t="shared" si="7"/>
        <v>30</v>
      </c>
      <c r="C11" s="14">
        <f t="shared" si="0"/>
        <v>23790</v>
      </c>
      <c r="D11" s="95">
        <f t="shared" si="1"/>
        <v>12315.7</v>
      </c>
      <c r="E11" s="96">
        <f t="shared" si="4"/>
        <v>11474.3</v>
      </c>
      <c r="F11" s="14">
        <f t="shared" si="5"/>
        <v>917943.86</v>
      </c>
      <c r="G11" s="14">
        <f t="shared" si="2"/>
        <v>905628.16000000003</v>
      </c>
      <c r="H11" s="14">
        <f t="shared" si="6"/>
        <v>11474.29825</v>
      </c>
      <c r="I11" s="16">
        <f t="shared" si="3"/>
        <v>-1.7499999994470272E-3</v>
      </c>
    </row>
    <row r="12" spans="1:16" x14ac:dyDescent="0.25">
      <c r="A12" s="94" t="s">
        <v>213</v>
      </c>
      <c r="B12" s="1">
        <f t="shared" si="7"/>
        <v>30</v>
      </c>
      <c r="C12" s="14">
        <f t="shared" si="0"/>
        <v>23790</v>
      </c>
      <c r="D12" s="95">
        <f t="shared" si="1"/>
        <v>12469.65</v>
      </c>
      <c r="E12" s="96">
        <f t="shared" si="4"/>
        <v>11320.35</v>
      </c>
      <c r="F12" s="14">
        <f t="shared" si="5"/>
        <v>905628.16000000003</v>
      </c>
      <c r="G12" s="14">
        <f t="shared" si="2"/>
        <v>893158.51</v>
      </c>
      <c r="H12" s="14">
        <f t="shared" si="6"/>
        <v>11320.351999999999</v>
      </c>
      <c r="I12" s="16">
        <f t="shared" si="3"/>
        <v>1.9999999985884642E-3</v>
      </c>
    </row>
    <row r="13" spans="1:16" x14ac:dyDescent="0.25">
      <c r="A13" s="94" t="s">
        <v>214</v>
      </c>
      <c r="B13" s="1">
        <f t="shared" si="7"/>
        <v>30</v>
      </c>
      <c r="C13" s="14">
        <f t="shared" si="0"/>
        <v>23790</v>
      </c>
      <c r="D13" s="95">
        <f t="shared" si="1"/>
        <v>12625.52</v>
      </c>
      <c r="E13" s="96">
        <f t="shared" si="4"/>
        <v>11164.48</v>
      </c>
      <c r="F13" s="14">
        <f t="shared" si="5"/>
        <v>893158.51</v>
      </c>
      <c r="G13" s="14">
        <f t="shared" si="2"/>
        <v>880532.99</v>
      </c>
      <c r="H13" s="14">
        <f t="shared" si="6"/>
        <v>11164.481375000001</v>
      </c>
      <c r="I13" s="16">
        <f t="shared" si="3"/>
        <v>1.3750000016443664E-3</v>
      </c>
    </row>
    <row r="14" spans="1:16" x14ac:dyDescent="0.25">
      <c r="A14" s="94" t="s">
        <v>215</v>
      </c>
      <c r="B14" s="1">
        <f t="shared" si="7"/>
        <v>30</v>
      </c>
      <c r="C14" s="14">
        <f t="shared" si="0"/>
        <v>23790</v>
      </c>
      <c r="D14" s="95">
        <f t="shared" si="1"/>
        <v>12783.34</v>
      </c>
      <c r="E14" s="96">
        <f t="shared" si="4"/>
        <v>11006.66</v>
      </c>
      <c r="F14" s="14">
        <f t="shared" si="5"/>
        <v>880532.99</v>
      </c>
      <c r="G14" s="14">
        <f t="shared" si="2"/>
        <v>867749.65</v>
      </c>
      <c r="H14" s="14">
        <f t="shared" si="6"/>
        <v>11006.662375</v>
      </c>
      <c r="I14" s="16">
        <f t="shared" si="3"/>
        <v>2.3750000000291038E-3</v>
      </c>
    </row>
    <row r="15" spans="1:16" x14ac:dyDescent="0.25">
      <c r="A15" s="94" t="s">
        <v>216</v>
      </c>
      <c r="B15" s="1">
        <f t="shared" si="7"/>
        <v>30</v>
      </c>
      <c r="C15" s="14">
        <f t="shared" si="0"/>
        <v>23790</v>
      </c>
      <c r="D15" s="95">
        <f t="shared" si="1"/>
        <v>12943.13</v>
      </c>
      <c r="E15" s="96">
        <f t="shared" si="4"/>
        <v>10846.87</v>
      </c>
      <c r="F15" s="14">
        <f t="shared" si="5"/>
        <v>867749.65</v>
      </c>
      <c r="G15" s="14">
        <f t="shared" si="2"/>
        <v>854806.52</v>
      </c>
      <c r="H15" s="14">
        <f t="shared" si="6"/>
        <v>10846.870625</v>
      </c>
      <c r="I15" s="16">
        <f t="shared" si="3"/>
        <v>6.2499999876308721E-4</v>
      </c>
    </row>
    <row r="16" spans="1:16" x14ac:dyDescent="0.25">
      <c r="A16" s="94" t="s">
        <v>122</v>
      </c>
      <c r="B16" s="1">
        <f t="shared" si="7"/>
        <v>30</v>
      </c>
      <c r="C16" s="14">
        <f t="shared" si="0"/>
        <v>23790</v>
      </c>
      <c r="D16" s="95">
        <f t="shared" si="1"/>
        <v>13104.92</v>
      </c>
      <c r="E16" s="96">
        <f t="shared" si="4"/>
        <v>10685.08</v>
      </c>
      <c r="F16" s="14">
        <f t="shared" si="5"/>
        <v>854806.52</v>
      </c>
      <c r="G16" s="14">
        <f t="shared" si="2"/>
        <v>841701.6</v>
      </c>
      <c r="H16" s="14">
        <f t="shared" si="6"/>
        <v>10685.0815</v>
      </c>
      <c r="I16" s="16">
        <f t="shared" si="3"/>
        <v>1.5000000003055902E-3</v>
      </c>
    </row>
    <row r="17" spans="1:9" x14ac:dyDescent="0.25">
      <c r="A17" s="94" t="s">
        <v>217</v>
      </c>
      <c r="B17" s="1">
        <f t="shared" si="7"/>
        <v>30</v>
      </c>
      <c r="C17" s="14">
        <f t="shared" si="0"/>
        <v>23790</v>
      </c>
      <c r="D17" s="95">
        <f t="shared" si="1"/>
        <v>13268.73</v>
      </c>
      <c r="E17" s="96">
        <f t="shared" si="4"/>
        <v>10521.27</v>
      </c>
      <c r="F17" s="14">
        <f t="shared" si="5"/>
        <v>841701.6</v>
      </c>
      <c r="G17" s="14">
        <f t="shared" si="2"/>
        <v>828432.87</v>
      </c>
      <c r="H17" s="14">
        <f t="shared" si="6"/>
        <v>10521.269999999999</v>
      </c>
      <c r="I17" s="16">
        <f t="shared" si="3"/>
        <v>0</v>
      </c>
    </row>
    <row r="18" spans="1:9" x14ac:dyDescent="0.25">
      <c r="A18" s="94" t="s">
        <v>218</v>
      </c>
      <c r="B18" s="1">
        <f t="shared" si="7"/>
        <v>30</v>
      </c>
      <c r="C18" s="14">
        <f t="shared" si="0"/>
        <v>23790</v>
      </c>
      <c r="D18" s="95">
        <f t="shared" si="1"/>
        <v>13434.59</v>
      </c>
      <c r="E18" s="96">
        <f t="shared" si="4"/>
        <v>10355.41</v>
      </c>
      <c r="F18" s="14">
        <f t="shared" si="5"/>
        <v>828432.87</v>
      </c>
      <c r="G18" s="14">
        <f t="shared" si="2"/>
        <v>814998.28</v>
      </c>
      <c r="H18" s="14">
        <f t="shared" si="6"/>
        <v>10355.410875</v>
      </c>
      <c r="I18" s="16">
        <f t="shared" si="3"/>
        <v>8.7499999972351361E-4</v>
      </c>
    </row>
    <row r="19" spans="1:9" x14ac:dyDescent="0.25">
      <c r="A19" s="94" t="s">
        <v>219</v>
      </c>
      <c r="B19" s="1">
        <f t="shared" si="7"/>
        <v>30</v>
      </c>
      <c r="C19" s="14">
        <f t="shared" si="0"/>
        <v>23790</v>
      </c>
      <c r="D19" s="95">
        <f t="shared" si="1"/>
        <v>13602.52</v>
      </c>
      <c r="E19" s="96">
        <f t="shared" si="4"/>
        <v>10187.48</v>
      </c>
      <c r="F19" s="14">
        <f t="shared" si="5"/>
        <v>814998.28</v>
      </c>
      <c r="G19" s="14">
        <f t="shared" si="2"/>
        <v>801395.76</v>
      </c>
      <c r="H19" s="14">
        <f t="shared" si="6"/>
        <v>10187.478499999999</v>
      </c>
      <c r="I19" s="16">
        <f t="shared" si="3"/>
        <v>-1.5000000003055902E-3</v>
      </c>
    </row>
    <row r="20" spans="1:9" x14ac:dyDescent="0.25">
      <c r="A20" s="94" t="s">
        <v>80</v>
      </c>
      <c r="B20" s="1">
        <f t="shared" si="7"/>
        <v>30</v>
      </c>
      <c r="C20" s="14">
        <f t="shared" si="0"/>
        <v>23790</v>
      </c>
      <c r="D20" s="95">
        <f t="shared" si="1"/>
        <v>13772.55</v>
      </c>
      <c r="E20" s="96">
        <f t="shared" si="4"/>
        <v>10017.450000000001</v>
      </c>
      <c r="F20" s="14">
        <f t="shared" si="5"/>
        <v>801395.76</v>
      </c>
      <c r="G20" s="14">
        <f t="shared" si="2"/>
        <v>787623.21</v>
      </c>
      <c r="H20" s="14">
        <f t="shared" si="6"/>
        <v>10017.447</v>
      </c>
      <c r="I20" s="16">
        <f t="shared" si="3"/>
        <v>-3.0000000006111804E-3</v>
      </c>
    </row>
    <row r="21" spans="1:9" x14ac:dyDescent="0.25">
      <c r="A21" s="94" t="s">
        <v>220</v>
      </c>
      <c r="B21" s="1">
        <f t="shared" si="7"/>
        <v>30</v>
      </c>
      <c r="C21" s="14">
        <f t="shared" si="0"/>
        <v>23790</v>
      </c>
      <c r="D21" s="95">
        <f t="shared" si="1"/>
        <v>13944.71</v>
      </c>
      <c r="E21" s="96">
        <f t="shared" si="4"/>
        <v>9845.2900000000009</v>
      </c>
      <c r="F21" s="14">
        <f t="shared" si="5"/>
        <v>787623.21</v>
      </c>
      <c r="G21" s="14">
        <f t="shared" si="2"/>
        <v>773678.5</v>
      </c>
      <c r="H21" s="14">
        <f t="shared" si="6"/>
        <v>9845.2901249999995</v>
      </c>
      <c r="I21" s="16">
        <f t="shared" si="3"/>
        <v>1.249999986612238E-4</v>
      </c>
    </row>
    <row r="22" spans="1:9" x14ac:dyDescent="0.25">
      <c r="A22" s="94" t="s">
        <v>221</v>
      </c>
      <c r="B22" s="1">
        <f t="shared" si="7"/>
        <v>30</v>
      </c>
      <c r="C22" s="14">
        <f t="shared" si="0"/>
        <v>23790</v>
      </c>
      <c r="D22" s="95">
        <f t="shared" si="1"/>
        <v>14119.02</v>
      </c>
      <c r="E22" s="96">
        <f t="shared" si="4"/>
        <v>9670.98</v>
      </c>
      <c r="F22" s="14">
        <f t="shared" si="5"/>
        <v>773678.5</v>
      </c>
      <c r="G22" s="14">
        <f t="shared" si="2"/>
        <v>759559.48</v>
      </c>
      <c r="H22" s="14">
        <f t="shared" si="6"/>
        <v>9670.9812500000007</v>
      </c>
      <c r="I22" s="16">
        <f t="shared" si="3"/>
        <v>1.2500000011641532E-3</v>
      </c>
    </row>
    <row r="23" spans="1:9" x14ac:dyDescent="0.25">
      <c r="A23" s="94" t="s">
        <v>222</v>
      </c>
      <c r="B23" s="1">
        <f t="shared" si="7"/>
        <v>30</v>
      </c>
      <c r="C23" s="14">
        <f t="shared" si="0"/>
        <v>23790</v>
      </c>
      <c r="D23" s="95">
        <f t="shared" si="1"/>
        <v>14295.51</v>
      </c>
      <c r="E23" s="96">
        <f t="shared" si="4"/>
        <v>9494.49</v>
      </c>
      <c r="F23" s="14">
        <f t="shared" si="5"/>
        <v>759559.48</v>
      </c>
      <c r="G23" s="14">
        <f t="shared" si="2"/>
        <v>745263.97</v>
      </c>
      <c r="H23" s="14">
        <f t="shared" si="6"/>
        <v>9494.4934999999987</v>
      </c>
      <c r="I23" s="16">
        <f t="shared" si="3"/>
        <v>3.4999999988940544E-3</v>
      </c>
    </row>
    <row r="24" spans="1:9" x14ac:dyDescent="0.25">
      <c r="A24" s="94" t="s">
        <v>223</v>
      </c>
      <c r="B24" s="1">
        <f t="shared" si="7"/>
        <v>30</v>
      </c>
      <c r="C24" s="14">
        <f t="shared" si="0"/>
        <v>23790</v>
      </c>
      <c r="D24" s="95">
        <f t="shared" si="1"/>
        <v>14474.2</v>
      </c>
      <c r="E24" s="96">
        <f t="shared" si="4"/>
        <v>9315.7999999999993</v>
      </c>
      <c r="F24" s="14">
        <f t="shared" si="5"/>
        <v>745263.97</v>
      </c>
      <c r="G24" s="14">
        <f t="shared" si="2"/>
        <v>730789.77</v>
      </c>
      <c r="H24" s="14">
        <f t="shared" si="6"/>
        <v>9315.7996249999997</v>
      </c>
      <c r="I24" s="16">
        <f t="shared" si="3"/>
        <v>-3.749999996216502E-4</v>
      </c>
    </row>
    <row r="25" spans="1:9" x14ac:dyDescent="0.25">
      <c r="A25" s="94" t="s">
        <v>224</v>
      </c>
      <c r="B25" s="1">
        <f t="shared" si="7"/>
        <v>30</v>
      </c>
      <c r="C25" s="14">
        <f t="shared" si="0"/>
        <v>23790</v>
      </c>
      <c r="D25" s="95">
        <f t="shared" si="1"/>
        <v>14655.13</v>
      </c>
      <c r="E25" s="96">
        <f t="shared" si="4"/>
        <v>9134.8700000000008</v>
      </c>
      <c r="F25" s="14">
        <f t="shared" si="5"/>
        <v>730789.77</v>
      </c>
      <c r="G25" s="14">
        <f t="shared" si="2"/>
        <v>716134.64</v>
      </c>
      <c r="H25" s="14">
        <f t="shared" si="6"/>
        <v>9134.8721250000017</v>
      </c>
      <c r="I25" s="16">
        <f t="shared" si="3"/>
        <v>2.1250000008876668E-3</v>
      </c>
    </row>
    <row r="26" spans="1:9" x14ac:dyDescent="0.25">
      <c r="A26" s="94" t="s">
        <v>225</v>
      </c>
      <c r="B26" s="1">
        <f t="shared" si="7"/>
        <v>30</v>
      </c>
      <c r="C26" s="14">
        <f t="shared" si="0"/>
        <v>23790</v>
      </c>
      <c r="D26" s="95">
        <f t="shared" si="1"/>
        <v>14838.32</v>
      </c>
      <c r="E26" s="96">
        <f t="shared" si="4"/>
        <v>8951.68</v>
      </c>
      <c r="F26" s="14">
        <f t="shared" si="5"/>
        <v>716134.64</v>
      </c>
      <c r="G26" s="14">
        <f t="shared" si="2"/>
        <v>701296.32000000007</v>
      </c>
      <c r="H26" s="14">
        <f t="shared" si="6"/>
        <v>8951.6829999999991</v>
      </c>
      <c r="I26" s="16">
        <f t="shared" si="3"/>
        <v>2.999999998792191E-3</v>
      </c>
    </row>
    <row r="27" spans="1:9" x14ac:dyDescent="0.25">
      <c r="A27" s="94" t="s">
        <v>226</v>
      </c>
      <c r="B27" s="1">
        <f t="shared" si="7"/>
        <v>30</v>
      </c>
      <c r="C27" s="14">
        <f t="shared" si="0"/>
        <v>23790</v>
      </c>
      <c r="D27" s="95">
        <f t="shared" si="1"/>
        <v>15023.8</v>
      </c>
      <c r="E27" s="96">
        <f t="shared" si="4"/>
        <v>8766.2000000000007</v>
      </c>
      <c r="F27" s="14">
        <f t="shared" si="5"/>
        <v>701296.32000000007</v>
      </c>
      <c r="G27" s="14">
        <f t="shared" si="2"/>
        <v>686272.52</v>
      </c>
      <c r="H27" s="14">
        <f t="shared" si="6"/>
        <v>8766.2039999999997</v>
      </c>
      <c r="I27" s="16">
        <f t="shared" si="3"/>
        <v>3.9999999989959178E-3</v>
      </c>
    </row>
    <row r="28" spans="1:9" x14ac:dyDescent="0.25">
      <c r="A28" s="94" t="s">
        <v>138</v>
      </c>
      <c r="B28" s="1">
        <f t="shared" si="7"/>
        <v>30</v>
      </c>
      <c r="C28" s="14">
        <f t="shared" si="0"/>
        <v>23790</v>
      </c>
      <c r="D28" s="95">
        <f t="shared" si="1"/>
        <v>15211.59</v>
      </c>
      <c r="E28" s="96">
        <f t="shared" si="4"/>
        <v>8578.41</v>
      </c>
      <c r="F28" s="14">
        <f t="shared" si="5"/>
        <v>686272.52</v>
      </c>
      <c r="G28" s="14">
        <f t="shared" si="2"/>
        <v>671060.93000000005</v>
      </c>
      <c r="H28" s="14">
        <f t="shared" si="6"/>
        <v>8578.4064999999991</v>
      </c>
      <c r="I28" s="16">
        <f t="shared" si="3"/>
        <v>-3.5000000007130438E-3</v>
      </c>
    </row>
    <row r="29" spans="1:9" x14ac:dyDescent="0.25">
      <c r="A29" s="94" t="s">
        <v>227</v>
      </c>
      <c r="B29" s="1">
        <f t="shared" si="7"/>
        <v>30</v>
      </c>
      <c r="C29" s="14">
        <f t="shared" si="0"/>
        <v>23790</v>
      </c>
      <c r="D29" s="95">
        <f t="shared" si="1"/>
        <v>15401.74</v>
      </c>
      <c r="E29" s="96">
        <f t="shared" si="4"/>
        <v>8388.26</v>
      </c>
      <c r="F29" s="14">
        <f t="shared" si="5"/>
        <v>671060.93000000005</v>
      </c>
      <c r="G29" s="14">
        <f t="shared" si="2"/>
        <v>655659.19000000006</v>
      </c>
      <c r="H29" s="14">
        <f t="shared" si="6"/>
        <v>8388.261625000001</v>
      </c>
      <c r="I29" s="16">
        <f t="shared" si="3"/>
        <v>1.6250000007858034E-3</v>
      </c>
    </row>
    <row r="30" spans="1:9" x14ac:dyDescent="0.25">
      <c r="A30" s="94" t="s">
        <v>228</v>
      </c>
      <c r="B30" s="1">
        <f t="shared" si="7"/>
        <v>30</v>
      </c>
      <c r="C30" s="14">
        <f t="shared" si="0"/>
        <v>23790</v>
      </c>
      <c r="D30" s="95">
        <f t="shared" si="1"/>
        <v>15594.26</v>
      </c>
      <c r="E30" s="96">
        <f t="shared" si="4"/>
        <v>8195.74</v>
      </c>
      <c r="F30" s="14">
        <f t="shared" si="5"/>
        <v>655659.19000000006</v>
      </c>
      <c r="G30" s="14">
        <f t="shared" si="2"/>
        <v>640064.93000000005</v>
      </c>
      <c r="H30" s="14">
        <f t="shared" si="6"/>
        <v>8195.7398749999993</v>
      </c>
      <c r="I30" s="16">
        <f t="shared" si="3"/>
        <v>-1.250000004802132E-4</v>
      </c>
    </row>
    <row r="31" spans="1:9" x14ac:dyDescent="0.25">
      <c r="A31" s="94" t="s">
        <v>229</v>
      </c>
      <c r="B31" s="1">
        <f t="shared" si="7"/>
        <v>30</v>
      </c>
      <c r="C31" s="14">
        <f t="shared" si="0"/>
        <v>23790</v>
      </c>
      <c r="D31" s="95">
        <f t="shared" si="1"/>
        <v>15789.189999999999</v>
      </c>
      <c r="E31" s="96">
        <f t="shared" si="4"/>
        <v>8000.81</v>
      </c>
      <c r="F31" s="14">
        <f t="shared" si="5"/>
        <v>640064.93000000005</v>
      </c>
      <c r="G31" s="14">
        <f t="shared" si="2"/>
        <v>624275.74000000011</v>
      </c>
      <c r="H31" s="14">
        <f t="shared" si="6"/>
        <v>8000.8116250000012</v>
      </c>
      <c r="I31" s="16">
        <f t="shared" si="3"/>
        <v>1.6250000007858034E-3</v>
      </c>
    </row>
    <row r="32" spans="1:9" x14ac:dyDescent="0.25">
      <c r="A32" s="94" t="s">
        <v>230</v>
      </c>
      <c r="B32" s="1">
        <f t="shared" si="7"/>
        <v>30</v>
      </c>
      <c r="C32" s="14">
        <f t="shared" si="0"/>
        <v>23790</v>
      </c>
      <c r="D32" s="95">
        <f t="shared" si="1"/>
        <v>15986.55</v>
      </c>
      <c r="E32" s="96">
        <f t="shared" si="4"/>
        <v>7803.45</v>
      </c>
      <c r="F32" s="14">
        <f t="shared" si="5"/>
        <v>624275.74000000011</v>
      </c>
      <c r="G32" s="14">
        <f t="shared" si="2"/>
        <v>608289.19000000006</v>
      </c>
      <c r="H32" s="14">
        <f t="shared" si="6"/>
        <v>7803.4467500000019</v>
      </c>
      <c r="I32" s="16">
        <f t="shared" si="3"/>
        <v>-3.249999997933628E-3</v>
      </c>
    </row>
    <row r="33" spans="1:9" x14ac:dyDescent="0.25">
      <c r="A33" s="94" t="s">
        <v>231</v>
      </c>
      <c r="B33" s="1">
        <f t="shared" si="7"/>
        <v>30</v>
      </c>
      <c r="C33" s="14">
        <f t="shared" si="0"/>
        <v>23790</v>
      </c>
      <c r="D33" s="95">
        <f t="shared" si="1"/>
        <v>16186.39</v>
      </c>
      <c r="E33" s="96">
        <f t="shared" si="4"/>
        <v>7603.61</v>
      </c>
      <c r="F33" s="14">
        <f t="shared" si="5"/>
        <v>608289.19000000006</v>
      </c>
      <c r="G33" s="14">
        <f t="shared" si="2"/>
        <v>592102.80000000005</v>
      </c>
      <c r="H33" s="14">
        <f t="shared" si="6"/>
        <v>7603.6148750000002</v>
      </c>
      <c r="I33" s="16">
        <f t="shared" si="3"/>
        <v>4.8750000005384209E-3</v>
      </c>
    </row>
    <row r="34" spans="1:9" x14ac:dyDescent="0.25">
      <c r="A34" s="94" t="s">
        <v>232</v>
      </c>
      <c r="B34" s="1">
        <f t="shared" si="7"/>
        <v>30</v>
      </c>
      <c r="C34" s="14">
        <f t="shared" si="0"/>
        <v>23790</v>
      </c>
      <c r="D34" s="95">
        <f t="shared" si="1"/>
        <v>16388.71</v>
      </c>
      <c r="E34" s="96">
        <f t="shared" si="4"/>
        <v>7401.29</v>
      </c>
      <c r="F34" s="14">
        <f t="shared" si="5"/>
        <v>592102.80000000005</v>
      </c>
      <c r="G34" s="14">
        <f t="shared" si="2"/>
        <v>575714.09000000008</v>
      </c>
      <c r="H34" s="14">
        <f t="shared" si="6"/>
        <v>7401.2849999999999</v>
      </c>
      <c r="I34" s="16">
        <f t="shared" si="3"/>
        <v>-5.0000000001091394E-3</v>
      </c>
    </row>
    <row r="35" spans="1:9" x14ac:dyDescent="0.25">
      <c r="A35" s="94" t="s">
        <v>233</v>
      </c>
      <c r="B35" s="1">
        <f t="shared" si="7"/>
        <v>30</v>
      </c>
      <c r="C35" s="14">
        <f t="shared" si="0"/>
        <v>23790</v>
      </c>
      <c r="D35" s="95">
        <f t="shared" si="1"/>
        <v>16593.57</v>
      </c>
      <c r="E35" s="96">
        <f t="shared" si="4"/>
        <v>7196.43</v>
      </c>
      <c r="F35" s="14">
        <f t="shared" si="5"/>
        <v>575714.09000000008</v>
      </c>
      <c r="G35" s="14">
        <f t="shared" si="2"/>
        <v>559120.52000000014</v>
      </c>
      <c r="H35" s="14">
        <f t="shared" si="6"/>
        <v>7196.4261250000009</v>
      </c>
      <c r="I35" s="16">
        <f t="shared" si="3"/>
        <v>-3.8749999994251993E-3</v>
      </c>
    </row>
    <row r="36" spans="1:9" x14ac:dyDescent="0.25">
      <c r="A36" s="94" t="s">
        <v>234</v>
      </c>
      <c r="B36" s="1">
        <f t="shared" si="7"/>
        <v>30</v>
      </c>
      <c r="C36" s="14">
        <f t="shared" si="0"/>
        <v>23790</v>
      </c>
      <c r="D36" s="95">
        <f t="shared" si="1"/>
        <v>16800.989999999998</v>
      </c>
      <c r="E36" s="96">
        <f t="shared" si="4"/>
        <v>6989.01</v>
      </c>
      <c r="F36" s="14">
        <f t="shared" si="5"/>
        <v>559120.52000000014</v>
      </c>
      <c r="G36" s="14">
        <f t="shared" si="2"/>
        <v>542319.53000000014</v>
      </c>
      <c r="H36" s="14">
        <f t="shared" si="6"/>
        <v>6989.0065000000022</v>
      </c>
      <c r="I36" s="16">
        <f t="shared" si="3"/>
        <v>-3.4999999979845597E-3</v>
      </c>
    </row>
    <row r="37" spans="1:9" x14ac:dyDescent="0.25">
      <c r="A37" s="94" t="s">
        <v>235</v>
      </c>
      <c r="B37" s="1">
        <f t="shared" si="7"/>
        <v>30</v>
      </c>
      <c r="C37" s="14">
        <f t="shared" si="0"/>
        <v>23790</v>
      </c>
      <c r="D37" s="95">
        <f t="shared" si="1"/>
        <v>17011.010000000002</v>
      </c>
      <c r="E37" s="96">
        <f t="shared" si="4"/>
        <v>6778.99</v>
      </c>
      <c r="F37" s="14">
        <f t="shared" si="5"/>
        <v>542319.53000000014</v>
      </c>
      <c r="G37" s="14">
        <f t="shared" si="2"/>
        <v>525308.52000000014</v>
      </c>
      <c r="H37" s="14">
        <f t="shared" si="6"/>
        <v>6778.9941250000011</v>
      </c>
      <c r="I37" s="16">
        <f t="shared" si="3"/>
        <v>4.1250000012951205E-3</v>
      </c>
    </row>
    <row r="38" spans="1:9" x14ac:dyDescent="0.25">
      <c r="A38" s="94" t="s">
        <v>236</v>
      </c>
      <c r="B38" s="1">
        <f t="shared" si="7"/>
        <v>30</v>
      </c>
      <c r="C38" s="14">
        <f t="shared" si="0"/>
        <v>23790</v>
      </c>
      <c r="D38" s="95">
        <f t="shared" si="1"/>
        <v>17223.64</v>
      </c>
      <c r="E38" s="96">
        <f t="shared" si="4"/>
        <v>6566.36</v>
      </c>
      <c r="F38" s="14">
        <f t="shared" si="5"/>
        <v>525308.52000000014</v>
      </c>
      <c r="G38" s="14">
        <f t="shared" si="2"/>
        <v>508084.88000000012</v>
      </c>
      <c r="H38" s="14">
        <f t="shared" si="6"/>
        <v>6566.3565000000026</v>
      </c>
      <c r="I38" s="16">
        <f t="shared" si="3"/>
        <v>-3.499999997075065E-3</v>
      </c>
    </row>
    <row r="39" spans="1:9" x14ac:dyDescent="0.25">
      <c r="A39" s="94" t="s">
        <v>237</v>
      </c>
      <c r="B39" s="1">
        <f t="shared" si="7"/>
        <v>30</v>
      </c>
      <c r="C39" s="14">
        <f t="shared" si="0"/>
        <v>23790</v>
      </c>
      <c r="D39" s="95">
        <f t="shared" si="1"/>
        <v>17438.939999999999</v>
      </c>
      <c r="E39" s="96">
        <f t="shared" si="4"/>
        <v>6351.06</v>
      </c>
      <c r="F39" s="14">
        <f t="shared" si="5"/>
        <v>508084.88000000012</v>
      </c>
      <c r="G39" s="14">
        <f t="shared" si="2"/>
        <v>490645.94000000012</v>
      </c>
      <c r="H39" s="14">
        <f t="shared" si="6"/>
        <v>6351.0610000000015</v>
      </c>
      <c r="I39" s="16">
        <f t="shared" si="3"/>
        <v>1.0000000011132215E-3</v>
      </c>
    </row>
    <row r="40" spans="1:9" x14ac:dyDescent="0.25">
      <c r="A40" s="94" t="s">
        <v>139</v>
      </c>
      <c r="B40" s="1">
        <f t="shared" ref="B40:B103" si="8">DAYS360(A39,A40,TRUE)</f>
        <v>30</v>
      </c>
      <c r="C40" s="14">
        <f t="shared" si="0"/>
        <v>23790</v>
      </c>
      <c r="D40" s="95">
        <f t="shared" ref="D40:D65" si="9">C40-E40</f>
        <v>17656.93</v>
      </c>
      <c r="E40" s="96">
        <f t="shared" ref="E40:E62" si="10">ROUND(F40*$B$2*B40/360,2)</f>
        <v>6133.07</v>
      </c>
      <c r="F40" s="14">
        <f t="shared" ref="F40:F65" si="11">G39</f>
        <v>490645.94000000012</v>
      </c>
      <c r="G40" s="14">
        <f t="shared" ref="G40:G65" si="12">F40-D40</f>
        <v>472989.01000000013</v>
      </c>
    </row>
    <row r="41" spans="1:9" x14ac:dyDescent="0.25">
      <c r="A41" s="94" t="s">
        <v>239</v>
      </c>
      <c r="B41" s="1">
        <f t="shared" si="8"/>
        <v>30</v>
      </c>
      <c r="C41" s="14">
        <f t="shared" si="0"/>
        <v>23790</v>
      </c>
      <c r="D41" s="95">
        <f t="shared" si="9"/>
        <v>17877.64</v>
      </c>
      <c r="E41" s="96">
        <f t="shared" si="10"/>
        <v>5912.36</v>
      </c>
      <c r="F41" s="14">
        <f t="shared" si="11"/>
        <v>472989.01000000013</v>
      </c>
      <c r="G41" s="14">
        <f t="shared" si="12"/>
        <v>455111.37000000011</v>
      </c>
    </row>
    <row r="42" spans="1:9" x14ac:dyDescent="0.25">
      <c r="A42" s="94" t="s">
        <v>240</v>
      </c>
      <c r="B42" s="1">
        <f t="shared" si="8"/>
        <v>30</v>
      </c>
      <c r="C42" s="14">
        <f t="shared" si="0"/>
        <v>23790</v>
      </c>
      <c r="D42" s="95">
        <f t="shared" si="9"/>
        <v>18101.11</v>
      </c>
      <c r="E42" s="96">
        <f t="shared" si="10"/>
        <v>5688.89</v>
      </c>
      <c r="F42" s="14">
        <f t="shared" si="11"/>
        <v>455111.37000000011</v>
      </c>
      <c r="G42" s="14">
        <f t="shared" si="12"/>
        <v>437010.26000000013</v>
      </c>
    </row>
    <row r="43" spans="1:9" x14ac:dyDescent="0.25">
      <c r="A43" s="94" t="s">
        <v>241</v>
      </c>
      <c r="B43" s="1">
        <f t="shared" si="8"/>
        <v>30</v>
      </c>
      <c r="C43" s="14">
        <f t="shared" si="0"/>
        <v>23790</v>
      </c>
      <c r="D43" s="95">
        <f t="shared" si="9"/>
        <v>18327.37</v>
      </c>
      <c r="E43" s="96">
        <f t="shared" si="10"/>
        <v>5462.63</v>
      </c>
      <c r="F43" s="14">
        <f t="shared" si="11"/>
        <v>437010.26000000013</v>
      </c>
      <c r="G43" s="14">
        <f t="shared" si="12"/>
        <v>418682.89000000013</v>
      </c>
    </row>
    <row r="44" spans="1:9" x14ac:dyDescent="0.25">
      <c r="A44" s="94" t="s">
        <v>245</v>
      </c>
      <c r="B44" s="1">
        <f t="shared" si="8"/>
        <v>30</v>
      </c>
      <c r="C44" s="14">
        <f t="shared" si="0"/>
        <v>23790</v>
      </c>
      <c r="D44" s="95">
        <f t="shared" si="9"/>
        <v>18556.46</v>
      </c>
      <c r="E44" s="96">
        <f t="shared" si="10"/>
        <v>5233.54</v>
      </c>
      <c r="F44" s="14">
        <f t="shared" si="11"/>
        <v>418682.89000000013</v>
      </c>
      <c r="G44" s="14">
        <f t="shared" si="12"/>
        <v>400126.43000000011</v>
      </c>
    </row>
    <row r="45" spans="1:9" x14ac:dyDescent="0.25">
      <c r="A45" s="94" t="s">
        <v>246</v>
      </c>
      <c r="B45" s="1">
        <f t="shared" si="8"/>
        <v>30</v>
      </c>
      <c r="C45" s="14">
        <f t="shared" si="0"/>
        <v>23790</v>
      </c>
      <c r="D45" s="95">
        <f t="shared" si="9"/>
        <v>18788.419999999998</v>
      </c>
      <c r="E45" s="96">
        <f t="shared" si="10"/>
        <v>5001.58</v>
      </c>
      <c r="F45" s="14">
        <f t="shared" si="11"/>
        <v>400126.43000000011</v>
      </c>
      <c r="G45" s="14">
        <f t="shared" si="12"/>
        <v>381338.01000000013</v>
      </c>
    </row>
    <row r="46" spans="1:9" x14ac:dyDescent="0.25">
      <c r="A46" s="94" t="s">
        <v>247</v>
      </c>
      <c r="B46" s="1">
        <f t="shared" si="8"/>
        <v>30</v>
      </c>
      <c r="C46" s="14">
        <f t="shared" si="0"/>
        <v>23790</v>
      </c>
      <c r="D46" s="95">
        <f t="shared" si="9"/>
        <v>19023.27</v>
      </c>
      <c r="E46" s="96">
        <f t="shared" si="10"/>
        <v>4766.7299999999996</v>
      </c>
      <c r="F46" s="14">
        <f t="shared" si="11"/>
        <v>381338.01000000013</v>
      </c>
      <c r="G46" s="14">
        <f t="shared" si="12"/>
        <v>362314.74000000011</v>
      </c>
    </row>
    <row r="47" spans="1:9" x14ac:dyDescent="0.25">
      <c r="A47" s="94" t="s">
        <v>248</v>
      </c>
      <c r="B47" s="1">
        <f t="shared" si="8"/>
        <v>30</v>
      </c>
      <c r="C47" s="14">
        <f t="shared" si="0"/>
        <v>23790</v>
      </c>
      <c r="D47" s="95">
        <f t="shared" si="9"/>
        <v>19261.07</v>
      </c>
      <c r="E47" s="96">
        <f t="shared" si="10"/>
        <v>4528.93</v>
      </c>
      <c r="F47" s="14">
        <f t="shared" si="11"/>
        <v>362314.74000000011</v>
      </c>
      <c r="G47" s="14">
        <f t="shared" si="12"/>
        <v>343053.6700000001</v>
      </c>
    </row>
    <row r="48" spans="1:9" x14ac:dyDescent="0.25">
      <c r="A48" s="94" t="s">
        <v>242</v>
      </c>
      <c r="B48" s="1">
        <f t="shared" si="8"/>
        <v>30</v>
      </c>
      <c r="C48" s="14">
        <f t="shared" si="0"/>
        <v>23790</v>
      </c>
      <c r="D48" s="95">
        <f t="shared" si="9"/>
        <v>19501.830000000002</v>
      </c>
      <c r="E48" s="96">
        <f t="shared" si="10"/>
        <v>4288.17</v>
      </c>
      <c r="F48" s="14">
        <f t="shared" si="11"/>
        <v>343053.6700000001</v>
      </c>
      <c r="G48" s="14">
        <f t="shared" si="12"/>
        <v>323551.84000000008</v>
      </c>
    </row>
    <row r="49" spans="1:7" x14ac:dyDescent="0.25">
      <c r="A49" s="94" t="s">
        <v>243</v>
      </c>
      <c r="B49" s="1">
        <f t="shared" si="8"/>
        <v>30</v>
      </c>
      <c r="C49" s="14">
        <f t="shared" si="0"/>
        <v>23790</v>
      </c>
      <c r="D49" s="95">
        <f t="shared" si="9"/>
        <v>19745.599999999999</v>
      </c>
      <c r="E49" s="96">
        <f t="shared" si="10"/>
        <v>4044.4</v>
      </c>
      <c r="F49" s="14">
        <f t="shared" si="11"/>
        <v>323551.84000000008</v>
      </c>
      <c r="G49" s="14">
        <f t="shared" si="12"/>
        <v>303806.24000000011</v>
      </c>
    </row>
    <row r="50" spans="1:7" x14ac:dyDescent="0.25">
      <c r="A50" s="94" t="s">
        <v>238</v>
      </c>
      <c r="B50" s="1">
        <f t="shared" si="8"/>
        <v>30</v>
      </c>
      <c r="C50" s="14">
        <f t="shared" si="0"/>
        <v>23790</v>
      </c>
      <c r="D50" s="95">
        <f t="shared" si="9"/>
        <v>19992.419999999998</v>
      </c>
      <c r="E50" s="96">
        <f t="shared" si="10"/>
        <v>3797.58</v>
      </c>
      <c r="F50" s="14">
        <f t="shared" si="11"/>
        <v>303806.24000000011</v>
      </c>
      <c r="G50" s="14">
        <f t="shared" si="12"/>
        <v>283813.82000000012</v>
      </c>
    </row>
    <row r="51" spans="1:7" x14ac:dyDescent="0.25">
      <c r="A51" s="94" t="s">
        <v>244</v>
      </c>
      <c r="B51" s="1">
        <f t="shared" si="8"/>
        <v>30</v>
      </c>
      <c r="C51" s="14">
        <f t="shared" si="0"/>
        <v>23790</v>
      </c>
      <c r="D51" s="95">
        <f t="shared" si="9"/>
        <v>20242.330000000002</v>
      </c>
      <c r="E51" s="96">
        <f t="shared" si="10"/>
        <v>3547.67</v>
      </c>
      <c r="F51" s="14">
        <f t="shared" si="11"/>
        <v>283813.82000000012</v>
      </c>
      <c r="G51" s="14">
        <f t="shared" si="12"/>
        <v>263571.49000000011</v>
      </c>
    </row>
    <row r="52" spans="1:7" x14ac:dyDescent="0.25">
      <c r="A52" s="94" t="s">
        <v>249</v>
      </c>
      <c r="B52" s="1">
        <f t="shared" si="8"/>
        <v>30</v>
      </c>
      <c r="C52" s="14">
        <f t="shared" si="0"/>
        <v>23790</v>
      </c>
      <c r="D52" s="95">
        <f t="shared" si="9"/>
        <v>20495.36</v>
      </c>
      <c r="E52" s="96">
        <f t="shared" si="10"/>
        <v>3294.64</v>
      </c>
      <c r="F52" s="14">
        <f t="shared" si="11"/>
        <v>263571.49000000011</v>
      </c>
      <c r="G52" s="14">
        <f t="shared" si="12"/>
        <v>243076.13000000012</v>
      </c>
    </row>
    <row r="53" spans="1:7" x14ac:dyDescent="0.25">
      <c r="A53" s="94" t="s">
        <v>250</v>
      </c>
      <c r="B53" s="1">
        <f t="shared" si="8"/>
        <v>30</v>
      </c>
      <c r="C53" s="14">
        <f t="shared" si="0"/>
        <v>23790</v>
      </c>
      <c r="D53" s="95">
        <f t="shared" si="9"/>
        <v>20751.55</v>
      </c>
      <c r="E53" s="96">
        <f t="shared" si="10"/>
        <v>3038.45</v>
      </c>
      <c r="F53" s="14">
        <f t="shared" si="11"/>
        <v>243076.13000000012</v>
      </c>
      <c r="G53" s="14">
        <f t="shared" si="12"/>
        <v>222324.58000000013</v>
      </c>
    </row>
    <row r="54" spans="1:7" x14ac:dyDescent="0.25">
      <c r="A54" s="94" t="s">
        <v>251</v>
      </c>
      <c r="B54" s="1">
        <f t="shared" si="8"/>
        <v>30</v>
      </c>
      <c r="C54" s="14">
        <f t="shared" si="0"/>
        <v>23790</v>
      </c>
      <c r="D54" s="95">
        <f t="shared" si="9"/>
        <v>21010.94</v>
      </c>
      <c r="E54" s="96">
        <f t="shared" si="10"/>
        <v>2779.06</v>
      </c>
      <c r="F54" s="14">
        <f t="shared" si="11"/>
        <v>222324.58000000013</v>
      </c>
      <c r="G54" s="14">
        <f t="shared" si="12"/>
        <v>201313.64000000013</v>
      </c>
    </row>
    <row r="55" spans="1:7" x14ac:dyDescent="0.25">
      <c r="A55" s="94" t="s">
        <v>252</v>
      </c>
      <c r="B55" s="1">
        <f t="shared" si="8"/>
        <v>30</v>
      </c>
      <c r="C55" s="14">
        <f t="shared" si="0"/>
        <v>23790</v>
      </c>
      <c r="D55" s="95">
        <f t="shared" si="9"/>
        <v>21273.58</v>
      </c>
      <c r="E55" s="96">
        <f t="shared" si="10"/>
        <v>2516.42</v>
      </c>
      <c r="F55" s="14">
        <f t="shared" si="11"/>
        <v>201313.64000000013</v>
      </c>
      <c r="G55" s="14">
        <f t="shared" si="12"/>
        <v>180040.06000000011</v>
      </c>
    </row>
    <row r="56" spans="1:7" x14ac:dyDescent="0.25">
      <c r="A56" s="94" t="s">
        <v>253</v>
      </c>
      <c r="B56" s="1">
        <f t="shared" si="8"/>
        <v>30</v>
      </c>
      <c r="C56" s="14">
        <f t="shared" si="0"/>
        <v>23790</v>
      </c>
      <c r="D56" s="95">
        <f t="shared" si="9"/>
        <v>21539.5</v>
      </c>
      <c r="E56" s="96">
        <f t="shared" si="10"/>
        <v>2250.5</v>
      </c>
      <c r="F56" s="14">
        <f t="shared" si="11"/>
        <v>180040.06000000011</v>
      </c>
      <c r="G56" s="14">
        <f t="shared" si="12"/>
        <v>158500.56000000011</v>
      </c>
    </row>
    <row r="57" spans="1:7" x14ac:dyDescent="0.25">
      <c r="A57" s="94" t="s">
        <v>254</v>
      </c>
      <c r="B57" s="1">
        <f t="shared" si="8"/>
        <v>30</v>
      </c>
      <c r="C57" s="14">
        <f t="shared" si="0"/>
        <v>23790</v>
      </c>
      <c r="D57" s="95">
        <f t="shared" si="9"/>
        <v>21808.74</v>
      </c>
      <c r="E57" s="96">
        <f t="shared" si="10"/>
        <v>1981.26</v>
      </c>
      <c r="F57" s="14">
        <f t="shared" si="11"/>
        <v>158500.56000000011</v>
      </c>
      <c r="G57" s="14">
        <f t="shared" si="12"/>
        <v>136691.82000000012</v>
      </c>
    </row>
    <row r="58" spans="1:7" x14ac:dyDescent="0.25">
      <c r="A58" s="94" t="s">
        <v>255</v>
      </c>
      <c r="B58" s="1">
        <f t="shared" si="8"/>
        <v>30</v>
      </c>
      <c r="C58" s="14">
        <f t="shared" si="0"/>
        <v>23790</v>
      </c>
      <c r="D58" s="95">
        <f t="shared" si="9"/>
        <v>22081.35</v>
      </c>
      <c r="E58" s="96">
        <f t="shared" si="10"/>
        <v>1708.65</v>
      </c>
      <c r="F58" s="14">
        <f t="shared" si="11"/>
        <v>136691.82000000012</v>
      </c>
      <c r="G58" s="14">
        <f t="shared" si="12"/>
        <v>114610.47000000012</v>
      </c>
    </row>
    <row r="59" spans="1:7" x14ac:dyDescent="0.25">
      <c r="A59" s="94" t="s">
        <v>256</v>
      </c>
      <c r="B59" s="1">
        <f t="shared" si="8"/>
        <v>30</v>
      </c>
      <c r="C59" s="14">
        <f t="shared" si="0"/>
        <v>23790</v>
      </c>
      <c r="D59" s="95">
        <f t="shared" si="9"/>
        <v>22357.37</v>
      </c>
      <c r="E59" s="96">
        <f t="shared" si="10"/>
        <v>1432.63</v>
      </c>
      <c r="F59" s="14">
        <f t="shared" si="11"/>
        <v>114610.47000000012</v>
      </c>
      <c r="G59" s="14">
        <f t="shared" si="12"/>
        <v>92253.100000000122</v>
      </c>
    </row>
    <row r="60" spans="1:7" x14ac:dyDescent="0.25">
      <c r="A60" s="94" t="s">
        <v>257</v>
      </c>
      <c r="B60" s="1">
        <f t="shared" si="8"/>
        <v>30</v>
      </c>
      <c r="C60" s="14">
        <f t="shared" si="0"/>
        <v>23790</v>
      </c>
      <c r="D60" s="95">
        <f t="shared" si="9"/>
        <v>22636.84</v>
      </c>
      <c r="E60" s="96">
        <f t="shared" si="10"/>
        <v>1153.1600000000001</v>
      </c>
      <c r="F60" s="14">
        <f t="shared" si="11"/>
        <v>92253.100000000122</v>
      </c>
      <c r="G60" s="14">
        <f t="shared" si="12"/>
        <v>69616.260000000126</v>
      </c>
    </row>
    <row r="61" spans="1:7" x14ac:dyDescent="0.25">
      <c r="A61" s="94" t="s">
        <v>258</v>
      </c>
      <c r="B61" s="1">
        <f t="shared" si="8"/>
        <v>30</v>
      </c>
      <c r="C61" s="14">
        <f t="shared" si="0"/>
        <v>23790</v>
      </c>
      <c r="D61" s="95">
        <f t="shared" si="9"/>
        <v>22919.8</v>
      </c>
      <c r="E61" s="96">
        <f t="shared" si="10"/>
        <v>870.2</v>
      </c>
      <c r="F61" s="14">
        <f t="shared" si="11"/>
        <v>69616.260000000126</v>
      </c>
      <c r="G61" s="14">
        <f t="shared" si="12"/>
        <v>46696.460000000123</v>
      </c>
    </row>
    <row r="62" spans="1:7" x14ac:dyDescent="0.25">
      <c r="A62" s="94" t="s">
        <v>259</v>
      </c>
      <c r="B62" s="1">
        <f t="shared" si="8"/>
        <v>30</v>
      </c>
      <c r="C62" s="14">
        <f t="shared" si="0"/>
        <v>23790</v>
      </c>
      <c r="D62" s="95">
        <f t="shared" si="9"/>
        <v>23206.29</v>
      </c>
      <c r="E62" s="96">
        <f t="shared" si="10"/>
        <v>583.71</v>
      </c>
      <c r="F62" s="14">
        <f t="shared" si="11"/>
        <v>46696.460000000123</v>
      </c>
      <c r="G62" s="14">
        <f t="shared" si="12"/>
        <v>23490.170000000122</v>
      </c>
    </row>
    <row r="63" spans="1:7" x14ac:dyDescent="0.25">
      <c r="A63" s="94" t="s">
        <v>260</v>
      </c>
      <c r="B63" s="1">
        <f t="shared" si="8"/>
        <v>30</v>
      </c>
      <c r="C63" s="14">
        <f t="shared" si="0"/>
        <v>23790</v>
      </c>
      <c r="D63" s="95">
        <f t="shared" si="9"/>
        <v>23490.170000000122</v>
      </c>
      <c r="E63" s="96">
        <v>299.82999999987703</v>
      </c>
      <c r="F63" s="14">
        <f t="shared" si="11"/>
        <v>23490.170000000122</v>
      </c>
      <c r="G63" s="14">
        <f t="shared" si="12"/>
        <v>0</v>
      </c>
    </row>
    <row r="64" spans="1:7" x14ac:dyDescent="0.25">
      <c r="A64" s="97" t="s">
        <v>209</v>
      </c>
      <c r="B64" s="69">
        <f>DAYS360(A7,A8,TRUE)</f>
        <v>30</v>
      </c>
      <c r="C64" s="99">
        <f t="shared" si="0"/>
        <v>23790</v>
      </c>
      <c r="D64" s="100">
        <f>C8-E8</f>
        <v>11865.17</v>
      </c>
      <c r="E64" s="69">
        <f>ROUND(F8*$B$2*B8/360,2)</f>
        <v>11924.83</v>
      </c>
      <c r="F64" s="105">
        <f>G7</f>
        <v>953986.18</v>
      </c>
      <c r="G64" s="106">
        <f t="shared" si="12"/>
        <v>942121.01</v>
      </c>
    </row>
    <row r="65" spans="1:7" x14ac:dyDescent="0.25">
      <c r="A65" s="94" t="s">
        <v>210</v>
      </c>
      <c r="B65" s="1">
        <f t="shared" si="8"/>
        <v>30</v>
      </c>
      <c r="C65" s="14">
        <f>$H$1</f>
        <v>21436</v>
      </c>
      <c r="D65" s="95">
        <f t="shared" si="9"/>
        <v>13061.59</v>
      </c>
      <c r="E65" s="96">
        <f>ROUND((F65*$B$2*N2/360)+(F65*$J$1*P2/360),2)</f>
        <v>8374.41</v>
      </c>
      <c r="F65" s="14">
        <f t="shared" si="11"/>
        <v>942121.01</v>
      </c>
      <c r="G65" s="104">
        <f t="shared" si="12"/>
        <v>929059.42</v>
      </c>
    </row>
    <row r="66" spans="1:7" x14ac:dyDescent="0.25">
      <c r="A66" s="94" t="s">
        <v>211</v>
      </c>
      <c r="B66" s="1">
        <f t="shared" si="8"/>
        <v>30</v>
      </c>
      <c r="C66" s="14">
        <f t="shared" ref="C66:C68" si="13">$H$1</f>
        <v>21436</v>
      </c>
      <c r="D66" s="95">
        <f t="shared" ref="D66" si="14">C66-E66</f>
        <v>13693.84</v>
      </c>
      <c r="E66" s="96">
        <f>ROUND(F66*$J$1*B66/360,2)</f>
        <v>7742.16</v>
      </c>
      <c r="F66" s="14">
        <f t="shared" ref="F66" si="15">G65</f>
        <v>929059.42</v>
      </c>
      <c r="G66" s="104">
        <f t="shared" ref="G66" si="16">F66-D66</f>
        <v>915365.58000000007</v>
      </c>
    </row>
    <row r="67" spans="1:7" x14ac:dyDescent="0.25">
      <c r="A67" s="94" t="s">
        <v>212</v>
      </c>
      <c r="B67" s="1">
        <f t="shared" si="8"/>
        <v>30</v>
      </c>
      <c r="C67" s="14">
        <f t="shared" si="13"/>
        <v>21436</v>
      </c>
      <c r="D67" s="95">
        <f t="shared" ref="D67:D107" si="17">C67-E67</f>
        <v>13807.95</v>
      </c>
      <c r="E67" s="96">
        <f t="shared" ref="E67:E106" si="18">ROUND(F67*$J$1*B67/360,2)</f>
        <v>7628.05</v>
      </c>
      <c r="F67" s="14">
        <f t="shared" ref="F67:F107" si="19">G66</f>
        <v>915365.58000000007</v>
      </c>
      <c r="G67" s="104">
        <f t="shared" ref="G67:G107" si="20">F67-D67</f>
        <v>901557.63000000012</v>
      </c>
    </row>
    <row r="68" spans="1:7" x14ac:dyDescent="0.25">
      <c r="A68" s="94" t="s">
        <v>213</v>
      </c>
      <c r="B68" s="1">
        <f t="shared" si="8"/>
        <v>30</v>
      </c>
      <c r="C68" s="14">
        <f t="shared" si="13"/>
        <v>21436</v>
      </c>
      <c r="D68" s="95">
        <f t="shared" si="17"/>
        <v>13923.02</v>
      </c>
      <c r="E68" s="96">
        <f t="shared" si="18"/>
        <v>7512.98</v>
      </c>
      <c r="F68" s="14">
        <f t="shared" si="19"/>
        <v>901557.63000000012</v>
      </c>
      <c r="G68" s="104">
        <f t="shared" si="20"/>
        <v>887634.6100000001</v>
      </c>
    </row>
    <row r="69" spans="1:7" x14ac:dyDescent="0.25">
      <c r="A69" s="97" t="s">
        <v>214</v>
      </c>
      <c r="B69" s="98">
        <f t="shared" si="8"/>
        <v>30</v>
      </c>
      <c r="C69" s="99">
        <f>$N$1</f>
        <v>20230</v>
      </c>
      <c r="D69" s="100">
        <f t="shared" si="17"/>
        <v>13194.16</v>
      </c>
      <c r="E69" s="96">
        <f>ROUND((G68*$J$1*N2/360)+(F69*$J$1*P2/360),2)</f>
        <v>7035.84</v>
      </c>
      <c r="F69" s="99">
        <f>G68-P1</f>
        <v>837634.6100000001</v>
      </c>
      <c r="G69" s="106">
        <f t="shared" si="20"/>
        <v>824440.45000000007</v>
      </c>
    </row>
    <row r="70" spans="1:7" x14ac:dyDescent="0.25">
      <c r="A70" s="94" t="s">
        <v>215</v>
      </c>
      <c r="B70" s="1">
        <f t="shared" si="8"/>
        <v>30</v>
      </c>
      <c r="C70" s="14">
        <f>$N$1</f>
        <v>20230</v>
      </c>
      <c r="D70" s="95">
        <f t="shared" si="17"/>
        <v>13359.66</v>
      </c>
      <c r="E70" s="96">
        <f t="shared" si="18"/>
        <v>6870.34</v>
      </c>
      <c r="F70" s="14">
        <f t="shared" si="19"/>
        <v>824440.45000000007</v>
      </c>
      <c r="G70" s="104">
        <f t="shared" si="20"/>
        <v>811080.79</v>
      </c>
    </row>
    <row r="71" spans="1:7" x14ac:dyDescent="0.25">
      <c r="A71" s="94" t="s">
        <v>216</v>
      </c>
      <c r="B71" s="1">
        <f t="shared" si="8"/>
        <v>30</v>
      </c>
      <c r="C71" s="14">
        <f t="shared" ref="C71:C81" si="21">$N$1</f>
        <v>20230</v>
      </c>
      <c r="D71" s="95">
        <f t="shared" si="17"/>
        <v>13470.99</v>
      </c>
      <c r="E71" s="96">
        <f t="shared" si="18"/>
        <v>6759.01</v>
      </c>
      <c r="F71" s="14">
        <f t="shared" si="19"/>
        <v>811080.79</v>
      </c>
      <c r="G71" s="104">
        <f t="shared" si="20"/>
        <v>797609.8</v>
      </c>
    </row>
    <row r="72" spans="1:7" x14ac:dyDescent="0.25">
      <c r="A72" s="94" t="s">
        <v>122</v>
      </c>
      <c r="B72" s="1">
        <f t="shared" si="8"/>
        <v>30</v>
      </c>
      <c r="C72" s="14">
        <f t="shared" si="21"/>
        <v>20230</v>
      </c>
      <c r="D72" s="95">
        <f t="shared" si="17"/>
        <v>13583.25</v>
      </c>
      <c r="E72" s="96">
        <f t="shared" si="18"/>
        <v>6646.75</v>
      </c>
      <c r="F72" s="14">
        <f t="shared" si="19"/>
        <v>797609.8</v>
      </c>
      <c r="G72" s="104">
        <f t="shared" si="20"/>
        <v>784026.55</v>
      </c>
    </row>
    <row r="73" spans="1:7" x14ac:dyDescent="0.25">
      <c r="A73" s="94" t="s">
        <v>217</v>
      </c>
      <c r="B73" s="1">
        <f t="shared" si="8"/>
        <v>30</v>
      </c>
      <c r="C73" s="14">
        <f t="shared" si="21"/>
        <v>20230</v>
      </c>
      <c r="D73" s="95">
        <f t="shared" si="17"/>
        <v>13696.45</v>
      </c>
      <c r="E73" s="96">
        <f t="shared" si="18"/>
        <v>6533.55</v>
      </c>
      <c r="F73" s="14">
        <f t="shared" si="19"/>
        <v>784026.55</v>
      </c>
      <c r="G73" s="104">
        <f t="shared" si="20"/>
        <v>770330.10000000009</v>
      </c>
    </row>
    <row r="74" spans="1:7" x14ac:dyDescent="0.25">
      <c r="A74" s="94" t="s">
        <v>218</v>
      </c>
      <c r="B74" s="1">
        <f t="shared" si="8"/>
        <v>30</v>
      </c>
      <c r="C74" s="14">
        <f t="shared" si="21"/>
        <v>20230</v>
      </c>
      <c r="D74" s="95">
        <f t="shared" si="17"/>
        <v>13810.58</v>
      </c>
      <c r="E74" s="96">
        <f t="shared" si="18"/>
        <v>6419.42</v>
      </c>
      <c r="F74" s="14">
        <f t="shared" si="19"/>
        <v>770330.10000000009</v>
      </c>
      <c r="G74" s="104">
        <f t="shared" si="20"/>
        <v>756519.52000000014</v>
      </c>
    </row>
    <row r="75" spans="1:7" x14ac:dyDescent="0.25">
      <c r="A75" s="94" t="s">
        <v>219</v>
      </c>
      <c r="B75" s="1">
        <f t="shared" si="8"/>
        <v>30</v>
      </c>
      <c r="C75" s="14">
        <f t="shared" si="21"/>
        <v>20230</v>
      </c>
      <c r="D75" s="95">
        <f t="shared" si="17"/>
        <v>13925.67</v>
      </c>
      <c r="E75" s="96">
        <f t="shared" si="18"/>
        <v>6304.33</v>
      </c>
      <c r="F75" s="14">
        <f t="shared" si="19"/>
        <v>756519.52000000014</v>
      </c>
      <c r="G75" s="104">
        <f t="shared" si="20"/>
        <v>742593.85000000009</v>
      </c>
    </row>
    <row r="76" spans="1:7" x14ac:dyDescent="0.25">
      <c r="A76" s="94" t="s">
        <v>80</v>
      </c>
      <c r="B76" s="1">
        <f t="shared" si="8"/>
        <v>30</v>
      </c>
      <c r="C76" s="14">
        <f t="shared" si="21"/>
        <v>20230</v>
      </c>
      <c r="D76" s="95">
        <f t="shared" si="17"/>
        <v>14041.720000000001</v>
      </c>
      <c r="E76" s="96">
        <f t="shared" si="18"/>
        <v>6188.28</v>
      </c>
      <c r="F76" s="14">
        <f t="shared" si="19"/>
        <v>742593.85000000009</v>
      </c>
      <c r="G76" s="104">
        <f t="shared" si="20"/>
        <v>728552.13000000012</v>
      </c>
    </row>
    <row r="77" spans="1:7" x14ac:dyDescent="0.25">
      <c r="A77" s="94" t="s">
        <v>220</v>
      </c>
      <c r="B77" s="1">
        <f t="shared" si="8"/>
        <v>30</v>
      </c>
      <c r="C77" s="14">
        <f t="shared" si="21"/>
        <v>20230</v>
      </c>
      <c r="D77" s="95">
        <f t="shared" si="17"/>
        <v>14158.73</v>
      </c>
      <c r="E77" s="96">
        <f t="shared" si="18"/>
        <v>6071.27</v>
      </c>
      <c r="F77" s="14">
        <f t="shared" si="19"/>
        <v>728552.13000000012</v>
      </c>
      <c r="G77" s="104">
        <f t="shared" si="20"/>
        <v>714393.40000000014</v>
      </c>
    </row>
    <row r="78" spans="1:7" x14ac:dyDescent="0.25">
      <c r="A78" s="94" t="s">
        <v>221</v>
      </c>
      <c r="B78" s="1">
        <f t="shared" si="8"/>
        <v>30</v>
      </c>
      <c r="C78" s="14">
        <f t="shared" si="21"/>
        <v>20230</v>
      </c>
      <c r="D78" s="95">
        <f t="shared" si="17"/>
        <v>14276.720000000001</v>
      </c>
      <c r="E78" s="96">
        <f t="shared" si="18"/>
        <v>5953.28</v>
      </c>
      <c r="F78" s="14">
        <f t="shared" si="19"/>
        <v>714393.40000000014</v>
      </c>
      <c r="G78" s="104">
        <f t="shared" si="20"/>
        <v>700116.68000000017</v>
      </c>
    </row>
    <row r="79" spans="1:7" x14ac:dyDescent="0.25">
      <c r="A79" s="94" t="s">
        <v>222</v>
      </c>
      <c r="B79" s="1">
        <f t="shared" si="8"/>
        <v>30</v>
      </c>
      <c r="C79" s="14">
        <f t="shared" si="21"/>
        <v>20230</v>
      </c>
      <c r="D79" s="95">
        <f t="shared" si="17"/>
        <v>14395.689999999999</v>
      </c>
      <c r="E79" s="96">
        <f t="shared" si="18"/>
        <v>5834.31</v>
      </c>
      <c r="F79" s="14">
        <f t="shared" si="19"/>
        <v>700116.68000000017</v>
      </c>
      <c r="G79" s="104">
        <f t="shared" si="20"/>
        <v>685720.99000000022</v>
      </c>
    </row>
    <row r="80" spans="1:7" x14ac:dyDescent="0.25">
      <c r="A80" s="94" t="s">
        <v>223</v>
      </c>
      <c r="B80" s="1">
        <f t="shared" si="8"/>
        <v>30</v>
      </c>
      <c r="C80" s="14">
        <f t="shared" si="21"/>
        <v>20230</v>
      </c>
      <c r="D80" s="95">
        <f t="shared" si="17"/>
        <v>14515.66</v>
      </c>
      <c r="E80" s="96">
        <f t="shared" si="18"/>
        <v>5714.34</v>
      </c>
      <c r="F80" s="14">
        <f t="shared" si="19"/>
        <v>685720.99000000022</v>
      </c>
      <c r="G80" s="104">
        <f t="shared" si="20"/>
        <v>671205.33000000019</v>
      </c>
    </row>
    <row r="81" spans="1:7" x14ac:dyDescent="0.25">
      <c r="A81" s="94" t="s">
        <v>224</v>
      </c>
      <c r="B81" s="1">
        <f t="shared" si="8"/>
        <v>30</v>
      </c>
      <c r="C81" s="14">
        <f t="shared" si="21"/>
        <v>20230</v>
      </c>
      <c r="D81" s="95">
        <f t="shared" si="17"/>
        <v>14636.619999999999</v>
      </c>
      <c r="E81" s="96">
        <f t="shared" si="18"/>
        <v>5593.38</v>
      </c>
      <c r="F81" s="14">
        <f t="shared" si="19"/>
        <v>671205.33000000019</v>
      </c>
      <c r="G81" s="104">
        <f t="shared" si="20"/>
        <v>656568.7100000002</v>
      </c>
    </row>
    <row r="82" spans="1:7" x14ac:dyDescent="0.25">
      <c r="A82" s="97" t="s">
        <v>225</v>
      </c>
      <c r="B82" s="98">
        <f t="shared" si="8"/>
        <v>30</v>
      </c>
      <c r="C82" s="99">
        <f t="shared" ref="C82:C92" si="22">$F$2</f>
        <v>15000</v>
      </c>
      <c r="D82" s="100">
        <f t="shared" si="17"/>
        <v>9528.59</v>
      </c>
      <c r="E82" s="101">
        <f t="shared" si="18"/>
        <v>5471.41</v>
      </c>
      <c r="F82" s="99">
        <f t="shared" si="19"/>
        <v>656568.7100000002</v>
      </c>
      <c r="G82" s="106">
        <f t="shared" si="20"/>
        <v>647040.12000000023</v>
      </c>
    </row>
    <row r="83" spans="1:7" x14ac:dyDescent="0.25">
      <c r="A83" s="94" t="s">
        <v>226</v>
      </c>
      <c r="B83" s="1">
        <f t="shared" si="8"/>
        <v>30</v>
      </c>
      <c r="C83" s="14">
        <f t="shared" si="22"/>
        <v>15000</v>
      </c>
      <c r="D83" s="95">
        <f t="shared" si="17"/>
        <v>9608</v>
      </c>
      <c r="E83" s="96">
        <f t="shared" si="18"/>
        <v>5392</v>
      </c>
      <c r="F83" s="14">
        <f t="shared" si="19"/>
        <v>647040.12000000023</v>
      </c>
      <c r="G83" s="104">
        <f t="shared" si="20"/>
        <v>637432.12000000023</v>
      </c>
    </row>
    <row r="84" spans="1:7" x14ac:dyDescent="0.25">
      <c r="A84" s="94" t="s">
        <v>138</v>
      </c>
      <c r="B84" s="1">
        <f t="shared" si="8"/>
        <v>30</v>
      </c>
      <c r="C84" s="14">
        <f t="shared" si="22"/>
        <v>15000</v>
      </c>
      <c r="D84" s="95">
        <f t="shared" si="17"/>
        <v>9688.07</v>
      </c>
      <c r="E84" s="96">
        <f t="shared" si="18"/>
        <v>5311.93</v>
      </c>
      <c r="F84" s="14">
        <f t="shared" si="19"/>
        <v>637432.12000000023</v>
      </c>
      <c r="G84" s="104">
        <f t="shared" si="20"/>
        <v>627744.05000000028</v>
      </c>
    </row>
    <row r="85" spans="1:7" x14ac:dyDescent="0.25">
      <c r="A85" s="94" t="s">
        <v>227</v>
      </c>
      <c r="B85" s="1">
        <f t="shared" si="8"/>
        <v>30</v>
      </c>
      <c r="C85" s="14">
        <f t="shared" si="22"/>
        <v>15000</v>
      </c>
      <c r="D85" s="95">
        <f t="shared" si="17"/>
        <v>9768.7999999999993</v>
      </c>
      <c r="E85" s="96">
        <f t="shared" si="18"/>
        <v>5231.2</v>
      </c>
      <c r="F85" s="14">
        <f t="shared" si="19"/>
        <v>627744.05000000028</v>
      </c>
      <c r="G85" s="104">
        <f t="shared" si="20"/>
        <v>617975.25000000023</v>
      </c>
    </row>
    <row r="86" spans="1:7" x14ac:dyDescent="0.25">
      <c r="A86" s="94" t="s">
        <v>228</v>
      </c>
      <c r="B86" s="1">
        <f t="shared" si="8"/>
        <v>30</v>
      </c>
      <c r="C86" s="14">
        <f t="shared" si="22"/>
        <v>15000</v>
      </c>
      <c r="D86" s="95">
        <f t="shared" si="17"/>
        <v>9850.2099999999991</v>
      </c>
      <c r="E86" s="96">
        <f t="shared" si="18"/>
        <v>5149.79</v>
      </c>
      <c r="F86" s="14">
        <f t="shared" si="19"/>
        <v>617975.25000000023</v>
      </c>
      <c r="G86" s="104">
        <f t="shared" si="20"/>
        <v>608125.04000000027</v>
      </c>
    </row>
    <row r="87" spans="1:7" x14ac:dyDescent="0.25">
      <c r="A87" s="94" t="s">
        <v>229</v>
      </c>
      <c r="B87" s="1">
        <f t="shared" si="8"/>
        <v>30</v>
      </c>
      <c r="C87" s="14">
        <f t="shared" si="22"/>
        <v>15000</v>
      </c>
      <c r="D87" s="95">
        <f t="shared" si="17"/>
        <v>9932.2900000000009</v>
      </c>
      <c r="E87" s="96">
        <f t="shared" si="18"/>
        <v>5067.71</v>
      </c>
      <c r="F87" s="14">
        <f t="shared" si="19"/>
        <v>608125.04000000027</v>
      </c>
      <c r="G87" s="104">
        <f t="shared" si="20"/>
        <v>598192.75000000023</v>
      </c>
    </row>
    <row r="88" spans="1:7" x14ac:dyDescent="0.25">
      <c r="A88" s="94" t="s">
        <v>230</v>
      </c>
      <c r="B88" s="1">
        <f t="shared" si="8"/>
        <v>30</v>
      </c>
      <c r="C88" s="14">
        <f t="shared" si="22"/>
        <v>15000</v>
      </c>
      <c r="D88" s="95">
        <f t="shared" si="17"/>
        <v>10015.060000000001</v>
      </c>
      <c r="E88" s="96">
        <f t="shared" si="18"/>
        <v>4984.9399999999996</v>
      </c>
      <c r="F88" s="14">
        <f t="shared" si="19"/>
        <v>598192.75000000023</v>
      </c>
      <c r="G88" s="104">
        <f t="shared" si="20"/>
        <v>588177.69000000018</v>
      </c>
    </row>
    <row r="89" spans="1:7" x14ac:dyDescent="0.25">
      <c r="A89" s="94" t="s">
        <v>231</v>
      </c>
      <c r="B89" s="1">
        <f t="shared" si="8"/>
        <v>30</v>
      </c>
      <c r="C89" s="14">
        <f t="shared" si="22"/>
        <v>15000</v>
      </c>
      <c r="D89" s="95">
        <f t="shared" si="17"/>
        <v>10098.52</v>
      </c>
      <c r="E89" s="96">
        <f t="shared" si="18"/>
        <v>4901.4799999999996</v>
      </c>
      <c r="F89" s="14">
        <f t="shared" si="19"/>
        <v>588177.69000000018</v>
      </c>
      <c r="G89" s="104">
        <f t="shared" si="20"/>
        <v>578079.17000000016</v>
      </c>
    </row>
    <row r="90" spans="1:7" x14ac:dyDescent="0.25">
      <c r="A90" s="94" t="s">
        <v>232</v>
      </c>
      <c r="B90" s="1">
        <f t="shared" si="8"/>
        <v>30</v>
      </c>
      <c r="C90" s="14">
        <f t="shared" si="22"/>
        <v>15000</v>
      </c>
      <c r="D90" s="95">
        <f t="shared" si="17"/>
        <v>10182.67</v>
      </c>
      <c r="E90" s="96">
        <f t="shared" si="18"/>
        <v>4817.33</v>
      </c>
      <c r="F90" s="14">
        <f t="shared" si="19"/>
        <v>578079.17000000016</v>
      </c>
      <c r="G90" s="104">
        <f t="shared" si="20"/>
        <v>567896.50000000012</v>
      </c>
    </row>
    <row r="91" spans="1:7" x14ac:dyDescent="0.25">
      <c r="A91" s="94" t="s">
        <v>233</v>
      </c>
      <c r="B91" s="1">
        <f t="shared" si="8"/>
        <v>30</v>
      </c>
      <c r="C91" s="14">
        <f t="shared" si="22"/>
        <v>15000</v>
      </c>
      <c r="D91" s="95">
        <f t="shared" si="17"/>
        <v>10267.529999999999</v>
      </c>
      <c r="E91" s="96">
        <f t="shared" si="18"/>
        <v>4732.47</v>
      </c>
      <c r="F91" s="14">
        <f t="shared" si="19"/>
        <v>567896.50000000012</v>
      </c>
      <c r="G91" s="104">
        <f t="shared" si="20"/>
        <v>557628.97000000009</v>
      </c>
    </row>
    <row r="92" spans="1:7" x14ac:dyDescent="0.25">
      <c r="A92" s="94" t="s">
        <v>234</v>
      </c>
      <c r="B92" s="1">
        <f t="shared" si="8"/>
        <v>30</v>
      </c>
      <c r="C92" s="14">
        <f t="shared" si="22"/>
        <v>15000</v>
      </c>
      <c r="D92" s="95">
        <f t="shared" si="17"/>
        <v>10353.09</v>
      </c>
      <c r="E92" s="96">
        <f t="shared" si="18"/>
        <v>4646.91</v>
      </c>
      <c r="F92" s="14">
        <f t="shared" si="19"/>
        <v>557628.97000000009</v>
      </c>
      <c r="G92" s="104">
        <f t="shared" si="20"/>
        <v>547275.88000000012</v>
      </c>
    </row>
    <row r="93" spans="1:7" x14ac:dyDescent="0.25">
      <c r="A93" s="97" t="s">
        <v>235</v>
      </c>
      <c r="B93" s="98">
        <f t="shared" si="8"/>
        <v>30</v>
      </c>
      <c r="C93" s="99">
        <f>$J$2</f>
        <v>38965</v>
      </c>
      <c r="D93" s="100">
        <f t="shared" si="17"/>
        <v>34404.370000000003</v>
      </c>
      <c r="E93" s="101">
        <f t="shared" si="18"/>
        <v>4560.63</v>
      </c>
      <c r="F93" s="99">
        <f t="shared" si="19"/>
        <v>547275.88000000012</v>
      </c>
      <c r="G93" s="106">
        <f t="shared" si="20"/>
        <v>512871.51000000013</v>
      </c>
    </row>
    <row r="94" spans="1:7" x14ac:dyDescent="0.25">
      <c r="A94" s="94" t="s">
        <v>236</v>
      </c>
      <c r="B94" s="1">
        <f t="shared" si="8"/>
        <v>30</v>
      </c>
      <c r="C94" s="14">
        <f t="shared" ref="C94:C107" si="23">$J$2</f>
        <v>38965</v>
      </c>
      <c r="D94" s="95">
        <f t="shared" si="17"/>
        <v>34691.07</v>
      </c>
      <c r="E94" s="96">
        <f t="shared" si="18"/>
        <v>4273.93</v>
      </c>
      <c r="F94" s="14">
        <f t="shared" si="19"/>
        <v>512871.51000000013</v>
      </c>
      <c r="G94" s="104">
        <f t="shared" si="20"/>
        <v>478180.44000000012</v>
      </c>
    </row>
    <row r="95" spans="1:7" x14ac:dyDescent="0.25">
      <c r="A95" s="94" t="s">
        <v>237</v>
      </c>
      <c r="B95" s="1">
        <f t="shared" si="8"/>
        <v>30</v>
      </c>
      <c r="C95" s="14">
        <f t="shared" si="23"/>
        <v>38965</v>
      </c>
      <c r="D95" s="95">
        <f t="shared" si="17"/>
        <v>34980.160000000003</v>
      </c>
      <c r="E95" s="96">
        <f t="shared" si="18"/>
        <v>3984.84</v>
      </c>
      <c r="F95" s="14">
        <f t="shared" si="19"/>
        <v>478180.44000000012</v>
      </c>
      <c r="G95" s="104">
        <f t="shared" si="20"/>
        <v>443200.28000000014</v>
      </c>
    </row>
    <row r="96" spans="1:7" x14ac:dyDescent="0.25">
      <c r="A96" s="94" t="s">
        <v>139</v>
      </c>
      <c r="B96" s="1">
        <f t="shared" si="8"/>
        <v>30</v>
      </c>
      <c r="C96" s="14">
        <f t="shared" si="23"/>
        <v>38965</v>
      </c>
      <c r="D96" s="95">
        <f t="shared" si="17"/>
        <v>35271.660000000003</v>
      </c>
      <c r="E96" s="96">
        <f t="shared" si="18"/>
        <v>3693.34</v>
      </c>
      <c r="F96" s="14">
        <f t="shared" si="19"/>
        <v>443200.28000000014</v>
      </c>
      <c r="G96" s="104">
        <f t="shared" si="20"/>
        <v>407928.62000000011</v>
      </c>
    </row>
    <row r="97" spans="1:7" x14ac:dyDescent="0.25">
      <c r="A97" s="94" t="s">
        <v>239</v>
      </c>
      <c r="B97" s="1">
        <f t="shared" si="8"/>
        <v>30</v>
      </c>
      <c r="C97" s="14">
        <f t="shared" si="23"/>
        <v>38965</v>
      </c>
      <c r="D97" s="95">
        <f t="shared" si="17"/>
        <v>35565.589999999997</v>
      </c>
      <c r="E97" s="96">
        <f t="shared" si="18"/>
        <v>3399.41</v>
      </c>
      <c r="F97" s="14">
        <f t="shared" si="19"/>
        <v>407928.62000000011</v>
      </c>
      <c r="G97" s="104">
        <f t="shared" si="20"/>
        <v>372363.03000000014</v>
      </c>
    </row>
    <row r="98" spans="1:7" x14ac:dyDescent="0.25">
      <c r="A98" s="94" t="s">
        <v>240</v>
      </c>
      <c r="B98" s="1">
        <f t="shared" si="8"/>
        <v>30</v>
      </c>
      <c r="C98" s="14">
        <f t="shared" si="23"/>
        <v>38965</v>
      </c>
      <c r="D98" s="95">
        <f t="shared" si="17"/>
        <v>35861.97</v>
      </c>
      <c r="E98" s="96">
        <f t="shared" si="18"/>
        <v>3103.03</v>
      </c>
      <c r="F98" s="14">
        <f t="shared" si="19"/>
        <v>372363.03000000014</v>
      </c>
      <c r="G98" s="104">
        <f t="shared" si="20"/>
        <v>336501.06000000017</v>
      </c>
    </row>
    <row r="99" spans="1:7" x14ac:dyDescent="0.25">
      <c r="A99" s="94" t="s">
        <v>241</v>
      </c>
      <c r="B99" s="1">
        <f t="shared" si="8"/>
        <v>30</v>
      </c>
      <c r="C99" s="14">
        <f t="shared" si="23"/>
        <v>38965</v>
      </c>
      <c r="D99" s="95">
        <f t="shared" si="17"/>
        <v>36160.82</v>
      </c>
      <c r="E99" s="96">
        <f t="shared" si="18"/>
        <v>2804.18</v>
      </c>
      <c r="F99" s="14">
        <f t="shared" si="19"/>
        <v>336501.06000000017</v>
      </c>
      <c r="G99" s="104">
        <f t="shared" si="20"/>
        <v>300340.24000000017</v>
      </c>
    </row>
    <row r="100" spans="1:7" x14ac:dyDescent="0.25">
      <c r="A100" s="94" t="s">
        <v>245</v>
      </c>
      <c r="B100" s="1">
        <f t="shared" si="8"/>
        <v>30</v>
      </c>
      <c r="C100" s="14">
        <f t="shared" si="23"/>
        <v>38965</v>
      </c>
      <c r="D100" s="95">
        <f t="shared" si="17"/>
        <v>36462.160000000003</v>
      </c>
      <c r="E100" s="96">
        <f t="shared" si="18"/>
        <v>2502.84</v>
      </c>
      <c r="F100" s="14">
        <f t="shared" si="19"/>
        <v>300340.24000000017</v>
      </c>
      <c r="G100" s="104">
        <f t="shared" si="20"/>
        <v>263878.08000000019</v>
      </c>
    </row>
    <row r="101" spans="1:7" x14ac:dyDescent="0.25">
      <c r="A101" s="94" t="s">
        <v>246</v>
      </c>
      <c r="B101" s="1">
        <f t="shared" si="8"/>
        <v>30</v>
      </c>
      <c r="C101" s="14">
        <f t="shared" si="23"/>
        <v>38965</v>
      </c>
      <c r="D101" s="95">
        <f t="shared" si="17"/>
        <v>36766.019999999997</v>
      </c>
      <c r="E101" s="96">
        <f t="shared" si="18"/>
        <v>2198.98</v>
      </c>
      <c r="F101" s="14">
        <f t="shared" si="19"/>
        <v>263878.08000000019</v>
      </c>
      <c r="G101" s="104">
        <f t="shared" si="20"/>
        <v>227112.0600000002</v>
      </c>
    </row>
    <row r="102" spans="1:7" x14ac:dyDescent="0.25">
      <c r="A102" s="94" t="s">
        <v>247</v>
      </c>
      <c r="B102" s="1">
        <f t="shared" si="8"/>
        <v>30</v>
      </c>
      <c r="C102" s="14">
        <f t="shared" si="23"/>
        <v>38965</v>
      </c>
      <c r="D102" s="95">
        <f t="shared" si="17"/>
        <v>37072.400000000001</v>
      </c>
      <c r="E102" s="96">
        <f t="shared" si="18"/>
        <v>1892.6</v>
      </c>
      <c r="F102" s="14">
        <f t="shared" si="19"/>
        <v>227112.0600000002</v>
      </c>
      <c r="G102" s="104">
        <f t="shared" si="20"/>
        <v>190039.66000000021</v>
      </c>
    </row>
    <row r="103" spans="1:7" x14ac:dyDescent="0.25">
      <c r="A103" s="94" t="s">
        <v>248</v>
      </c>
      <c r="B103" s="1">
        <f t="shared" si="8"/>
        <v>30</v>
      </c>
      <c r="C103" s="14">
        <f t="shared" si="23"/>
        <v>38965</v>
      </c>
      <c r="D103" s="95">
        <f t="shared" si="17"/>
        <v>37381.339999999997</v>
      </c>
      <c r="E103" s="96">
        <f t="shared" si="18"/>
        <v>1583.66</v>
      </c>
      <c r="F103" s="14">
        <f t="shared" si="19"/>
        <v>190039.66000000021</v>
      </c>
      <c r="G103" s="104">
        <f t="shared" si="20"/>
        <v>152658.32000000021</v>
      </c>
    </row>
    <row r="104" spans="1:7" x14ac:dyDescent="0.25">
      <c r="A104" s="94" t="s">
        <v>242</v>
      </c>
      <c r="B104" s="1">
        <f t="shared" ref="B104:B107" si="24">DAYS360(A103,A104,TRUE)</f>
        <v>30</v>
      </c>
      <c r="C104" s="14">
        <f t="shared" si="23"/>
        <v>38965</v>
      </c>
      <c r="D104" s="95">
        <f t="shared" si="17"/>
        <v>37692.85</v>
      </c>
      <c r="E104" s="96">
        <f t="shared" si="18"/>
        <v>1272.1500000000001</v>
      </c>
      <c r="F104" s="14">
        <f t="shared" si="19"/>
        <v>152658.32000000021</v>
      </c>
      <c r="G104" s="104">
        <f t="shared" si="20"/>
        <v>114965.4700000002</v>
      </c>
    </row>
    <row r="105" spans="1:7" x14ac:dyDescent="0.25">
      <c r="A105" s="94" t="s">
        <v>243</v>
      </c>
      <c r="B105" s="1">
        <f t="shared" si="24"/>
        <v>30</v>
      </c>
      <c r="C105" s="14">
        <f t="shared" si="23"/>
        <v>38965</v>
      </c>
      <c r="D105" s="95">
        <f t="shared" si="17"/>
        <v>38006.949999999997</v>
      </c>
      <c r="E105" s="96">
        <f t="shared" si="18"/>
        <v>958.05</v>
      </c>
      <c r="F105" s="14">
        <f t="shared" si="19"/>
        <v>114965.4700000002</v>
      </c>
      <c r="G105" s="104">
        <f t="shared" si="20"/>
        <v>76958.520000000208</v>
      </c>
    </row>
    <row r="106" spans="1:7" x14ac:dyDescent="0.25">
      <c r="A106" s="94" t="s">
        <v>238</v>
      </c>
      <c r="B106" s="1">
        <f t="shared" si="24"/>
        <v>30</v>
      </c>
      <c r="C106" s="14">
        <f t="shared" si="23"/>
        <v>38965</v>
      </c>
      <c r="D106" s="95">
        <f t="shared" si="17"/>
        <v>38323.68</v>
      </c>
      <c r="E106" s="96">
        <f t="shared" si="18"/>
        <v>641.32000000000005</v>
      </c>
      <c r="F106" s="14">
        <f t="shared" si="19"/>
        <v>76958.520000000208</v>
      </c>
      <c r="G106" s="104">
        <f t="shared" si="20"/>
        <v>38634.840000000208</v>
      </c>
    </row>
    <row r="107" spans="1:7" x14ac:dyDescent="0.25">
      <c r="A107" s="94" t="s">
        <v>244</v>
      </c>
      <c r="B107" s="1">
        <f t="shared" si="24"/>
        <v>30</v>
      </c>
      <c r="C107" s="14">
        <f t="shared" si="23"/>
        <v>38965</v>
      </c>
      <c r="D107" s="95">
        <f t="shared" si="17"/>
        <v>38634.839999999997</v>
      </c>
      <c r="E107" s="96">
        <v>330.16</v>
      </c>
      <c r="F107" s="14">
        <f t="shared" si="19"/>
        <v>38634.840000000208</v>
      </c>
      <c r="G107" s="104">
        <f t="shared" si="20"/>
        <v>2.1100277081131935E-10</v>
      </c>
    </row>
  </sheetData>
  <pageMargins left="0.7" right="0.7" top="0.75" bottom="0.75" header="0.3" footer="0.3"/>
  <pageSetup orientation="portrait" r:id="rId1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CFF3-0FAA-4C5A-87BC-65D19910C11E}">
  <dimension ref="A1:AA3"/>
  <sheetViews>
    <sheetView workbookViewId="0">
      <selection activeCell="B2" sqref="B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26" width="19.85546875" customWidth="1"/>
    <col min="27" max="27" width="86.8554687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2" t="s">
        <v>0</v>
      </c>
      <c r="B2" s="7" t="s">
        <v>9</v>
      </c>
      <c r="C2" s="7" t="s">
        <v>76</v>
      </c>
      <c r="D2" s="8" t="s">
        <v>199</v>
      </c>
      <c r="E2" s="8" t="s">
        <v>71</v>
      </c>
      <c r="F2" s="8" t="s">
        <v>264</v>
      </c>
      <c r="G2" s="8" t="s">
        <v>199</v>
      </c>
      <c r="H2" s="8" t="s">
        <v>13</v>
      </c>
      <c r="I2" s="8" t="s">
        <v>29</v>
      </c>
      <c r="J2" s="8" t="s">
        <v>9</v>
      </c>
      <c r="K2" s="8" t="s">
        <v>25</v>
      </c>
      <c r="L2" s="8" t="s">
        <v>26</v>
      </c>
      <c r="M2" s="8" t="s">
        <v>27</v>
      </c>
      <c r="N2" s="20" t="s">
        <v>29</v>
      </c>
      <c r="O2" s="20" t="s">
        <v>265</v>
      </c>
      <c r="P2" s="20" t="s">
        <v>21</v>
      </c>
      <c r="Q2" s="20" t="s">
        <v>79</v>
      </c>
      <c r="R2" s="20" t="s">
        <v>267</v>
      </c>
      <c r="S2" s="20" t="s">
        <v>45</v>
      </c>
      <c r="T2" s="20" t="s">
        <v>142</v>
      </c>
      <c r="U2" s="20" t="s">
        <v>266</v>
      </c>
      <c r="V2" s="20" t="s">
        <v>141</v>
      </c>
      <c r="W2" s="20" t="s">
        <v>180</v>
      </c>
      <c r="X2" s="20" t="s">
        <v>270</v>
      </c>
      <c r="Y2" s="20" t="s">
        <v>104</v>
      </c>
      <c r="Z2" s="20" t="s">
        <v>181</v>
      </c>
      <c r="AA2" s="8" t="s">
        <v>268</v>
      </c>
    </row>
    <row r="3" spans="1:27" x14ac:dyDescent="0.25">
      <c r="A3" s="12" t="s">
        <v>0</v>
      </c>
      <c r="B3" s="7" t="s">
        <v>9</v>
      </c>
      <c r="C3" s="7" t="s">
        <v>76</v>
      </c>
      <c r="D3" s="8" t="s">
        <v>199</v>
      </c>
      <c r="E3" s="8" t="s">
        <v>71</v>
      </c>
      <c r="F3" s="8" t="s">
        <v>264</v>
      </c>
      <c r="G3" s="8" t="s">
        <v>199</v>
      </c>
      <c r="H3" s="8" t="s">
        <v>13</v>
      </c>
      <c r="I3" s="8" t="s">
        <v>29</v>
      </c>
      <c r="J3" s="8" t="s">
        <v>9</v>
      </c>
      <c r="K3" s="8" t="s">
        <v>31</v>
      </c>
      <c r="L3" s="8" t="s">
        <v>26</v>
      </c>
      <c r="M3" s="8" t="s">
        <v>27</v>
      </c>
      <c r="N3" s="20" t="s">
        <v>29</v>
      </c>
      <c r="O3" s="20" t="s">
        <v>265</v>
      </c>
      <c r="P3" s="20" t="s">
        <v>21</v>
      </c>
      <c r="Q3" s="20" t="s">
        <v>79</v>
      </c>
      <c r="R3" s="20" t="s">
        <v>267</v>
      </c>
      <c r="S3" s="20" t="s">
        <v>45</v>
      </c>
      <c r="T3" s="20" t="s">
        <v>142</v>
      </c>
      <c r="U3" s="20" t="s">
        <v>266</v>
      </c>
      <c r="V3" s="20" t="s">
        <v>141</v>
      </c>
      <c r="W3" s="20" t="s">
        <v>180</v>
      </c>
      <c r="X3" s="20" t="s">
        <v>270</v>
      </c>
      <c r="Y3" s="20" t="s">
        <v>104</v>
      </c>
      <c r="Z3" s="20" t="s">
        <v>181</v>
      </c>
      <c r="AA3" s="8" t="s">
        <v>269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CA542B-C784-47FA-8EEE-46E65FEC4359}">
  <dimension ref="A1:P82"/>
  <sheetViews>
    <sheetView workbookViewId="0">
      <pane ySplit="3" topLeftCell="A5" activePane="bottomLeft" state="frozen"/>
      <selection activeCell="N2" sqref="N2"/>
      <selection pane="bottomLeft" activeCell="C2" sqref="C2:L2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23" bestFit="1" customWidth="1"/>
    <col min="4" max="4" width="10.28515625" bestFit="1" customWidth="1"/>
    <col min="5" max="5" width="16.5703125" bestFit="1" customWidth="1"/>
    <col min="6" max="6" width="15.28515625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8.5703125" bestFit="1" customWidth="1"/>
    <col min="11" max="11" width="16.5703125" bestFit="1" customWidth="1"/>
    <col min="12" max="12" width="10.42578125" bestFit="1" customWidth="1"/>
    <col min="13" max="13" width="15.7109375" bestFit="1" customWidth="1"/>
    <col min="14" max="14" width="6" bestFit="1" customWidth="1"/>
    <col min="15" max="15" width="14.5703125" bestFit="1" customWidth="1"/>
    <col min="16" max="16" width="6" bestFit="1" customWidth="1"/>
  </cols>
  <sheetData>
    <row r="1" spans="1:16" x14ac:dyDescent="0.25">
      <c r="A1" s="17" t="s">
        <v>33</v>
      </c>
      <c r="B1" s="22">
        <v>43524</v>
      </c>
      <c r="C1" s="15" t="s">
        <v>37</v>
      </c>
      <c r="D1" s="37">
        <f>ROUNDUP(34654.2271579695,0)</f>
        <v>34655</v>
      </c>
      <c r="E1" s="73" t="s">
        <v>147</v>
      </c>
      <c r="F1" s="74">
        <v>43705</v>
      </c>
      <c r="G1" s="73" t="s">
        <v>150</v>
      </c>
      <c r="H1" s="79">
        <f>ROUNDUP(36772.7463333333,0)</f>
        <v>36773</v>
      </c>
      <c r="I1" s="73" t="s">
        <v>175</v>
      </c>
      <c r="J1" s="87">
        <v>0.2</v>
      </c>
      <c r="K1" s="73" t="s">
        <v>148</v>
      </c>
      <c r="L1" s="74">
        <v>43889</v>
      </c>
      <c r="M1" s="73" t="s">
        <v>149</v>
      </c>
      <c r="N1" s="69">
        <f>ROUNDUP(34228.4420833333,0)</f>
        <v>34229</v>
      </c>
      <c r="O1" s="73" t="s">
        <v>176</v>
      </c>
      <c r="P1" s="88">
        <v>50000</v>
      </c>
    </row>
    <row r="2" spans="1:16" x14ac:dyDescent="0.25">
      <c r="A2" s="17" t="s">
        <v>34</v>
      </c>
      <c r="B2" s="18">
        <v>0.15</v>
      </c>
      <c r="C2" s="73" t="s">
        <v>125</v>
      </c>
      <c r="D2" s="74">
        <v>44163</v>
      </c>
      <c r="E2" s="73" t="s">
        <v>177</v>
      </c>
      <c r="F2" s="69">
        <v>15000</v>
      </c>
      <c r="G2" s="73" t="s">
        <v>173</v>
      </c>
      <c r="H2" s="74">
        <v>44709</v>
      </c>
      <c r="I2" s="73" t="s">
        <v>174</v>
      </c>
      <c r="J2" s="89">
        <f>ROUNDUP(35613.6688888889,0)</f>
        <v>35614</v>
      </c>
      <c r="K2" s="73" t="s">
        <v>178</v>
      </c>
      <c r="L2" s="88">
        <v>48</v>
      </c>
    </row>
    <row r="3" spans="1:16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6" x14ac:dyDescent="0.25">
      <c r="A4" s="36">
        <v>43552</v>
      </c>
      <c r="B4" s="1">
        <f>_xlfn.DAYS(A4,B1)</f>
        <v>28</v>
      </c>
      <c r="C4" s="14">
        <f t="shared" ref="C4:C40" si="0">$D$1</f>
        <v>34655</v>
      </c>
      <c r="D4" s="95">
        <f t="shared" ref="D4:D41" si="1">C4-E4</f>
        <v>23148.15</v>
      </c>
      <c r="E4" s="96">
        <f>ROUND(F4*$B$2*B4/365,2)</f>
        <v>11506.85</v>
      </c>
      <c r="F4" s="14">
        <v>1000000</v>
      </c>
      <c r="G4" s="14">
        <f t="shared" ref="G4:G41" si="2">F4-D4</f>
        <v>976851.85</v>
      </c>
      <c r="H4" s="14">
        <f t="shared" ref="H4:H39" si="3">F4*$B$2*B4/365</f>
        <v>11506.849315068494</v>
      </c>
      <c r="I4" s="16">
        <f t="shared" ref="I4:I39" si="4">H4-E4</f>
        <v>-6.84931506839348E-4</v>
      </c>
    </row>
    <row r="5" spans="1:16" x14ac:dyDescent="0.25">
      <c r="A5" s="36">
        <v>43583</v>
      </c>
      <c r="B5" s="1">
        <f t="shared" ref="B5:B68" si="5">_xlfn.DAYS(A5,A4)</f>
        <v>31</v>
      </c>
      <c r="C5" s="14">
        <f t="shared" si="0"/>
        <v>34655</v>
      </c>
      <c r="D5" s="95">
        <f t="shared" si="1"/>
        <v>22210.18</v>
      </c>
      <c r="E5" s="96">
        <f t="shared" ref="E5:E38" si="6">ROUND(F5*$B$2*B5/365,2)</f>
        <v>12444.82</v>
      </c>
      <c r="F5" s="14">
        <f t="shared" ref="F5:F41" si="7">G4</f>
        <v>976851.85</v>
      </c>
      <c r="G5" s="14">
        <f t="shared" si="2"/>
        <v>954641.66999999993</v>
      </c>
      <c r="H5" s="14">
        <f t="shared" si="3"/>
        <v>12444.824938356165</v>
      </c>
      <c r="I5" s="16">
        <f t="shared" si="4"/>
        <v>4.9383561654394725E-3</v>
      </c>
    </row>
    <row r="6" spans="1:16" x14ac:dyDescent="0.25">
      <c r="A6" s="36">
        <v>43613</v>
      </c>
      <c r="B6" s="1">
        <f t="shared" si="5"/>
        <v>30</v>
      </c>
      <c r="C6" s="14">
        <f t="shared" si="0"/>
        <v>34655</v>
      </c>
      <c r="D6" s="95">
        <f t="shared" si="1"/>
        <v>22885.45</v>
      </c>
      <c r="E6" s="96">
        <f t="shared" si="6"/>
        <v>11769.55</v>
      </c>
      <c r="F6" s="14">
        <f t="shared" si="7"/>
        <v>954641.66999999993</v>
      </c>
      <c r="G6" s="14">
        <f t="shared" si="2"/>
        <v>931756.22</v>
      </c>
      <c r="H6" s="14">
        <f t="shared" si="3"/>
        <v>11769.554835616438</v>
      </c>
      <c r="I6" s="16">
        <f t="shared" si="4"/>
        <v>4.8356164388678735E-3</v>
      </c>
    </row>
    <row r="7" spans="1:16" x14ac:dyDescent="0.25">
      <c r="A7" s="36">
        <v>43644</v>
      </c>
      <c r="B7" s="1">
        <f t="shared" si="5"/>
        <v>31</v>
      </c>
      <c r="C7" s="14">
        <f t="shared" si="0"/>
        <v>34655</v>
      </c>
      <c r="D7" s="95">
        <f t="shared" si="1"/>
        <v>22784.68</v>
      </c>
      <c r="E7" s="96">
        <f t="shared" si="6"/>
        <v>11870.32</v>
      </c>
      <c r="F7" s="14">
        <f t="shared" si="7"/>
        <v>931756.22</v>
      </c>
      <c r="G7" s="14">
        <f t="shared" si="2"/>
        <v>908971.53999999992</v>
      </c>
      <c r="H7" s="14">
        <f t="shared" si="3"/>
        <v>11870.318967123287</v>
      </c>
      <c r="I7" s="16">
        <f t="shared" si="4"/>
        <v>-1.0328767129976768E-3</v>
      </c>
    </row>
    <row r="8" spans="1:16" x14ac:dyDescent="0.25">
      <c r="A8" s="36">
        <v>43674</v>
      </c>
      <c r="B8" s="1">
        <f t="shared" si="5"/>
        <v>30</v>
      </c>
      <c r="C8" s="14">
        <f t="shared" si="0"/>
        <v>34655</v>
      </c>
      <c r="D8" s="95">
        <f t="shared" si="1"/>
        <v>23448.5</v>
      </c>
      <c r="E8" s="96">
        <f t="shared" si="6"/>
        <v>11206.5</v>
      </c>
      <c r="F8" s="14">
        <f t="shared" si="7"/>
        <v>908971.53999999992</v>
      </c>
      <c r="G8" s="14">
        <f t="shared" si="2"/>
        <v>885523.03999999992</v>
      </c>
      <c r="H8" s="14">
        <f t="shared" si="3"/>
        <v>11206.498438356162</v>
      </c>
      <c r="I8" s="16">
        <f t="shared" si="4"/>
        <v>-1.5616438377037412E-3</v>
      </c>
    </row>
    <row r="9" spans="1:16" x14ac:dyDescent="0.25">
      <c r="A9" s="36">
        <v>43705</v>
      </c>
      <c r="B9" s="1">
        <f t="shared" si="5"/>
        <v>31</v>
      </c>
      <c r="C9" s="14">
        <f t="shared" si="0"/>
        <v>34655</v>
      </c>
      <c r="D9" s="95">
        <f t="shared" si="1"/>
        <v>23373.68</v>
      </c>
      <c r="E9" s="96">
        <f t="shared" si="6"/>
        <v>11281.32</v>
      </c>
      <c r="F9" s="14">
        <f t="shared" si="7"/>
        <v>885523.03999999992</v>
      </c>
      <c r="G9" s="14">
        <f t="shared" si="2"/>
        <v>862149.35999999987</v>
      </c>
      <c r="H9" s="14">
        <f t="shared" si="3"/>
        <v>11281.320920547943</v>
      </c>
      <c r="I9" s="16">
        <f t="shared" si="4"/>
        <v>9.2054794367868453E-4</v>
      </c>
    </row>
    <row r="10" spans="1:16" x14ac:dyDescent="0.25">
      <c r="A10" s="36">
        <v>43736</v>
      </c>
      <c r="B10" s="1">
        <f t="shared" si="5"/>
        <v>31</v>
      </c>
      <c r="C10" s="14">
        <f t="shared" si="0"/>
        <v>34655</v>
      </c>
      <c r="D10" s="95">
        <f t="shared" si="1"/>
        <v>23671.45</v>
      </c>
      <c r="E10" s="96">
        <f t="shared" si="6"/>
        <v>10983.55</v>
      </c>
      <c r="F10" s="14">
        <f t="shared" si="7"/>
        <v>862149.35999999987</v>
      </c>
      <c r="G10" s="14">
        <f t="shared" si="2"/>
        <v>838477.90999999992</v>
      </c>
      <c r="H10" s="14">
        <f t="shared" si="3"/>
        <v>10983.546641095889</v>
      </c>
      <c r="I10" s="16">
        <f t="shared" si="4"/>
        <v>-3.3589041104278294E-3</v>
      </c>
    </row>
    <row r="11" spans="1:16" x14ac:dyDescent="0.25">
      <c r="A11" s="36">
        <v>43766</v>
      </c>
      <c r="B11" s="1">
        <f t="shared" si="5"/>
        <v>30</v>
      </c>
      <c r="C11" s="14">
        <f t="shared" si="0"/>
        <v>34655</v>
      </c>
      <c r="D11" s="95">
        <f t="shared" si="1"/>
        <v>24317.599999999999</v>
      </c>
      <c r="E11" s="96">
        <f t="shared" si="6"/>
        <v>10337.4</v>
      </c>
      <c r="F11" s="14">
        <f t="shared" si="7"/>
        <v>838477.90999999992</v>
      </c>
      <c r="G11" s="14">
        <f t="shared" si="2"/>
        <v>814160.30999999994</v>
      </c>
      <c r="H11" s="14">
        <f t="shared" si="3"/>
        <v>10337.398890410957</v>
      </c>
      <c r="I11" s="16">
        <f t="shared" si="4"/>
        <v>-1.109589042243897E-3</v>
      </c>
    </row>
    <row r="12" spans="1:16" x14ac:dyDescent="0.25">
      <c r="A12" s="36">
        <v>43797</v>
      </c>
      <c r="B12" s="1">
        <f t="shared" si="5"/>
        <v>31</v>
      </c>
      <c r="C12" s="14">
        <f t="shared" si="0"/>
        <v>34655</v>
      </c>
      <c r="D12" s="95">
        <f t="shared" si="1"/>
        <v>24282.82</v>
      </c>
      <c r="E12" s="96">
        <f t="shared" si="6"/>
        <v>10372.18</v>
      </c>
      <c r="F12" s="14">
        <f t="shared" si="7"/>
        <v>814160.30999999994</v>
      </c>
      <c r="G12" s="14">
        <f t="shared" si="2"/>
        <v>789877.49</v>
      </c>
      <c r="H12" s="14">
        <f t="shared" si="3"/>
        <v>10372.17929178082</v>
      </c>
      <c r="I12" s="16">
        <f t="shared" si="4"/>
        <v>-7.0821918052388355E-4</v>
      </c>
    </row>
    <row r="13" spans="1:16" x14ac:dyDescent="0.25">
      <c r="A13" s="36">
        <v>43827</v>
      </c>
      <c r="B13" s="1">
        <f t="shared" si="5"/>
        <v>30</v>
      </c>
      <c r="C13" s="14">
        <f t="shared" si="0"/>
        <v>34655</v>
      </c>
      <c r="D13" s="95">
        <f t="shared" si="1"/>
        <v>24916.78</v>
      </c>
      <c r="E13" s="96">
        <f t="shared" si="6"/>
        <v>9738.2199999999993</v>
      </c>
      <c r="F13" s="14">
        <f t="shared" si="7"/>
        <v>789877.49</v>
      </c>
      <c r="G13" s="14">
        <f t="shared" si="2"/>
        <v>764960.71</v>
      </c>
      <c r="H13" s="14">
        <f t="shared" si="3"/>
        <v>9738.2156301369851</v>
      </c>
      <c r="I13" s="16">
        <f t="shared" si="4"/>
        <v>-4.3698630142898764E-3</v>
      </c>
    </row>
    <row r="14" spans="1:16" x14ac:dyDescent="0.25">
      <c r="A14" s="36">
        <v>43858</v>
      </c>
      <c r="B14" s="1">
        <f t="shared" si="5"/>
        <v>31</v>
      </c>
      <c r="C14" s="14">
        <f t="shared" si="0"/>
        <v>34655</v>
      </c>
      <c r="D14" s="95">
        <f t="shared" si="1"/>
        <v>24909.61</v>
      </c>
      <c r="E14" s="96">
        <f t="shared" si="6"/>
        <v>9745.39</v>
      </c>
      <c r="F14" s="14">
        <f t="shared" si="7"/>
        <v>764960.71</v>
      </c>
      <c r="G14" s="14">
        <f t="shared" si="2"/>
        <v>740051.1</v>
      </c>
      <c r="H14" s="14">
        <f t="shared" si="3"/>
        <v>9745.3898671232873</v>
      </c>
      <c r="I14" s="16">
        <f t="shared" si="4"/>
        <v>-1.3287671208672691E-4</v>
      </c>
    </row>
    <row r="15" spans="1:16" x14ac:dyDescent="0.25">
      <c r="A15" s="36">
        <v>43889</v>
      </c>
      <c r="B15" s="1">
        <f t="shared" si="5"/>
        <v>31</v>
      </c>
      <c r="C15" s="14">
        <f t="shared" si="0"/>
        <v>34655</v>
      </c>
      <c r="D15" s="95">
        <f t="shared" si="1"/>
        <v>25226.95</v>
      </c>
      <c r="E15" s="96">
        <f t="shared" si="6"/>
        <v>9428.0499999999993</v>
      </c>
      <c r="F15" s="14">
        <f t="shared" si="7"/>
        <v>740051.1</v>
      </c>
      <c r="G15" s="14">
        <f t="shared" si="2"/>
        <v>714824.15</v>
      </c>
      <c r="H15" s="14">
        <f t="shared" si="3"/>
        <v>9428.0482602739721</v>
      </c>
      <c r="I15" s="16">
        <f t="shared" si="4"/>
        <v>-1.7397260271536652E-3</v>
      </c>
    </row>
    <row r="16" spans="1:16" x14ac:dyDescent="0.25">
      <c r="A16" s="36">
        <v>43918</v>
      </c>
      <c r="B16" s="1">
        <f t="shared" si="5"/>
        <v>29</v>
      </c>
      <c r="C16" s="14">
        <f t="shared" si="0"/>
        <v>34655</v>
      </c>
      <c r="D16" s="95">
        <f t="shared" si="1"/>
        <v>26135.86</v>
      </c>
      <c r="E16" s="96">
        <f t="shared" si="6"/>
        <v>8519.14</v>
      </c>
      <c r="F16" s="14">
        <f t="shared" si="7"/>
        <v>714824.15</v>
      </c>
      <c r="G16" s="14">
        <f t="shared" si="2"/>
        <v>688688.29</v>
      </c>
      <c r="H16" s="14">
        <f t="shared" si="3"/>
        <v>8519.1371301369854</v>
      </c>
      <c r="I16" s="16">
        <f t="shared" si="4"/>
        <v>-2.8698630139842862E-3</v>
      </c>
    </row>
    <row r="17" spans="1:9" x14ac:dyDescent="0.25">
      <c r="A17" s="36">
        <v>43949</v>
      </c>
      <c r="B17" s="1">
        <f t="shared" si="5"/>
        <v>31</v>
      </c>
      <c r="C17" s="14">
        <f t="shared" si="0"/>
        <v>34655</v>
      </c>
      <c r="D17" s="95">
        <f t="shared" si="1"/>
        <v>25881.3</v>
      </c>
      <c r="E17" s="96">
        <f t="shared" si="6"/>
        <v>8773.7000000000007</v>
      </c>
      <c r="F17" s="14">
        <f t="shared" si="7"/>
        <v>688688.29</v>
      </c>
      <c r="G17" s="14">
        <f t="shared" si="2"/>
        <v>662806.99</v>
      </c>
      <c r="H17" s="14">
        <f t="shared" si="3"/>
        <v>8773.7001328767128</v>
      </c>
      <c r="I17" s="16">
        <f t="shared" si="4"/>
        <v>1.3287671208672691E-4</v>
      </c>
    </row>
    <row r="18" spans="1:9" x14ac:dyDescent="0.25">
      <c r="A18" s="36">
        <v>43979</v>
      </c>
      <c r="B18" s="1">
        <f t="shared" si="5"/>
        <v>30</v>
      </c>
      <c r="C18" s="14">
        <f t="shared" si="0"/>
        <v>34655</v>
      </c>
      <c r="D18" s="95">
        <f t="shared" si="1"/>
        <v>26483.41</v>
      </c>
      <c r="E18" s="96">
        <f t="shared" si="6"/>
        <v>8171.59</v>
      </c>
      <c r="F18" s="14">
        <f t="shared" si="7"/>
        <v>662806.99</v>
      </c>
      <c r="G18" s="14">
        <f t="shared" si="2"/>
        <v>636323.57999999996</v>
      </c>
      <c r="H18" s="14">
        <f t="shared" si="3"/>
        <v>8171.593027397259</v>
      </c>
      <c r="I18" s="16">
        <f t="shared" si="4"/>
        <v>3.0273972588474862E-3</v>
      </c>
    </row>
    <row r="19" spans="1:9" x14ac:dyDescent="0.25">
      <c r="A19" s="36">
        <v>44010</v>
      </c>
      <c r="B19" s="1">
        <f t="shared" si="5"/>
        <v>31</v>
      </c>
      <c r="C19" s="14">
        <f t="shared" si="0"/>
        <v>34655</v>
      </c>
      <c r="D19" s="95">
        <f t="shared" si="1"/>
        <v>26548.41</v>
      </c>
      <c r="E19" s="96">
        <f t="shared" si="6"/>
        <v>8106.59</v>
      </c>
      <c r="F19" s="14">
        <f t="shared" si="7"/>
        <v>636323.57999999996</v>
      </c>
      <c r="G19" s="14">
        <f t="shared" si="2"/>
        <v>609775.16999999993</v>
      </c>
      <c r="H19" s="14">
        <f t="shared" si="3"/>
        <v>8106.5880739726026</v>
      </c>
      <c r="I19" s="16">
        <f t="shared" si="4"/>
        <v>-1.9260273975305608E-3</v>
      </c>
    </row>
    <row r="20" spans="1:9" x14ac:dyDescent="0.25">
      <c r="A20" s="36">
        <v>44040</v>
      </c>
      <c r="B20" s="1">
        <f t="shared" si="5"/>
        <v>30</v>
      </c>
      <c r="C20" s="14">
        <f t="shared" si="0"/>
        <v>34655</v>
      </c>
      <c r="D20" s="95">
        <f t="shared" si="1"/>
        <v>27137.22</v>
      </c>
      <c r="E20" s="96">
        <f t="shared" si="6"/>
        <v>7517.78</v>
      </c>
      <c r="F20" s="14">
        <f t="shared" si="7"/>
        <v>609775.16999999993</v>
      </c>
      <c r="G20" s="14">
        <f t="shared" si="2"/>
        <v>582637.94999999995</v>
      </c>
      <c r="H20" s="14">
        <f t="shared" si="3"/>
        <v>7517.77606849315</v>
      </c>
      <c r="I20" s="16">
        <f t="shared" si="4"/>
        <v>-3.9315068497671746E-3</v>
      </c>
    </row>
    <row r="21" spans="1:9" x14ac:dyDescent="0.25">
      <c r="A21" s="36">
        <v>44071</v>
      </c>
      <c r="B21" s="1">
        <f t="shared" si="5"/>
        <v>31</v>
      </c>
      <c r="C21" s="14">
        <f t="shared" si="0"/>
        <v>34655</v>
      </c>
      <c r="D21" s="95">
        <f t="shared" si="1"/>
        <v>27232.35</v>
      </c>
      <c r="E21" s="96">
        <f t="shared" si="6"/>
        <v>7422.65</v>
      </c>
      <c r="F21" s="14">
        <f t="shared" si="7"/>
        <v>582637.94999999995</v>
      </c>
      <c r="G21" s="14">
        <f t="shared" si="2"/>
        <v>555405.6</v>
      </c>
      <c r="H21" s="14">
        <f t="shared" si="3"/>
        <v>7422.6478561643826</v>
      </c>
      <c r="I21" s="16">
        <f t="shared" si="4"/>
        <v>-2.1438356170619954E-3</v>
      </c>
    </row>
    <row r="22" spans="1:9" x14ac:dyDescent="0.25">
      <c r="A22" s="36">
        <v>44102</v>
      </c>
      <c r="B22" s="1">
        <f t="shared" si="5"/>
        <v>31</v>
      </c>
      <c r="C22" s="14">
        <f t="shared" si="0"/>
        <v>34655</v>
      </c>
      <c r="D22" s="95">
        <f t="shared" si="1"/>
        <v>27579.279999999999</v>
      </c>
      <c r="E22" s="96">
        <f t="shared" si="6"/>
        <v>7075.72</v>
      </c>
      <c r="F22" s="14">
        <f t="shared" si="7"/>
        <v>555405.6</v>
      </c>
      <c r="G22" s="14">
        <f t="shared" si="2"/>
        <v>527826.31999999995</v>
      </c>
      <c r="H22" s="14">
        <f t="shared" si="3"/>
        <v>7075.7151780821923</v>
      </c>
      <c r="I22" s="16">
        <f t="shared" si="4"/>
        <v>-4.8219178079307312E-3</v>
      </c>
    </row>
    <row r="23" spans="1:9" x14ac:dyDescent="0.25">
      <c r="A23" s="36">
        <v>44132</v>
      </c>
      <c r="B23" s="1">
        <f t="shared" si="5"/>
        <v>30</v>
      </c>
      <c r="C23" s="14">
        <f t="shared" si="0"/>
        <v>34655</v>
      </c>
      <c r="D23" s="95">
        <f t="shared" si="1"/>
        <v>28147.55</v>
      </c>
      <c r="E23" s="96">
        <f t="shared" si="6"/>
        <v>6507.45</v>
      </c>
      <c r="F23" s="14">
        <f t="shared" si="7"/>
        <v>527826.31999999995</v>
      </c>
      <c r="G23" s="14">
        <f t="shared" si="2"/>
        <v>499678.76999999996</v>
      </c>
      <c r="H23" s="14">
        <f t="shared" si="3"/>
        <v>6507.4477808219162</v>
      </c>
      <c r="I23" s="16">
        <f t="shared" si="4"/>
        <v>-2.2191780835782993E-3</v>
      </c>
    </row>
    <row r="24" spans="1:9" x14ac:dyDescent="0.25">
      <c r="A24" s="36">
        <v>44163</v>
      </c>
      <c r="B24" s="1">
        <f t="shared" si="5"/>
        <v>31</v>
      </c>
      <c r="C24" s="14">
        <f t="shared" si="0"/>
        <v>34655</v>
      </c>
      <c r="D24" s="95">
        <f t="shared" si="1"/>
        <v>28289.23</v>
      </c>
      <c r="E24" s="96">
        <f t="shared" si="6"/>
        <v>6365.77</v>
      </c>
      <c r="F24" s="14">
        <f t="shared" si="7"/>
        <v>499678.76999999996</v>
      </c>
      <c r="G24" s="14">
        <f t="shared" si="2"/>
        <v>471389.54</v>
      </c>
      <c r="H24" s="14">
        <f t="shared" si="3"/>
        <v>6365.770631506849</v>
      </c>
      <c r="I24" s="16">
        <f t="shared" si="4"/>
        <v>6.3150684854917927E-4</v>
      </c>
    </row>
    <row r="25" spans="1:9" x14ac:dyDescent="0.25">
      <c r="A25" s="36">
        <v>44193</v>
      </c>
      <c r="B25" s="1">
        <f t="shared" si="5"/>
        <v>30</v>
      </c>
      <c r="C25" s="14">
        <f t="shared" si="0"/>
        <v>34655</v>
      </c>
      <c r="D25" s="95">
        <f t="shared" si="1"/>
        <v>28843.35</v>
      </c>
      <c r="E25" s="96">
        <f t="shared" si="6"/>
        <v>5811.65</v>
      </c>
      <c r="F25" s="14">
        <f t="shared" si="7"/>
        <v>471389.54</v>
      </c>
      <c r="G25" s="14">
        <f t="shared" si="2"/>
        <v>442546.19</v>
      </c>
      <c r="H25" s="14">
        <f t="shared" si="3"/>
        <v>5811.6518630136979</v>
      </c>
      <c r="I25" s="16">
        <f t="shared" si="4"/>
        <v>1.8630136983119883E-3</v>
      </c>
    </row>
    <row r="26" spans="1:9" x14ac:dyDescent="0.25">
      <c r="A26" s="36">
        <v>44224</v>
      </c>
      <c r="B26" s="1">
        <f t="shared" si="5"/>
        <v>31</v>
      </c>
      <c r="C26" s="14">
        <f t="shared" si="0"/>
        <v>34655</v>
      </c>
      <c r="D26" s="95">
        <f t="shared" si="1"/>
        <v>29017.08</v>
      </c>
      <c r="E26" s="96">
        <f t="shared" si="6"/>
        <v>5637.92</v>
      </c>
      <c r="F26" s="14">
        <f t="shared" si="7"/>
        <v>442546.19</v>
      </c>
      <c r="G26" s="14">
        <f t="shared" si="2"/>
        <v>413529.11</v>
      </c>
      <c r="H26" s="14">
        <f t="shared" si="3"/>
        <v>5637.9172150684926</v>
      </c>
      <c r="I26" s="16">
        <f t="shared" si="4"/>
        <v>-2.7849315074490733E-3</v>
      </c>
    </row>
    <row r="27" spans="1:9" x14ac:dyDescent="0.25">
      <c r="A27" s="36">
        <v>44255</v>
      </c>
      <c r="B27" s="1">
        <f t="shared" si="5"/>
        <v>31</v>
      </c>
      <c r="C27" s="14">
        <f t="shared" si="0"/>
        <v>34655</v>
      </c>
      <c r="D27" s="95">
        <f t="shared" si="1"/>
        <v>29386.75</v>
      </c>
      <c r="E27" s="96">
        <f t="shared" si="6"/>
        <v>5268.25</v>
      </c>
      <c r="F27" s="14">
        <f t="shared" si="7"/>
        <v>413529.11</v>
      </c>
      <c r="G27" s="14">
        <f t="shared" si="2"/>
        <v>384142.36</v>
      </c>
      <c r="H27" s="14">
        <f t="shared" si="3"/>
        <v>5268.2475657534242</v>
      </c>
      <c r="I27" s="16">
        <f t="shared" si="4"/>
        <v>-2.4342465758309118E-3</v>
      </c>
    </row>
    <row r="28" spans="1:9" x14ac:dyDescent="0.25">
      <c r="A28" s="36">
        <v>44283</v>
      </c>
      <c r="B28" s="1">
        <f t="shared" si="5"/>
        <v>28</v>
      </c>
      <c r="C28" s="14">
        <f t="shared" si="0"/>
        <v>34655</v>
      </c>
      <c r="D28" s="95">
        <f t="shared" si="1"/>
        <v>30234.73</v>
      </c>
      <c r="E28" s="96">
        <f t="shared" si="6"/>
        <v>4420.2700000000004</v>
      </c>
      <c r="F28" s="14">
        <f t="shared" si="7"/>
        <v>384142.36</v>
      </c>
      <c r="G28" s="14">
        <f t="shared" si="2"/>
        <v>353907.63</v>
      </c>
      <c r="H28" s="14">
        <f t="shared" si="3"/>
        <v>4420.2682520547942</v>
      </c>
      <c r="I28" s="16">
        <f t="shared" si="4"/>
        <v>-1.7479452062616474E-3</v>
      </c>
    </row>
    <row r="29" spans="1:9" x14ac:dyDescent="0.25">
      <c r="A29" s="36">
        <v>44314</v>
      </c>
      <c r="B29" s="1">
        <f t="shared" si="5"/>
        <v>31</v>
      </c>
      <c r="C29" s="14">
        <f t="shared" si="0"/>
        <v>34655</v>
      </c>
      <c r="D29" s="95">
        <f t="shared" si="1"/>
        <v>30146.31</v>
      </c>
      <c r="E29" s="96">
        <f t="shared" si="6"/>
        <v>4508.6899999999996</v>
      </c>
      <c r="F29" s="14">
        <f t="shared" si="7"/>
        <v>353907.63</v>
      </c>
      <c r="G29" s="14">
        <f t="shared" si="2"/>
        <v>323761.32</v>
      </c>
      <c r="H29" s="14">
        <f t="shared" si="3"/>
        <v>4508.6862452054802</v>
      </c>
      <c r="I29" s="16">
        <f t="shared" si="4"/>
        <v>-3.7547945194091881E-3</v>
      </c>
    </row>
    <row r="30" spans="1:9" x14ac:dyDescent="0.25">
      <c r="A30" s="36">
        <v>44344</v>
      </c>
      <c r="B30" s="1">
        <f t="shared" si="5"/>
        <v>30</v>
      </c>
      <c r="C30" s="14">
        <f t="shared" si="0"/>
        <v>34655</v>
      </c>
      <c r="D30" s="95">
        <f t="shared" si="1"/>
        <v>30663.42</v>
      </c>
      <c r="E30" s="96">
        <f t="shared" si="6"/>
        <v>3991.58</v>
      </c>
      <c r="F30" s="14">
        <f t="shared" si="7"/>
        <v>323761.32</v>
      </c>
      <c r="G30" s="14">
        <f t="shared" si="2"/>
        <v>293097.90000000002</v>
      </c>
      <c r="H30" s="14">
        <f t="shared" si="3"/>
        <v>3991.5779178082189</v>
      </c>
      <c r="I30" s="16">
        <f t="shared" si="4"/>
        <v>-2.0821917810280866E-3</v>
      </c>
    </row>
    <row r="31" spans="1:9" x14ac:dyDescent="0.25">
      <c r="A31" s="36">
        <v>44375</v>
      </c>
      <c r="B31" s="1">
        <f t="shared" si="5"/>
        <v>31</v>
      </c>
      <c r="C31" s="14">
        <f t="shared" si="0"/>
        <v>34655</v>
      </c>
      <c r="D31" s="95">
        <f t="shared" si="1"/>
        <v>30921.010000000002</v>
      </c>
      <c r="E31" s="96">
        <f t="shared" si="6"/>
        <v>3733.99</v>
      </c>
      <c r="F31" s="14">
        <f t="shared" si="7"/>
        <v>293097.90000000002</v>
      </c>
      <c r="G31" s="14">
        <f t="shared" si="2"/>
        <v>262176.89</v>
      </c>
      <c r="H31" s="14">
        <f t="shared" si="3"/>
        <v>3733.9869452054795</v>
      </c>
      <c r="I31" s="16">
        <f t="shared" si="4"/>
        <v>-3.0547945202670235E-3</v>
      </c>
    </row>
    <row r="32" spans="1:9" x14ac:dyDescent="0.25">
      <c r="A32" s="36">
        <v>44405</v>
      </c>
      <c r="B32" s="1">
        <f t="shared" si="5"/>
        <v>30</v>
      </c>
      <c r="C32" s="14">
        <f t="shared" si="0"/>
        <v>34655</v>
      </c>
      <c r="D32" s="95">
        <f t="shared" si="1"/>
        <v>31422.68</v>
      </c>
      <c r="E32" s="96">
        <f t="shared" si="6"/>
        <v>3232.32</v>
      </c>
      <c r="F32" s="14">
        <f t="shared" si="7"/>
        <v>262176.89</v>
      </c>
      <c r="G32" s="14">
        <f t="shared" si="2"/>
        <v>230754.21000000002</v>
      </c>
      <c r="H32" s="14">
        <f t="shared" si="3"/>
        <v>3232.317821917808</v>
      </c>
      <c r="I32" s="16">
        <f t="shared" si="4"/>
        <v>-2.1780821921311144E-3</v>
      </c>
    </row>
    <row r="33" spans="1:9" x14ac:dyDescent="0.25">
      <c r="A33" s="36">
        <v>44436</v>
      </c>
      <c r="B33" s="1">
        <f t="shared" si="5"/>
        <v>31</v>
      </c>
      <c r="C33" s="14">
        <f t="shared" si="0"/>
        <v>34655</v>
      </c>
      <c r="D33" s="95">
        <f t="shared" si="1"/>
        <v>31715.25</v>
      </c>
      <c r="E33" s="96">
        <f t="shared" si="6"/>
        <v>2939.75</v>
      </c>
      <c r="F33" s="14">
        <f t="shared" si="7"/>
        <v>230754.21000000002</v>
      </c>
      <c r="G33" s="14">
        <f t="shared" si="2"/>
        <v>199038.96000000002</v>
      </c>
      <c r="H33" s="14">
        <f t="shared" si="3"/>
        <v>2939.7454150684939</v>
      </c>
      <c r="I33" s="16">
        <f t="shared" si="4"/>
        <v>-4.5849315060877416E-3</v>
      </c>
    </row>
    <row r="34" spans="1:9" x14ac:dyDescent="0.25">
      <c r="A34" s="36">
        <v>44467</v>
      </c>
      <c r="B34" s="1">
        <f t="shared" si="5"/>
        <v>31</v>
      </c>
      <c r="C34" s="14">
        <f t="shared" si="0"/>
        <v>34655</v>
      </c>
      <c r="D34" s="95">
        <f t="shared" si="1"/>
        <v>32119.3</v>
      </c>
      <c r="E34" s="96">
        <f t="shared" si="6"/>
        <v>2535.6999999999998</v>
      </c>
      <c r="F34" s="14">
        <f t="shared" si="7"/>
        <v>199038.96000000002</v>
      </c>
      <c r="G34" s="14">
        <f t="shared" si="2"/>
        <v>166919.66000000003</v>
      </c>
      <c r="H34" s="14">
        <f t="shared" si="3"/>
        <v>2535.7018191780821</v>
      </c>
      <c r="I34" s="16">
        <f t="shared" si="4"/>
        <v>1.8191780823144654E-3</v>
      </c>
    </row>
    <row r="35" spans="1:9" x14ac:dyDescent="0.25">
      <c r="A35" s="36">
        <v>44497</v>
      </c>
      <c r="B35" s="1">
        <f t="shared" si="5"/>
        <v>30</v>
      </c>
      <c r="C35" s="14">
        <f t="shared" si="0"/>
        <v>34655</v>
      </c>
      <c r="D35" s="95">
        <f t="shared" si="1"/>
        <v>32597.09</v>
      </c>
      <c r="E35" s="96">
        <f t="shared" si="6"/>
        <v>2057.91</v>
      </c>
      <c r="F35" s="14">
        <f t="shared" si="7"/>
        <v>166919.66000000003</v>
      </c>
      <c r="G35" s="14">
        <f t="shared" si="2"/>
        <v>134322.57000000004</v>
      </c>
      <c r="H35" s="14">
        <f t="shared" si="3"/>
        <v>2057.9136164383563</v>
      </c>
      <c r="I35" s="16">
        <f t="shared" si="4"/>
        <v>3.6164383564027958E-3</v>
      </c>
    </row>
    <row r="36" spans="1:9" x14ac:dyDescent="0.25">
      <c r="A36" s="36">
        <v>44528</v>
      </c>
      <c r="B36" s="1">
        <f t="shared" si="5"/>
        <v>31</v>
      </c>
      <c r="C36" s="14">
        <f t="shared" si="0"/>
        <v>34655</v>
      </c>
      <c r="D36" s="95">
        <f t="shared" si="1"/>
        <v>32943.769999999997</v>
      </c>
      <c r="E36" s="96">
        <f t="shared" si="6"/>
        <v>1711.23</v>
      </c>
      <c r="F36" s="14">
        <f t="shared" si="7"/>
        <v>134322.57000000004</v>
      </c>
      <c r="G36" s="14">
        <f t="shared" si="2"/>
        <v>101378.80000000005</v>
      </c>
      <c r="H36" s="14">
        <f t="shared" si="3"/>
        <v>1711.2327410958908</v>
      </c>
      <c r="I36" s="16">
        <f t="shared" si="4"/>
        <v>2.7410958907694294E-3</v>
      </c>
    </row>
    <row r="37" spans="1:9" x14ac:dyDescent="0.25">
      <c r="A37" s="36">
        <v>44558</v>
      </c>
      <c r="B37" s="1">
        <f t="shared" si="5"/>
        <v>30</v>
      </c>
      <c r="C37" s="14">
        <f t="shared" si="0"/>
        <v>34655</v>
      </c>
      <c r="D37" s="95">
        <f t="shared" si="1"/>
        <v>33405.120000000003</v>
      </c>
      <c r="E37" s="96">
        <f t="shared" si="6"/>
        <v>1249.8800000000001</v>
      </c>
      <c r="F37" s="14">
        <f t="shared" si="7"/>
        <v>101378.80000000005</v>
      </c>
      <c r="G37" s="14">
        <f t="shared" si="2"/>
        <v>67973.680000000051</v>
      </c>
      <c r="H37" s="14">
        <f t="shared" si="3"/>
        <v>1249.8756164383567</v>
      </c>
      <c r="I37" s="16">
        <f t="shared" si="4"/>
        <v>-4.3835616434080293E-3</v>
      </c>
    </row>
    <row r="38" spans="1:9" x14ac:dyDescent="0.25">
      <c r="A38" s="36">
        <v>44589</v>
      </c>
      <c r="B38" s="1">
        <f t="shared" si="5"/>
        <v>31</v>
      </c>
      <c r="C38" s="14">
        <f t="shared" si="0"/>
        <v>34655</v>
      </c>
      <c r="D38" s="95">
        <f t="shared" si="1"/>
        <v>33789.03</v>
      </c>
      <c r="E38" s="96">
        <f t="shared" si="6"/>
        <v>865.97</v>
      </c>
      <c r="F38" s="14">
        <f t="shared" si="7"/>
        <v>67973.680000000051</v>
      </c>
      <c r="G38" s="14">
        <f t="shared" si="2"/>
        <v>34184.650000000052</v>
      </c>
      <c r="H38" s="14">
        <f t="shared" si="3"/>
        <v>865.9660602739732</v>
      </c>
      <c r="I38" s="16">
        <f t="shared" si="4"/>
        <v>-3.9397260268287937E-3</v>
      </c>
    </row>
    <row r="39" spans="1:9" x14ac:dyDescent="0.25">
      <c r="A39" s="36">
        <v>44620</v>
      </c>
      <c r="B39" s="1">
        <f t="shared" si="5"/>
        <v>31</v>
      </c>
      <c r="C39" s="14">
        <f t="shared" si="0"/>
        <v>34655</v>
      </c>
      <c r="D39" s="95">
        <f t="shared" si="1"/>
        <v>34184.65</v>
      </c>
      <c r="E39" s="96">
        <f>ROUND(470.349999999948,2)</f>
        <v>470.35</v>
      </c>
      <c r="F39" s="14">
        <f t="shared" si="7"/>
        <v>34184.650000000052</v>
      </c>
      <c r="G39" s="14">
        <f t="shared" si="2"/>
        <v>0</v>
      </c>
      <c r="H39" s="14">
        <f t="shared" si="3"/>
        <v>435.50307534246639</v>
      </c>
      <c r="I39" s="16">
        <f t="shared" si="4"/>
        <v>-34.846924657533634</v>
      </c>
    </row>
    <row r="40" spans="1:9" x14ac:dyDescent="0.25">
      <c r="A40" s="36">
        <v>43705</v>
      </c>
      <c r="B40">
        <f>_xlfn.DAYS(A9,A8)</f>
        <v>31</v>
      </c>
      <c r="C40" s="14">
        <f t="shared" si="0"/>
        <v>34655</v>
      </c>
      <c r="D40" s="95">
        <f>C9-E9</f>
        <v>23373.68</v>
      </c>
      <c r="E40">
        <f>ROUND(F9*$B$2*B9/365,2)</f>
        <v>11281.32</v>
      </c>
      <c r="F40" s="33">
        <f>G8</f>
        <v>885523.03999999992</v>
      </c>
      <c r="G40" s="104">
        <f t="shared" si="2"/>
        <v>862149.35999999987</v>
      </c>
      <c r="H40" s="104"/>
      <c r="I40" s="107"/>
    </row>
    <row r="41" spans="1:9" x14ac:dyDescent="0.25">
      <c r="A41" s="70">
        <v>43736</v>
      </c>
      <c r="B41" s="98">
        <f t="shared" si="5"/>
        <v>31</v>
      </c>
      <c r="C41" s="99">
        <f>$H$1</f>
        <v>36773</v>
      </c>
      <c r="D41" s="100">
        <f t="shared" si="1"/>
        <v>22128.27</v>
      </c>
      <c r="E41" s="101">
        <f>ROUND(F41*$J$1*B41/365,2)</f>
        <v>14644.73</v>
      </c>
      <c r="F41" s="99">
        <f t="shared" si="7"/>
        <v>862149.35999999987</v>
      </c>
      <c r="G41" s="106">
        <f t="shared" si="2"/>
        <v>840021.08999999985</v>
      </c>
    </row>
    <row r="42" spans="1:9" x14ac:dyDescent="0.25">
      <c r="A42" s="36">
        <v>43766</v>
      </c>
      <c r="B42" s="1">
        <f t="shared" si="5"/>
        <v>30</v>
      </c>
      <c r="C42" s="14">
        <f t="shared" ref="C42:C46" si="8">$H$1</f>
        <v>36773</v>
      </c>
      <c r="D42" s="95">
        <f t="shared" ref="D42:D70" si="9">C42-E42</f>
        <v>22964.43</v>
      </c>
      <c r="E42" s="96">
        <f t="shared" ref="E42:E70" si="10">ROUND(F42*$J$1*B42/365,2)</f>
        <v>13808.57</v>
      </c>
      <c r="F42" s="14">
        <f t="shared" ref="F42:F46" si="11">G41</f>
        <v>840021.08999999985</v>
      </c>
      <c r="G42" s="104">
        <f t="shared" ref="G42:G46" si="12">F42-D42</f>
        <v>817056.6599999998</v>
      </c>
    </row>
    <row r="43" spans="1:9" x14ac:dyDescent="0.25">
      <c r="A43" s="36">
        <v>43797</v>
      </c>
      <c r="B43" s="1">
        <f t="shared" si="5"/>
        <v>31</v>
      </c>
      <c r="C43" s="14">
        <f t="shared" si="8"/>
        <v>36773</v>
      </c>
      <c r="D43" s="95">
        <f t="shared" si="9"/>
        <v>22894.23</v>
      </c>
      <c r="E43" s="96">
        <f t="shared" si="10"/>
        <v>13878.77</v>
      </c>
      <c r="F43" s="14">
        <f t="shared" si="11"/>
        <v>817056.6599999998</v>
      </c>
      <c r="G43" s="104">
        <f t="shared" si="12"/>
        <v>794162.42999999982</v>
      </c>
    </row>
    <row r="44" spans="1:9" x14ac:dyDescent="0.25">
      <c r="A44" s="36">
        <v>43827</v>
      </c>
      <c r="B44" s="1">
        <f t="shared" si="5"/>
        <v>30</v>
      </c>
      <c r="C44" s="14">
        <f t="shared" si="8"/>
        <v>36773</v>
      </c>
      <c r="D44" s="95">
        <f t="shared" si="9"/>
        <v>23718.28</v>
      </c>
      <c r="E44" s="96">
        <f t="shared" si="10"/>
        <v>13054.72</v>
      </c>
      <c r="F44" s="14">
        <f t="shared" si="11"/>
        <v>794162.42999999982</v>
      </c>
      <c r="G44" s="104">
        <f t="shared" si="12"/>
        <v>770444.14999999979</v>
      </c>
    </row>
    <row r="45" spans="1:9" x14ac:dyDescent="0.25">
      <c r="A45" s="36">
        <v>43858</v>
      </c>
      <c r="B45" s="1">
        <f t="shared" si="5"/>
        <v>31</v>
      </c>
      <c r="C45" s="14">
        <f t="shared" si="8"/>
        <v>36773</v>
      </c>
      <c r="D45" s="95">
        <f t="shared" si="9"/>
        <v>23686</v>
      </c>
      <c r="E45" s="96">
        <f t="shared" si="10"/>
        <v>13087</v>
      </c>
      <c r="F45" s="14">
        <f t="shared" si="11"/>
        <v>770444.14999999979</v>
      </c>
      <c r="G45" s="104">
        <f t="shared" si="12"/>
        <v>746758.14999999979</v>
      </c>
    </row>
    <row r="46" spans="1:9" x14ac:dyDescent="0.25">
      <c r="A46" s="36">
        <v>43889</v>
      </c>
      <c r="B46" s="1">
        <f t="shared" si="5"/>
        <v>31</v>
      </c>
      <c r="C46" s="14">
        <f t="shared" si="8"/>
        <v>36773</v>
      </c>
      <c r="D46" s="95">
        <f t="shared" si="9"/>
        <v>24088.34</v>
      </c>
      <c r="E46" s="96">
        <f t="shared" si="10"/>
        <v>12684.66</v>
      </c>
      <c r="F46" s="14">
        <f t="shared" si="11"/>
        <v>746758.14999999979</v>
      </c>
      <c r="G46" s="104">
        <f t="shared" si="12"/>
        <v>722669.80999999982</v>
      </c>
    </row>
    <row r="47" spans="1:9" x14ac:dyDescent="0.25">
      <c r="A47" s="70">
        <v>43918</v>
      </c>
      <c r="B47" s="98">
        <f t="shared" si="5"/>
        <v>29</v>
      </c>
      <c r="C47" s="99">
        <f>$N$1</f>
        <v>34229</v>
      </c>
      <c r="D47" s="100">
        <f t="shared" si="9"/>
        <v>23540</v>
      </c>
      <c r="E47" s="101">
        <f t="shared" si="10"/>
        <v>10689</v>
      </c>
      <c r="F47" s="99">
        <f>G46-P1</f>
        <v>672669.80999999982</v>
      </c>
      <c r="G47" s="106">
        <f t="shared" ref="G47:G70" si="13">F47-D47</f>
        <v>649129.80999999982</v>
      </c>
    </row>
    <row r="48" spans="1:9" x14ac:dyDescent="0.25">
      <c r="A48" s="36">
        <v>43949</v>
      </c>
      <c r="B48" s="1">
        <f t="shared" si="5"/>
        <v>31</v>
      </c>
      <c r="C48" s="14">
        <f t="shared" ref="C48:C55" si="14">$N$1</f>
        <v>34229</v>
      </c>
      <c r="D48" s="95">
        <f t="shared" si="9"/>
        <v>23202.690000000002</v>
      </c>
      <c r="E48" s="96">
        <f t="shared" si="10"/>
        <v>11026.31</v>
      </c>
      <c r="F48" s="14">
        <f t="shared" ref="F48:F70" si="15">G47</f>
        <v>649129.80999999982</v>
      </c>
      <c r="G48" s="104">
        <f t="shared" si="13"/>
        <v>625927.11999999988</v>
      </c>
    </row>
    <row r="49" spans="1:7" x14ac:dyDescent="0.25">
      <c r="A49" s="36">
        <v>43979</v>
      </c>
      <c r="B49" s="1">
        <f t="shared" si="5"/>
        <v>30</v>
      </c>
      <c r="C49" s="14">
        <f t="shared" si="14"/>
        <v>34229</v>
      </c>
      <c r="D49" s="95">
        <f t="shared" si="9"/>
        <v>23939.79</v>
      </c>
      <c r="E49" s="96">
        <f t="shared" si="10"/>
        <v>10289.209999999999</v>
      </c>
      <c r="F49" s="14">
        <f t="shared" si="15"/>
        <v>625927.11999999988</v>
      </c>
      <c r="G49" s="104">
        <f t="shared" si="13"/>
        <v>601987.32999999984</v>
      </c>
    </row>
    <row r="50" spans="1:7" x14ac:dyDescent="0.25">
      <c r="A50" s="36">
        <v>44010</v>
      </c>
      <c r="B50" s="1">
        <f t="shared" si="5"/>
        <v>31</v>
      </c>
      <c r="C50" s="14">
        <f t="shared" si="14"/>
        <v>34229</v>
      </c>
      <c r="D50" s="95">
        <f t="shared" si="9"/>
        <v>24003.46</v>
      </c>
      <c r="E50" s="96">
        <f t="shared" si="10"/>
        <v>10225.540000000001</v>
      </c>
      <c r="F50" s="14">
        <f t="shared" si="15"/>
        <v>601987.32999999984</v>
      </c>
      <c r="G50" s="104">
        <f t="shared" si="13"/>
        <v>577983.86999999988</v>
      </c>
    </row>
    <row r="51" spans="1:7" x14ac:dyDescent="0.25">
      <c r="A51" s="36">
        <v>44040</v>
      </c>
      <c r="B51" s="1">
        <f t="shared" si="5"/>
        <v>30</v>
      </c>
      <c r="C51" s="14">
        <f t="shared" si="14"/>
        <v>34229</v>
      </c>
      <c r="D51" s="95">
        <f t="shared" si="9"/>
        <v>24727.9</v>
      </c>
      <c r="E51" s="96">
        <f t="shared" si="10"/>
        <v>9501.1</v>
      </c>
      <c r="F51" s="14">
        <f t="shared" si="15"/>
        <v>577983.86999999988</v>
      </c>
      <c r="G51" s="104">
        <f t="shared" si="13"/>
        <v>553255.96999999986</v>
      </c>
    </row>
    <row r="52" spans="1:7" x14ac:dyDescent="0.25">
      <c r="A52" s="36">
        <v>44071</v>
      </c>
      <c r="B52" s="1">
        <f t="shared" si="5"/>
        <v>31</v>
      </c>
      <c r="C52" s="14">
        <f t="shared" si="14"/>
        <v>34229</v>
      </c>
      <c r="D52" s="95">
        <f t="shared" si="9"/>
        <v>24831.23</v>
      </c>
      <c r="E52" s="96">
        <f t="shared" si="10"/>
        <v>9397.77</v>
      </c>
      <c r="F52" s="14">
        <f t="shared" si="15"/>
        <v>553255.96999999986</v>
      </c>
      <c r="G52" s="104">
        <f t="shared" si="13"/>
        <v>528424.73999999987</v>
      </c>
    </row>
    <row r="53" spans="1:7" x14ac:dyDescent="0.25">
      <c r="A53" s="36">
        <v>44102</v>
      </c>
      <c r="B53" s="1">
        <f t="shared" si="5"/>
        <v>31</v>
      </c>
      <c r="C53" s="14">
        <f t="shared" si="14"/>
        <v>34229</v>
      </c>
      <c r="D53" s="95">
        <f t="shared" si="9"/>
        <v>25253.02</v>
      </c>
      <c r="E53" s="96">
        <f t="shared" si="10"/>
        <v>8975.98</v>
      </c>
      <c r="F53" s="14">
        <f t="shared" si="15"/>
        <v>528424.73999999987</v>
      </c>
      <c r="G53" s="104">
        <f t="shared" si="13"/>
        <v>503171.71999999986</v>
      </c>
    </row>
    <row r="54" spans="1:7" x14ac:dyDescent="0.25">
      <c r="A54" s="36">
        <v>44132</v>
      </c>
      <c r="B54" s="1">
        <f t="shared" si="5"/>
        <v>30</v>
      </c>
      <c r="C54" s="14">
        <f t="shared" si="14"/>
        <v>34229</v>
      </c>
      <c r="D54" s="95">
        <f t="shared" si="9"/>
        <v>25957.68</v>
      </c>
      <c r="E54" s="96">
        <f t="shared" si="10"/>
        <v>8271.32</v>
      </c>
      <c r="F54" s="14">
        <f t="shared" si="15"/>
        <v>503171.71999999986</v>
      </c>
      <c r="G54" s="104">
        <f t="shared" si="13"/>
        <v>477214.03999999986</v>
      </c>
    </row>
    <row r="55" spans="1:7" x14ac:dyDescent="0.25">
      <c r="A55" s="36">
        <v>44163</v>
      </c>
      <c r="B55" s="1">
        <f t="shared" si="5"/>
        <v>31</v>
      </c>
      <c r="C55" s="14">
        <f t="shared" si="14"/>
        <v>34229</v>
      </c>
      <c r="D55" s="95">
        <f t="shared" si="9"/>
        <v>26122.9</v>
      </c>
      <c r="E55" s="96">
        <f t="shared" si="10"/>
        <v>8106.1</v>
      </c>
      <c r="F55" s="14">
        <f t="shared" si="15"/>
        <v>477214.03999999986</v>
      </c>
      <c r="G55" s="104">
        <f t="shared" si="13"/>
        <v>451091.13999999984</v>
      </c>
    </row>
    <row r="56" spans="1:7" x14ac:dyDescent="0.25">
      <c r="A56" s="36">
        <v>44193</v>
      </c>
      <c r="B56" s="1">
        <f t="shared" si="5"/>
        <v>30</v>
      </c>
      <c r="C56" s="14">
        <f>$F$2</f>
        <v>15000</v>
      </c>
      <c r="D56" s="95">
        <f t="shared" si="9"/>
        <v>7584.8</v>
      </c>
      <c r="E56" s="96">
        <f t="shared" si="10"/>
        <v>7415.2</v>
      </c>
      <c r="F56" s="14">
        <f t="shared" si="15"/>
        <v>451091.13999999984</v>
      </c>
      <c r="G56" s="104">
        <f t="shared" si="13"/>
        <v>443506.33999999985</v>
      </c>
    </row>
    <row r="57" spans="1:7" x14ac:dyDescent="0.25">
      <c r="A57" s="36">
        <v>44224</v>
      </c>
      <c r="B57" s="1">
        <f t="shared" si="5"/>
        <v>31</v>
      </c>
      <c r="C57" s="14">
        <f t="shared" ref="C57:C73" si="16">$F$2</f>
        <v>15000</v>
      </c>
      <c r="D57" s="95">
        <f t="shared" si="9"/>
        <v>7466.47</v>
      </c>
      <c r="E57" s="96">
        <f t="shared" si="10"/>
        <v>7533.53</v>
      </c>
      <c r="F57" s="14">
        <f t="shared" si="15"/>
        <v>443506.33999999985</v>
      </c>
      <c r="G57" s="104">
        <f t="shared" si="13"/>
        <v>436039.86999999988</v>
      </c>
    </row>
    <row r="58" spans="1:7" x14ac:dyDescent="0.25">
      <c r="A58" s="36">
        <v>44255</v>
      </c>
      <c r="B58" s="1">
        <f t="shared" si="5"/>
        <v>31</v>
      </c>
      <c r="C58" s="14">
        <f t="shared" si="16"/>
        <v>15000</v>
      </c>
      <c r="D58" s="95">
        <f t="shared" si="9"/>
        <v>7593.3</v>
      </c>
      <c r="E58" s="96">
        <f t="shared" si="10"/>
        <v>7406.7</v>
      </c>
      <c r="F58" s="14">
        <f t="shared" si="15"/>
        <v>436039.86999999988</v>
      </c>
      <c r="G58" s="104">
        <f t="shared" si="13"/>
        <v>428446.56999999989</v>
      </c>
    </row>
    <row r="59" spans="1:7" x14ac:dyDescent="0.25">
      <c r="A59" s="36">
        <v>44283</v>
      </c>
      <c r="B59" s="1">
        <f t="shared" si="5"/>
        <v>28</v>
      </c>
      <c r="C59" s="14">
        <f t="shared" si="16"/>
        <v>15000</v>
      </c>
      <c r="D59" s="95">
        <f t="shared" si="9"/>
        <v>8426.57</v>
      </c>
      <c r="E59" s="96">
        <f t="shared" si="10"/>
        <v>6573.43</v>
      </c>
      <c r="F59" s="14">
        <f t="shared" si="15"/>
        <v>428446.56999999989</v>
      </c>
      <c r="G59" s="104">
        <f t="shared" si="13"/>
        <v>420019.99999999988</v>
      </c>
    </row>
    <row r="60" spans="1:7" x14ac:dyDescent="0.25">
      <c r="A60" s="36">
        <v>44314</v>
      </c>
      <c r="B60" s="1">
        <f t="shared" si="5"/>
        <v>31</v>
      </c>
      <c r="C60" s="14">
        <f t="shared" si="16"/>
        <v>15000</v>
      </c>
      <c r="D60" s="95">
        <f t="shared" si="9"/>
        <v>7865.41</v>
      </c>
      <c r="E60" s="96">
        <f t="shared" si="10"/>
        <v>7134.59</v>
      </c>
      <c r="F60" s="14">
        <f t="shared" si="15"/>
        <v>420019.99999999988</v>
      </c>
      <c r="G60" s="104">
        <f t="shared" si="13"/>
        <v>412154.58999999991</v>
      </c>
    </row>
    <row r="61" spans="1:7" x14ac:dyDescent="0.25">
      <c r="A61" s="36">
        <v>44344</v>
      </c>
      <c r="B61" s="1">
        <f t="shared" si="5"/>
        <v>30</v>
      </c>
      <c r="C61" s="14">
        <f t="shared" si="16"/>
        <v>15000</v>
      </c>
      <c r="D61" s="95">
        <f t="shared" si="9"/>
        <v>8224.86</v>
      </c>
      <c r="E61" s="96">
        <f t="shared" si="10"/>
        <v>6775.14</v>
      </c>
      <c r="F61" s="14">
        <f t="shared" si="15"/>
        <v>412154.58999999991</v>
      </c>
      <c r="G61" s="104">
        <f t="shared" si="13"/>
        <v>403929.72999999992</v>
      </c>
    </row>
    <row r="62" spans="1:7" x14ac:dyDescent="0.25">
      <c r="A62" s="36">
        <v>44375</v>
      </c>
      <c r="B62" s="1">
        <f t="shared" si="5"/>
        <v>31</v>
      </c>
      <c r="C62" s="14">
        <f t="shared" si="16"/>
        <v>15000</v>
      </c>
      <c r="D62" s="95">
        <f t="shared" si="9"/>
        <v>8138.73</v>
      </c>
      <c r="E62" s="96">
        <f t="shared" si="10"/>
        <v>6861.27</v>
      </c>
      <c r="F62" s="14">
        <f t="shared" si="15"/>
        <v>403929.72999999992</v>
      </c>
      <c r="G62" s="104">
        <f t="shared" si="13"/>
        <v>395790.99999999994</v>
      </c>
    </row>
    <row r="63" spans="1:7" x14ac:dyDescent="0.25">
      <c r="A63" s="36">
        <v>44405</v>
      </c>
      <c r="B63" s="1">
        <f t="shared" si="5"/>
        <v>30</v>
      </c>
      <c r="C63" s="14">
        <f t="shared" si="16"/>
        <v>15000</v>
      </c>
      <c r="D63" s="95">
        <f t="shared" si="9"/>
        <v>8493.85</v>
      </c>
      <c r="E63" s="96">
        <f t="shared" si="10"/>
        <v>6506.15</v>
      </c>
      <c r="F63" s="14">
        <f t="shared" si="15"/>
        <v>395790.99999999994</v>
      </c>
      <c r="G63" s="104">
        <f t="shared" si="13"/>
        <v>387297.14999999997</v>
      </c>
    </row>
    <row r="64" spans="1:7" x14ac:dyDescent="0.25">
      <c r="A64" s="36">
        <v>44436</v>
      </c>
      <c r="B64" s="1">
        <f t="shared" si="5"/>
        <v>31</v>
      </c>
      <c r="C64" s="14">
        <f t="shared" si="16"/>
        <v>15000</v>
      </c>
      <c r="D64" s="95">
        <f t="shared" si="9"/>
        <v>8421.25</v>
      </c>
      <c r="E64" s="96">
        <f t="shared" si="10"/>
        <v>6578.75</v>
      </c>
      <c r="F64" s="14">
        <f t="shared" si="15"/>
        <v>387297.14999999997</v>
      </c>
      <c r="G64" s="104">
        <f t="shared" si="13"/>
        <v>378875.89999999997</v>
      </c>
    </row>
    <row r="65" spans="1:7" x14ac:dyDescent="0.25">
      <c r="A65" s="36">
        <v>44467</v>
      </c>
      <c r="B65" s="1">
        <f t="shared" si="5"/>
        <v>31</v>
      </c>
      <c r="C65" s="14">
        <f t="shared" si="16"/>
        <v>15000</v>
      </c>
      <c r="D65" s="95">
        <f t="shared" si="9"/>
        <v>8564.2999999999993</v>
      </c>
      <c r="E65" s="96">
        <f t="shared" si="10"/>
        <v>6435.7</v>
      </c>
      <c r="F65" s="14">
        <f t="shared" si="15"/>
        <v>378875.89999999997</v>
      </c>
      <c r="G65" s="104">
        <f t="shared" si="13"/>
        <v>370311.6</v>
      </c>
    </row>
    <row r="66" spans="1:7" x14ac:dyDescent="0.25">
      <c r="A66" s="36">
        <v>44497</v>
      </c>
      <c r="B66" s="1">
        <f t="shared" si="5"/>
        <v>30</v>
      </c>
      <c r="C66" s="14">
        <f t="shared" si="16"/>
        <v>15000</v>
      </c>
      <c r="D66" s="95">
        <f t="shared" si="9"/>
        <v>8912.6899999999987</v>
      </c>
      <c r="E66" s="96">
        <f t="shared" si="10"/>
        <v>6087.31</v>
      </c>
      <c r="F66" s="14">
        <f t="shared" si="15"/>
        <v>370311.6</v>
      </c>
      <c r="G66" s="104">
        <f t="shared" si="13"/>
        <v>361398.91</v>
      </c>
    </row>
    <row r="67" spans="1:7" x14ac:dyDescent="0.25">
      <c r="A67" s="36">
        <v>44528</v>
      </c>
      <c r="B67" s="1">
        <f t="shared" si="5"/>
        <v>31</v>
      </c>
      <c r="C67" s="14">
        <f t="shared" si="16"/>
        <v>15000</v>
      </c>
      <c r="D67" s="95">
        <f t="shared" si="9"/>
        <v>8861.17</v>
      </c>
      <c r="E67" s="96">
        <f t="shared" si="10"/>
        <v>6138.83</v>
      </c>
      <c r="F67" s="14">
        <f t="shared" si="15"/>
        <v>361398.91</v>
      </c>
      <c r="G67" s="104">
        <f t="shared" si="13"/>
        <v>352537.74</v>
      </c>
    </row>
    <row r="68" spans="1:7" x14ac:dyDescent="0.25">
      <c r="A68" s="36">
        <v>44558</v>
      </c>
      <c r="B68" s="1">
        <f t="shared" si="5"/>
        <v>30</v>
      </c>
      <c r="C68" s="14">
        <f t="shared" si="16"/>
        <v>15000</v>
      </c>
      <c r="D68" s="95">
        <f t="shared" si="9"/>
        <v>9204.86</v>
      </c>
      <c r="E68" s="96">
        <f t="shared" si="10"/>
        <v>5795.14</v>
      </c>
      <c r="F68" s="14">
        <f t="shared" si="15"/>
        <v>352537.74</v>
      </c>
      <c r="G68" s="104">
        <f t="shared" si="13"/>
        <v>343332.88</v>
      </c>
    </row>
    <row r="69" spans="1:7" x14ac:dyDescent="0.25">
      <c r="A69" s="36">
        <v>44589</v>
      </c>
      <c r="B69" s="1">
        <f t="shared" ref="B69:B70" si="17">_xlfn.DAYS(A69,A68)</f>
        <v>31</v>
      </c>
      <c r="C69" s="14">
        <f t="shared" si="16"/>
        <v>15000</v>
      </c>
      <c r="D69" s="95">
        <f t="shared" si="9"/>
        <v>9168.0400000000009</v>
      </c>
      <c r="E69" s="96">
        <f t="shared" si="10"/>
        <v>5831.96</v>
      </c>
      <c r="F69" s="14">
        <f t="shared" si="15"/>
        <v>343332.88</v>
      </c>
      <c r="G69" s="104">
        <f t="shared" si="13"/>
        <v>334164.84000000003</v>
      </c>
    </row>
    <row r="70" spans="1:7" x14ac:dyDescent="0.25">
      <c r="A70" s="36">
        <v>44620</v>
      </c>
      <c r="B70" s="1">
        <f t="shared" si="17"/>
        <v>31</v>
      </c>
      <c r="C70" s="14">
        <f t="shared" si="16"/>
        <v>15000</v>
      </c>
      <c r="D70" s="95">
        <f t="shared" si="9"/>
        <v>9323.7799999999988</v>
      </c>
      <c r="E70" s="96">
        <f t="shared" si="10"/>
        <v>5676.22</v>
      </c>
      <c r="F70" s="14">
        <f t="shared" si="15"/>
        <v>334164.84000000003</v>
      </c>
      <c r="G70" s="104">
        <f t="shared" si="13"/>
        <v>324841.06000000006</v>
      </c>
    </row>
    <row r="71" spans="1:7" x14ac:dyDescent="0.25">
      <c r="A71" s="36">
        <v>44648</v>
      </c>
      <c r="B71" s="1">
        <f t="shared" ref="B71:B74" si="18">_xlfn.DAYS(A71,A70)</f>
        <v>28</v>
      </c>
      <c r="C71" s="14">
        <f t="shared" si="16"/>
        <v>15000</v>
      </c>
      <c r="D71" s="95">
        <f t="shared" ref="D71:D74" si="19">C71-E71</f>
        <v>10016.14</v>
      </c>
      <c r="E71" s="96">
        <f t="shared" ref="E71:E74" si="20">ROUND(F71*$J$1*B71/365,2)</f>
        <v>4983.8599999999997</v>
      </c>
      <c r="F71" s="14">
        <f t="shared" ref="F71:F74" si="21">G70</f>
        <v>324841.06000000006</v>
      </c>
      <c r="G71" s="104">
        <f t="shared" ref="G71:G74" si="22">F71-D71</f>
        <v>314824.92000000004</v>
      </c>
    </row>
    <row r="72" spans="1:7" x14ac:dyDescent="0.25">
      <c r="A72" s="36">
        <v>44679</v>
      </c>
      <c r="B72" s="1">
        <f t="shared" si="18"/>
        <v>31</v>
      </c>
      <c r="C72" s="14">
        <f t="shared" si="16"/>
        <v>15000</v>
      </c>
      <c r="D72" s="95">
        <f t="shared" si="19"/>
        <v>9652.2900000000009</v>
      </c>
      <c r="E72" s="96">
        <f t="shared" si="20"/>
        <v>5347.71</v>
      </c>
      <c r="F72" s="14">
        <f t="shared" si="21"/>
        <v>314824.92000000004</v>
      </c>
      <c r="G72" s="104">
        <f t="shared" si="22"/>
        <v>305172.63000000006</v>
      </c>
    </row>
    <row r="73" spans="1:7" x14ac:dyDescent="0.25">
      <c r="A73" s="36">
        <v>44709</v>
      </c>
      <c r="B73" s="1">
        <f t="shared" si="18"/>
        <v>30</v>
      </c>
      <c r="C73" s="14">
        <f t="shared" si="16"/>
        <v>15000</v>
      </c>
      <c r="D73" s="95">
        <f t="shared" si="19"/>
        <v>9983.4599999999991</v>
      </c>
      <c r="E73" s="96">
        <f t="shared" si="20"/>
        <v>5016.54</v>
      </c>
      <c r="F73" s="14">
        <f t="shared" si="21"/>
        <v>305172.63000000006</v>
      </c>
      <c r="G73" s="104">
        <f t="shared" si="22"/>
        <v>295189.17000000004</v>
      </c>
    </row>
    <row r="74" spans="1:7" x14ac:dyDescent="0.25">
      <c r="A74" s="36">
        <v>44740</v>
      </c>
      <c r="B74" s="1">
        <f t="shared" si="18"/>
        <v>31</v>
      </c>
      <c r="C74" s="14">
        <f>$J$2</f>
        <v>35614</v>
      </c>
      <c r="D74" s="95">
        <f t="shared" si="19"/>
        <v>30599.83</v>
      </c>
      <c r="E74" s="96">
        <f t="shared" si="20"/>
        <v>5014.17</v>
      </c>
      <c r="F74" s="14">
        <f t="shared" si="21"/>
        <v>295189.17000000004</v>
      </c>
      <c r="G74" s="104">
        <f t="shared" si="22"/>
        <v>264589.34000000003</v>
      </c>
    </row>
    <row r="75" spans="1:7" x14ac:dyDescent="0.25">
      <c r="A75" s="36">
        <v>44770</v>
      </c>
      <c r="B75" s="1">
        <f t="shared" ref="B75:B80" si="23">_xlfn.DAYS(A75,A74)</f>
        <v>30</v>
      </c>
      <c r="C75" s="14">
        <f t="shared" ref="C75:C82" si="24">$J$2</f>
        <v>35614</v>
      </c>
      <c r="D75" s="95">
        <f t="shared" ref="D75:D80" si="25">C75-E75</f>
        <v>31264.59</v>
      </c>
      <c r="E75" s="96">
        <f t="shared" ref="E75:E80" si="26">ROUND(F75*$J$1*B75/365,2)</f>
        <v>4349.41</v>
      </c>
      <c r="F75" s="14">
        <f t="shared" ref="F75:F80" si="27">G74</f>
        <v>264589.34000000003</v>
      </c>
      <c r="G75" s="104">
        <f t="shared" ref="G75:G80" si="28">F75-D75</f>
        <v>233324.75000000003</v>
      </c>
    </row>
    <row r="76" spans="1:7" x14ac:dyDescent="0.25">
      <c r="A76" s="36">
        <v>44801</v>
      </c>
      <c r="B76" s="1">
        <f t="shared" si="23"/>
        <v>31</v>
      </c>
      <c r="C76" s="14">
        <f t="shared" si="24"/>
        <v>35614</v>
      </c>
      <c r="D76" s="95">
        <f t="shared" si="25"/>
        <v>31650.68</v>
      </c>
      <c r="E76" s="96">
        <f t="shared" si="26"/>
        <v>3963.32</v>
      </c>
      <c r="F76" s="14">
        <f t="shared" si="27"/>
        <v>233324.75000000003</v>
      </c>
      <c r="G76" s="104">
        <f t="shared" si="28"/>
        <v>201674.07000000004</v>
      </c>
    </row>
    <row r="77" spans="1:7" x14ac:dyDescent="0.25">
      <c r="A77" s="36">
        <v>44832</v>
      </c>
      <c r="B77" s="1">
        <f t="shared" si="23"/>
        <v>31</v>
      </c>
      <c r="C77" s="14">
        <f t="shared" si="24"/>
        <v>35614</v>
      </c>
      <c r="D77" s="95">
        <f t="shared" si="25"/>
        <v>32188.3</v>
      </c>
      <c r="E77" s="96">
        <f t="shared" si="26"/>
        <v>3425.7</v>
      </c>
      <c r="F77" s="14">
        <f t="shared" si="27"/>
        <v>201674.07000000004</v>
      </c>
      <c r="G77" s="104">
        <f t="shared" si="28"/>
        <v>169485.77000000005</v>
      </c>
    </row>
    <row r="78" spans="1:7" x14ac:dyDescent="0.25">
      <c r="A78" s="36">
        <v>44862</v>
      </c>
      <c r="B78" s="1">
        <f t="shared" si="23"/>
        <v>30</v>
      </c>
      <c r="C78" s="14">
        <f t="shared" si="24"/>
        <v>35614</v>
      </c>
      <c r="D78" s="95">
        <f t="shared" si="25"/>
        <v>32827.93</v>
      </c>
      <c r="E78" s="96">
        <f t="shared" si="26"/>
        <v>2786.07</v>
      </c>
      <c r="F78" s="14">
        <f t="shared" si="27"/>
        <v>169485.77000000005</v>
      </c>
      <c r="G78" s="104">
        <f t="shared" si="28"/>
        <v>136657.84000000005</v>
      </c>
    </row>
    <row r="79" spans="1:7" x14ac:dyDescent="0.25">
      <c r="A79" s="36">
        <v>44893</v>
      </c>
      <c r="B79" s="1">
        <f t="shared" si="23"/>
        <v>31</v>
      </c>
      <c r="C79" s="14">
        <f t="shared" si="24"/>
        <v>35614</v>
      </c>
      <c r="D79" s="95">
        <f t="shared" si="25"/>
        <v>33292.69</v>
      </c>
      <c r="E79" s="96">
        <f t="shared" si="26"/>
        <v>2321.31</v>
      </c>
      <c r="F79" s="14">
        <f t="shared" si="27"/>
        <v>136657.84000000005</v>
      </c>
      <c r="G79" s="104">
        <f t="shared" si="28"/>
        <v>103365.15000000005</v>
      </c>
    </row>
    <row r="80" spans="1:7" x14ac:dyDescent="0.25">
      <c r="A80" s="36">
        <v>44923</v>
      </c>
      <c r="B80" s="1">
        <f t="shared" si="23"/>
        <v>30</v>
      </c>
      <c r="C80" s="14">
        <f t="shared" si="24"/>
        <v>35614</v>
      </c>
      <c r="D80" s="95">
        <f t="shared" si="25"/>
        <v>33914.85</v>
      </c>
      <c r="E80" s="96">
        <f t="shared" si="26"/>
        <v>1699.15</v>
      </c>
      <c r="F80" s="14">
        <f t="shared" si="27"/>
        <v>103365.15000000005</v>
      </c>
      <c r="G80" s="104">
        <f t="shared" si="28"/>
        <v>69450.300000000047</v>
      </c>
    </row>
    <row r="81" spans="1:7" x14ac:dyDescent="0.25">
      <c r="A81" s="36">
        <v>44954</v>
      </c>
      <c r="B81" s="1">
        <f t="shared" ref="B81:B82" si="29">_xlfn.DAYS(A81,A80)</f>
        <v>31</v>
      </c>
      <c r="C81" s="14">
        <f t="shared" si="24"/>
        <v>35614</v>
      </c>
      <c r="D81" s="95">
        <f t="shared" ref="D81:D82" si="30">C81-E81</f>
        <v>34434.300000000003</v>
      </c>
      <c r="E81" s="96">
        <f t="shared" ref="E81" si="31">ROUND(F81*$J$1*B81/365,2)</f>
        <v>1179.7</v>
      </c>
      <c r="F81" s="14">
        <f t="shared" ref="F81:F82" si="32">G80</f>
        <v>69450.300000000047</v>
      </c>
      <c r="G81" s="104">
        <f t="shared" ref="G81:G82" si="33">F81-D81</f>
        <v>35016.000000000044</v>
      </c>
    </row>
    <row r="82" spans="1:7" x14ac:dyDescent="0.25">
      <c r="A82" s="36">
        <v>44985</v>
      </c>
      <c r="B82" s="1">
        <f t="shared" si="29"/>
        <v>31</v>
      </c>
      <c r="C82" s="14">
        <f t="shared" si="24"/>
        <v>35614</v>
      </c>
      <c r="D82" s="95">
        <f t="shared" si="30"/>
        <v>35016.000000000044</v>
      </c>
      <c r="E82" s="96">
        <v>597.99999999995543</v>
      </c>
      <c r="F82" s="14">
        <f t="shared" si="32"/>
        <v>35016.000000000044</v>
      </c>
      <c r="G82" s="104">
        <f t="shared" si="33"/>
        <v>0</v>
      </c>
    </row>
  </sheetData>
  <pageMargins left="0.7" right="0.7" top="0.75" bottom="0.75" header="0.3" footer="0.3"/>
  <pageSetup orientation="portrait" r:id="rId1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B81C6-BA46-4E4C-BA06-1E16644B7157}">
  <dimension ref="A1:P82"/>
  <sheetViews>
    <sheetView workbookViewId="0">
      <pane ySplit="3" topLeftCell="A73" activePane="bottomLeft" state="frozen"/>
      <selection activeCell="N2" sqref="N2"/>
      <selection pane="bottomLeft" activeCell="E83" sqref="E83"/>
    </sheetView>
  </sheetViews>
  <sheetFormatPr defaultRowHeight="15" x14ac:dyDescent="0.25"/>
  <cols>
    <col min="1" max="1" width="15.140625" bestFit="1" customWidth="1"/>
    <col min="2" max="2" width="12.28515625" bestFit="1" customWidth="1"/>
    <col min="3" max="3" width="23" bestFit="1" customWidth="1"/>
    <col min="4" max="4" width="11.85546875" bestFit="1" customWidth="1"/>
    <col min="5" max="5" width="16.5703125" bestFit="1" customWidth="1"/>
    <col min="6" max="6" width="15.28515625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8.5703125" bestFit="1" customWidth="1"/>
    <col min="11" max="11" width="16.5703125" bestFit="1" customWidth="1"/>
    <col min="12" max="12" width="9.7109375" bestFit="1" customWidth="1"/>
    <col min="13" max="13" width="15.7109375" bestFit="1" customWidth="1"/>
    <col min="14" max="14" width="6" bestFit="1" customWidth="1"/>
    <col min="15" max="15" width="14.5703125" bestFit="1" customWidth="1"/>
    <col min="16" max="16" width="6" bestFit="1" customWidth="1"/>
  </cols>
  <sheetData>
    <row r="1" spans="1:16" x14ac:dyDescent="0.25">
      <c r="A1" s="17" t="s">
        <v>33</v>
      </c>
      <c r="B1" s="22">
        <v>43524</v>
      </c>
      <c r="C1" s="15" t="s">
        <v>37</v>
      </c>
      <c r="D1" s="37">
        <f>ROUNDUP(34665.227157969,0)</f>
        <v>34666</v>
      </c>
      <c r="E1" s="73" t="s">
        <v>147</v>
      </c>
      <c r="F1" s="74">
        <v>43705</v>
      </c>
      <c r="G1" s="73" t="s">
        <v>150</v>
      </c>
      <c r="H1" s="79">
        <f>ROUNDUP(36779.8746666667,0)</f>
        <v>36780</v>
      </c>
      <c r="I1" s="73" t="s">
        <v>175</v>
      </c>
      <c r="J1" s="87">
        <v>0.2</v>
      </c>
      <c r="K1" s="73" t="s">
        <v>148</v>
      </c>
      <c r="L1" s="74">
        <v>43889</v>
      </c>
      <c r="M1" s="73" t="s">
        <v>149</v>
      </c>
      <c r="N1" s="69">
        <f>ROUNDUP(34235.0846666667,0)</f>
        <v>34236</v>
      </c>
      <c r="O1" s="73" t="s">
        <v>176</v>
      </c>
      <c r="P1" s="88">
        <v>50000</v>
      </c>
    </row>
    <row r="2" spans="1:16" x14ac:dyDescent="0.25">
      <c r="A2" s="17" t="s">
        <v>34</v>
      </c>
      <c r="B2" s="18">
        <v>0.15</v>
      </c>
      <c r="C2" s="73" t="s">
        <v>125</v>
      </c>
      <c r="D2" s="74">
        <v>44163</v>
      </c>
      <c r="E2" s="73" t="s">
        <v>177</v>
      </c>
      <c r="F2" s="69">
        <v>15000</v>
      </c>
      <c r="G2" s="73" t="s">
        <v>173</v>
      </c>
      <c r="H2" s="74">
        <v>44709</v>
      </c>
      <c r="I2" s="73" t="s">
        <v>174</v>
      </c>
      <c r="J2" s="89">
        <f>ROUNDUP(35628.7388521395,0)</f>
        <v>35629</v>
      </c>
      <c r="K2" s="73" t="s">
        <v>178</v>
      </c>
      <c r="L2" s="88">
        <v>48</v>
      </c>
    </row>
    <row r="3" spans="1:16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6" x14ac:dyDescent="0.25">
      <c r="A4" s="36">
        <v>43552</v>
      </c>
      <c r="B4" s="1">
        <f>DAYS360(B1,A4,TRUE)</f>
        <v>30</v>
      </c>
      <c r="C4" s="14">
        <f t="shared" ref="C4:C40" si="0">$D$1</f>
        <v>34666</v>
      </c>
      <c r="D4" s="95">
        <f t="shared" ref="D4:D41" si="1">C4-E4</f>
        <v>22166</v>
      </c>
      <c r="E4" s="96">
        <f>ROUND(F4*$B$2*B4/360,2)</f>
        <v>12500</v>
      </c>
      <c r="F4" s="14">
        <v>1000000</v>
      </c>
      <c r="G4" s="14">
        <f t="shared" ref="G4:G41" si="2">F4-D4</f>
        <v>977834</v>
      </c>
      <c r="H4" s="14">
        <f>F4*$B$2*B4/360</f>
        <v>12500</v>
      </c>
      <c r="I4" s="16">
        <f t="shared" ref="I4:I39" si="3">H4-E4</f>
        <v>0</v>
      </c>
    </row>
    <row r="5" spans="1:16" x14ac:dyDescent="0.25">
      <c r="A5" s="36">
        <v>43583</v>
      </c>
      <c r="B5" s="1">
        <f>DAYS360(A4,A5,TRUE)</f>
        <v>30</v>
      </c>
      <c r="C5" s="14">
        <f t="shared" si="0"/>
        <v>34666</v>
      </c>
      <c r="D5" s="95">
        <f t="shared" si="1"/>
        <v>22443.07</v>
      </c>
      <c r="E5" s="96">
        <f t="shared" ref="E5:E38" si="4">ROUND(F5*$B$2*B5/360,2)</f>
        <v>12222.93</v>
      </c>
      <c r="F5" s="14">
        <f t="shared" ref="F5:F38" si="5">G4</f>
        <v>977834</v>
      </c>
      <c r="G5" s="14">
        <f t="shared" si="2"/>
        <v>955390.93</v>
      </c>
      <c r="H5" s="14">
        <f t="shared" ref="H5:H38" si="6">F5*$B$2*B5/360</f>
        <v>12222.924999999999</v>
      </c>
      <c r="I5" s="16">
        <f t="shared" si="3"/>
        <v>-5.0000000010186341E-3</v>
      </c>
    </row>
    <row r="6" spans="1:16" x14ac:dyDescent="0.25">
      <c r="A6" s="36">
        <v>43613</v>
      </c>
      <c r="B6" s="1">
        <f t="shared" ref="B6:B69" si="7">DAYS360(A5,A6,TRUE)</f>
        <v>30</v>
      </c>
      <c r="C6" s="14">
        <f t="shared" si="0"/>
        <v>34666</v>
      </c>
      <c r="D6" s="95">
        <f t="shared" si="1"/>
        <v>22723.61</v>
      </c>
      <c r="E6" s="96">
        <f t="shared" si="4"/>
        <v>11942.39</v>
      </c>
      <c r="F6" s="14">
        <f t="shared" si="5"/>
        <v>955390.93</v>
      </c>
      <c r="G6" s="14">
        <f t="shared" si="2"/>
        <v>932667.32000000007</v>
      </c>
      <c r="H6" s="14">
        <f t="shared" si="6"/>
        <v>11942.386624999999</v>
      </c>
      <c r="I6" s="16">
        <f t="shared" si="3"/>
        <v>-3.3750000002328306E-3</v>
      </c>
    </row>
    <row r="7" spans="1:16" x14ac:dyDescent="0.25">
      <c r="A7" s="36">
        <v>43644</v>
      </c>
      <c r="B7" s="1">
        <f t="shared" si="7"/>
        <v>30</v>
      </c>
      <c r="C7" s="14">
        <f t="shared" si="0"/>
        <v>34666</v>
      </c>
      <c r="D7" s="95">
        <f t="shared" si="1"/>
        <v>23007.66</v>
      </c>
      <c r="E7" s="96">
        <f t="shared" si="4"/>
        <v>11658.34</v>
      </c>
      <c r="F7" s="14">
        <f t="shared" si="5"/>
        <v>932667.32000000007</v>
      </c>
      <c r="G7" s="14">
        <f t="shared" si="2"/>
        <v>909659.66</v>
      </c>
      <c r="H7" s="14">
        <f t="shared" si="6"/>
        <v>11658.341499999999</v>
      </c>
      <c r="I7" s="16">
        <f t="shared" si="3"/>
        <v>1.4999999984866008E-3</v>
      </c>
    </row>
    <row r="8" spans="1:16" x14ac:dyDescent="0.25">
      <c r="A8" s="36">
        <v>43674</v>
      </c>
      <c r="B8" s="1">
        <f t="shared" si="7"/>
        <v>30</v>
      </c>
      <c r="C8" s="14">
        <f t="shared" si="0"/>
        <v>34666</v>
      </c>
      <c r="D8" s="95">
        <f t="shared" si="1"/>
        <v>23295.25</v>
      </c>
      <c r="E8" s="96">
        <f t="shared" si="4"/>
        <v>11370.75</v>
      </c>
      <c r="F8" s="14">
        <f t="shared" si="5"/>
        <v>909659.66</v>
      </c>
      <c r="G8" s="14">
        <f t="shared" si="2"/>
        <v>886364.41</v>
      </c>
      <c r="H8" s="14">
        <f t="shared" si="6"/>
        <v>11370.74575</v>
      </c>
      <c r="I8" s="16">
        <f t="shared" si="3"/>
        <v>-4.2499999999563443E-3</v>
      </c>
    </row>
    <row r="9" spans="1:16" x14ac:dyDescent="0.25">
      <c r="A9" s="36">
        <v>43705</v>
      </c>
      <c r="B9" s="1">
        <f t="shared" si="7"/>
        <v>30</v>
      </c>
      <c r="C9" s="14">
        <f t="shared" si="0"/>
        <v>34666</v>
      </c>
      <c r="D9" s="95">
        <f t="shared" si="1"/>
        <v>23586.440000000002</v>
      </c>
      <c r="E9" s="96">
        <f t="shared" si="4"/>
        <v>11079.56</v>
      </c>
      <c r="F9" s="14">
        <f t="shared" si="5"/>
        <v>886364.41</v>
      </c>
      <c r="G9" s="14">
        <f t="shared" si="2"/>
        <v>862777.97</v>
      </c>
      <c r="H9" s="14">
        <f t="shared" si="6"/>
        <v>11079.555124999999</v>
      </c>
      <c r="I9" s="16">
        <f t="shared" si="3"/>
        <v>-4.8750000005384209E-3</v>
      </c>
    </row>
    <row r="10" spans="1:16" x14ac:dyDescent="0.25">
      <c r="A10" s="36">
        <v>43736</v>
      </c>
      <c r="B10" s="1">
        <f t="shared" si="7"/>
        <v>30</v>
      </c>
      <c r="C10" s="14">
        <f t="shared" si="0"/>
        <v>34666</v>
      </c>
      <c r="D10" s="95">
        <f t="shared" si="1"/>
        <v>23881.279999999999</v>
      </c>
      <c r="E10" s="96">
        <f t="shared" si="4"/>
        <v>10784.72</v>
      </c>
      <c r="F10" s="14">
        <f t="shared" si="5"/>
        <v>862777.97</v>
      </c>
      <c r="G10" s="14">
        <f t="shared" si="2"/>
        <v>838896.69</v>
      </c>
      <c r="H10" s="14">
        <f t="shared" si="6"/>
        <v>10784.724624999999</v>
      </c>
      <c r="I10" s="16">
        <f t="shared" si="3"/>
        <v>4.6249999995779945E-3</v>
      </c>
    </row>
    <row r="11" spans="1:16" x14ac:dyDescent="0.25">
      <c r="A11" s="36">
        <v>43766</v>
      </c>
      <c r="B11" s="1">
        <f t="shared" si="7"/>
        <v>30</v>
      </c>
      <c r="C11" s="14">
        <f t="shared" si="0"/>
        <v>34666</v>
      </c>
      <c r="D11" s="95">
        <f t="shared" si="1"/>
        <v>24179.79</v>
      </c>
      <c r="E11" s="96">
        <f t="shared" si="4"/>
        <v>10486.21</v>
      </c>
      <c r="F11" s="14">
        <f t="shared" si="5"/>
        <v>838896.69</v>
      </c>
      <c r="G11" s="14">
        <f t="shared" si="2"/>
        <v>814716.89999999991</v>
      </c>
      <c r="H11" s="14">
        <f t="shared" si="6"/>
        <v>10486.208624999999</v>
      </c>
      <c r="I11" s="16">
        <f t="shared" si="3"/>
        <v>-1.374999999825377E-3</v>
      </c>
    </row>
    <row r="12" spans="1:16" x14ac:dyDescent="0.25">
      <c r="A12" s="36">
        <v>43797</v>
      </c>
      <c r="B12" s="1">
        <f t="shared" si="7"/>
        <v>30</v>
      </c>
      <c r="C12" s="14">
        <f t="shared" si="0"/>
        <v>34666</v>
      </c>
      <c r="D12" s="95">
        <f t="shared" si="1"/>
        <v>24482.04</v>
      </c>
      <c r="E12" s="96">
        <f t="shared" si="4"/>
        <v>10183.959999999999</v>
      </c>
      <c r="F12" s="14">
        <f t="shared" si="5"/>
        <v>814716.89999999991</v>
      </c>
      <c r="G12" s="14">
        <f t="shared" si="2"/>
        <v>790234.85999999987</v>
      </c>
      <c r="H12" s="14">
        <f t="shared" si="6"/>
        <v>10183.961249999998</v>
      </c>
      <c r="I12" s="16">
        <f t="shared" si="3"/>
        <v>1.2499999993451638E-3</v>
      </c>
    </row>
    <row r="13" spans="1:16" x14ac:dyDescent="0.25">
      <c r="A13" s="36">
        <v>43827</v>
      </c>
      <c r="B13" s="1">
        <f t="shared" si="7"/>
        <v>30</v>
      </c>
      <c r="C13" s="14">
        <f t="shared" si="0"/>
        <v>34666</v>
      </c>
      <c r="D13" s="95">
        <f t="shared" si="1"/>
        <v>24788.059999999998</v>
      </c>
      <c r="E13" s="96">
        <f t="shared" si="4"/>
        <v>9877.94</v>
      </c>
      <c r="F13" s="14">
        <f t="shared" si="5"/>
        <v>790234.85999999987</v>
      </c>
      <c r="G13" s="14">
        <f t="shared" si="2"/>
        <v>765446.79999999981</v>
      </c>
      <c r="H13" s="14">
        <f t="shared" si="6"/>
        <v>9877.9357499999969</v>
      </c>
      <c r="I13" s="16">
        <f t="shared" si="3"/>
        <v>-4.2500000035943231E-3</v>
      </c>
    </row>
    <row r="14" spans="1:16" x14ac:dyDescent="0.25">
      <c r="A14" s="36">
        <v>43858</v>
      </c>
      <c r="B14" s="1">
        <f t="shared" si="7"/>
        <v>30</v>
      </c>
      <c r="C14" s="14">
        <f t="shared" si="0"/>
        <v>34666</v>
      </c>
      <c r="D14" s="95">
        <f t="shared" si="1"/>
        <v>25097.91</v>
      </c>
      <c r="E14" s="96">
        <f t="shared" si="4"/>
        <v>9568.09</v>
      </c>
      <c r="F14" s="14">
        <f t="shared" si="5"/>
        <v>765446.79999999981</v>
      </c>
      <c r="G14" s="14">
        <f t="shared" si="2"/>
        <v>740348.88999999978</v>
      </c>
      <c r="H14" s="14">
        <f t="shared" si="6"/>
        <v>9568.0849999999973</v>
      </c>
      <c r="I14" s="16">
        <f t="shared" si="3"/>
        <v>-5.0000000028376235E-3</v>
      </c>
    </row>
    <row r="15" spans="1:16" x14ac:dyDescent="0.25">
      <c r="A15" s="36">
        <v>43889</v>
      </c>
      <c r="B15" s="1">
        <f t="shared" si="7"/>
        <v>30</v>
      </c>
      <c r="C15" s="14">
        <f t="shared" si="0"/>
        <v>34666</v>
      </c>
      <c r="D15" s="95">
        <f t="shared" si="1"/>
        <v>25411.64</v>
      </c>
      <c r="E15" s="96">
        <f t="shared" si="4"/>
        <v>9254.36</v>
      </c>
      <c r="F15" s="14">
        <f t="shared" si="5"/>
        <v>740348.88999999978</v>
      </c>
      <c r="G15" s="14">
        <f t="shared" si="2"/>
        <v>714937.24999999977</v>
      </c>
      <c r="H15" s="14">
        <f t="shared" si="6"/>
        <v>9254.3611249999976</v>
      </c>
      <c r="I15" s="16">
        <f t="shared" si="3"/>
        <v>1.1249999970459612E-3</v>
      </c>
    </row>
    <row r="16" spans="1:16" x14ac:dyDescent="0.25">
      <c r="A16" s="36">
        <v>43918</v>
      </c>
      <c r="B16" s="1">
        <f t="shared" si="7"/>
        <v>30</v>
      </c>
      <c r="C16" s="14">
        <f t="shared" si="0"/>
        <v>34666</v>
      </c>
      <c r="D16" s="95">
        <f t="shared" si="1"/>
        <v>25729.279999999999</v>
      </c>
      <c r="E16" s="96">
        <f t="shared" si="4"/>
        <v>8936.7199999999993</v>
      </c>
      <c r="F16" s="14">
        <f t="shared" si="5"/>
        <v>714937.24999999977</v>
      </c>
      <c r="G16" s="14">
        <f t="shared" si="2"/>
        <v>689207.96999999974</v>
      </c>
      <c r="H16" s="14">
        <f t="shared" si="6"/>
        <v>8936.7156249999971</v>
      </c>
      <c r="I16" s="16">
        <f t="shared" si="3"/>
        <v>-4.3750000022555469E-3</v>
      </c>
    </row>
    <row r="17" spans="1:9" x14ac:dyDescent="0.25">
      <c r="A17" s="36">
        <v>43949</v>
      </c>
      <c r="B17" s="1">
        <f t="shared" si="7"/>
        <v>30</v>
      </c>
      <c r="C17" s="14">
        <f t="shared" si="0"/>
        <v>34666</v>
      </c>
      <c r="D17" s="95">
        <f t="shared" si="1"/>
        <v>26050.9</v>
      </c>
      <c r="E17" s="96">
        <f t="shared" si="4"/>
        <v>8615.1</v>
      </c>
      <c r="F17" s="14">
        <f t="shared" si="5"/>
        <v>689207.96999999974</v>
      </c>
      <c r="G17" s="14">
        <f t="shared" si="2"/>
        <v>663157.06999999972</v>
      </c>
      <c r="H17" s="14">
        <f t="shared" si="6"/>
        <v>8615.0996249999971</v>
      </c>
      <c r="I17" s="16">
        <f t="shared" si="3"/>
        <v>-3.7500000325962901E-4</v>
      </c>
    </row>
    <row r="18" spans="1:9" x14ac:dyDescent="0.25">
      <c r="A18" s="36">
        <v>43979</v>
      </c>
      <c r="B18" s="1">
        <f t="shared" si="7"/>
        <v>30</v>
      </c>
      <c r="C18" s="14">
        <f t="shared" si="0"/>
        <v>34666</v>
      </c>
      <c r="D18" s="95">
        <f t="shared" si="1"/>
        <v>26376.54</v>
      </c>
      <c r="E18" s="96">
        <f t="shared" si="4"/>
        <v>8289.4599999999991</v>
      </c>
      <c r="F18" s="14">
        <f t="shared" si="5"/>
        <v>663157.06999999972</v>
      </c>
      <c r="G18" s="14">
        <f t="shared" si="2"/>
        <v>636780.52999999968</v>
      </c>
      <c r="H18" s="14">
        <f t="shared" si="6"/>
        <v>8289.4633749999957</v>
      </c>
      <c r="I18" s="16">
        <f t="shared" si="3"/>
        <v>3.3749999965948518E-3</v>
      </c>
    </row>
    <row r="19" spans="1:9" x14ac:dyDescent="0.25">
      <c r="A19" s="36">
        <v>44010</v>
      </c>
      <c r="B19" s="1">
        <f t="shared" si="7"/>
        <v>30</v>
      </c>
      <c r="C19" s="14">
        <f t="shared" si="0"/>
        <v>34666</v>
      </c>
      <c r="D19" s="95">
        <f t="shared" si="1"/>
        <v>26706.239999999998</v>
      </c>
      <c r="E19" s="96">
        <f t="shared" si="4"/>
        <v>7959.76</v>
      </c>
      <c r="F19" s="14">
        <f t="shared" si="5"/>
        <v>636780.52999999968</v>
      </c>
      <c r="G19" s="14">
        <f t="shared" si="2"/>
        <v>610074.28999999969</v>
      </c>
      <c r="H19" s="14">
        <f t="shared" si="6"/>
        <v>7959.7566249999954</v>
      </c>
      <c r="I19" s="16">
        <f t="shared" si="3"/>
        <v>-3.3750000047803042E-3</v>
      </c>
    </row>
    <row r="20" spans="1:9" x14ac:dyDescent="0.25">
      <c r="A20" s="36">
        <v>44040</v>
      </c>
      <c r="B20" s="1">
        <f t="shared" si="7"/>
        <v>30</v>
      </c>
      <c r="C20" s="14">
        <f t="shared" si="0"/>
        <v>34666</v>
      </c>
      <c r="D20" s="95">
        <f t="shared" si="1"/>
        <v>27040.07</v>
      </c>
      <c r="E20" s="96">
        <f t="shared" si="4"/>
        <v>7625.93</v>
      </c>
      <c r="F20" s="14">
        <f t="shared" si="5"/>
        <v>610074.28999999969</v>
      </c>
      <c r="G20" s="14">
        <f t="shared" si="2"/>
        <v>583034.21999999974</v>
      </c>
      <c r="H20" s="14">
        <f t="shared" si="6"/>
        <v>7625.928624999995</v>
      </c>
      <c r="I20" s="16">
        <f t="shared" si="3"/>
        <v>-1.3750000052823452E-3</v>
      </c>
    </row>
    <row r="21" spans="1:9" x14ac:dyDescent="0.25">
      <c r="A21" s="36">
        <v>44071</v>
      </c>
      <c r="B21" s="1">
        <f t="shared" si="7"/>
        <v>30</v>
      </c>
      <c r="C21" s="14">
        <f t="shared" si="0"/>
        <v>34666</v>
      </c>
      <c r="D21" s="95">
        <f t="shared" si="1"/>
        <v>27378.07</v>
      </c>
      <c r="E21" s="96">
        <f t="shared" si="4"/>
        <v>7287.93</v>
      </c>
      <c r="F21" s="14">
        <f t="shared" si="5"/>
        <v>583034.21999999974</v>
      </c>
      <c r="G21" s="14">
        <f t="shared" si="2"/>
        <v>555656.14999999979</v>
      </c>
      <c r="H21" s="14">
        <f t="shared" si="6"/>
        <v>7287.9277499999971</v>
      </c>
      <c r="I21" s="16">
        <f t="shared" si="3"/>
        <v>-2.2500000031868694E-3</v>
      </c>
    </row>
    <row r="22" spans="1:9" x14ac:dyDescent="0.25">
      <c r="A22" s="36">
        <v>44102</v>
      </c>
      <c r="B22" s="1">
        <f t="shared" si="7"/>
        <v>30</v>
      </c>
      <c r="C22" s="14">
        <f t="shared" si="0"/>
        <v>34666</v>
      </c>
      <c r="D22" s="95">
        <f t="shared" si="1"/>
        <v>27720.3</v>
      </c>
      <c r="E22" s="96">
        <f t="shared" si="4"/>
        <v>6945.7</v>
      </c>
      <c r="F22" s="14">
        <f t="shared" si="5"/>
        <v>555656.14999999979</v>
      </c>
      <c r="G22" s="14">
        <f t="shared" si="2"/>
        <v>527935.84999999974</v>
      </c>
      <c r="H22" s="14">
        <f t="shared" si="6"/>
        <v>6945.7018749999979</v>
      </c>
      <c r="I22" s="16">
        <f t="shared" si="3"/>
        <v>1.874999998108251E-3</v>
      </c>
    </row>
    <row r="23" spans="1:9" x14ac:dyDescent="0.25">
      <c r="A23" s="36">
        <v>44132</v>
      </c>
      <c r="B23" s="1">
        <f t="shared" si="7"/>
        <v>30</v>
      </c>
      <c r="C23" s="14">
        <f t="shared" si="0"/>
        <v>34666</v>
      </c>
      <c r="D23" s="95">
        <f t="shared" si="1"/>
        <v>28066.799999999999</v>
      </c>
      <c r="E23" s="96">
        <f t="shared" si="4"/>
        <v>6599.2</v>
      </c>
      <c r="F23" s="14">
        <f t="shared" si="5"/>
        <v>527935.84999999974</v>
      </c>
      <c r="G23" s="14">
        <f t="shared" si="2"/>
        <v>499869.04999999976</v>
      </c>
      <c r="H23" s="14">
        <f t="shared" si="6"/>
        <v>6599.1981249999963</v>
      </c>
      <c r="I23" s="16">
        <f t="shared" si="3"/>
        <v>-1.8750000035652192E-3</v>
      </c>
    </row>
    <row r="24" spans="1:9" x14ac:dyDescent="0.25">
      <c r="A24" s="36">
        <v>44163</v>
      </c>
      <c r="B24" s="1">
        <f t="shared" si="7"/>
        <v>30</v>
      </c>
      <c r="C24" s="14">
        <f t="shared" si="0"/>
        <v>34666</v>
      </c>
      <c r="D24" s="95">
        <f t="shared" si="1"/>
        <v>28417.64</v>
      </c>
      <c r="E24" s="96">
        <f t="shared" si="4"/>
        <v>6248.36</v>
      </c>
      <c r="F24" s="14">
        <f t="shared" si="5"/>
        <v>499869.04999999976</v>
      </c>
      <c r="G24" s="14">
        <f t="shared" si="2"/>
        <v>471451.40999999974</v>
      </c>
      <c r="H24" s="14">
        <f t="shared" si="6"/>
        <v>6248.3631249999962</v>
      </c>
      <c r="I24" s="16">
        <f t="shared" si="3"/>
        <v>3.1249999965439201E-3</v>
      </c>
    </row>
    <row r="25" spans="1:9" x14ac:dyDescent="0.25">
      <c r="A25" s="36">
        <v>44193</v>
      </c>
      <c r="B25" s="1">
        <f t="shared" si="7"/>
        <v>30</v>
      </c>
      <c r="C25" s="14">
        <f t="shared" si="0"/>
        <v>34666</v>
      </c>
      <c r="D25" s="95">
        <f t="shared" si="1"/>
        <v>28772.86</v>
      </c>
      <c r="E25" s="96">
        <f t="shared" si="4"/>
        <v>5893.14</v>
      </c>
      <c r="F25" s="14">
        <f t="shared" si="5"/>
        <v>471451.40999999974</v>
      </c>
      <c r="G25" s="14">
        <f t="shared" si="2"/>
        <v>442678.54999999976</v>
      </c>
      <c r="H25" s="14">
        <f t="shared" si="6"/>
        <v>5893.1426249999968</v>
      </c>
      <c r="I25" s="16">
        <f t="shared" si="3"/>
        <v>2.6249999964420567E-3</v>
      </c>
    </row>
    <row r="26" spans="1:9" x14ac:dyDescent="0.25">
      <c r="A26" s="36">
        <v>44224</v>
      </c>
      <c r="B26" s="1">
        <f t="shared" si="7"/>
        <v>30</v>
      </c>
      <c r="C26" s="14">
        <f t="shared" si="0"/>
        <v>34666</v>
      </c>
      <c r="D26" s="95">
        <f t="shared" si="1"/>
        <v>29132.52</v>
      </c>
      <c r="E26" s="96">
        <f t="shared" si="4"/>
        <v>5533.48</v>
      </c>
      <c r="F26" s="14">
        <f t="shared" si="5"/>
        <v>442678.54999999976</v>
      </c>
      <c r="G26" s="14">
        <f t="shared" si="2"/>
        <v>413546.02999999974</v>
      </c>
      <c r="H26" s="14">
        <f t="shared" si="6"/>
        <v>5533.4818749999968</v>
      </c>
      <c r="I26" s="16">
        <f t="shared" si="3"/>
        <v>1.8749999971987563E-3</v>
      </c>
    </row>
    <row r="27" spans="1:9" x14ac:dyDescent="0.25">
      <c r="A27" s="36">
        <v>44255</v>
      </c>
      <c r="B27" s="1">
        <f t="shared" si="7"/>
        <v>30</v>
      </c>
      <c r="C27" s="14">
        <f t="shared" si="0"/>
        <v>34666</v>
      </c>
      <c r="D27" s="95">
        <f t="shared" si="1"/>
        <v>29496.67</v>
      </c>
      <c r="E27" s="96">
        <f t="shared" si="4"/>
        <v>5169.33</v>
      </c>
      <c r="F27" s="14">
        <f t="shared" si="5"/>
        <v>413546.02999999974</v>
      </c>
      <c r="G27" s="14">
        <f t="shared" si="2"/>
        <v>384049.35999999975</v>
      </c>
      <c r="H27" s="14">
        <f t="shared" si="6"/>
        <v>5169.3253749999967</v>
      </c>
      <c r="I27" s="16">
        <f t="shared" si="3"/>
        <v>-4.6250000032159733E-3</v>
      </c>
    </row>
    <row r="28" spans="1:9" x14ac:dyDescent="0.25">
      <c r="A28" s="36">
        <v>44283</v>
      </c>
      <c r="B28" s="1">
        <f t="shared" si="7"/>
        <v>30</v>
      </c>
      <c r="C28" s="14">
        <f t="shared" si="0"/>
        <v>34666</v>
      </c>
      <c r="D28" s="95">
        <f t="shared" si="1"/>
        <v>29865.38</v>
      </c>
      <c r="E28" s="96">
        <f t="shared" si="4"/>
        <v>4800.62</v>
      </c>
      <c r="F28" s="14">
        <f t="shared" si="5"/>
        <v>384049.35999999975</v>
      </c>
      <c r="G28" s="14">
        <f t="shared" si="2"/>
        <v>354183.97999999975</v>
      </c>
      <c r="H28" s="14">
        <f t="shared" si="6"/>
        <v>4800.6169999999966</v>
      </c>
      <c r="I28" s="16">
        <f t="shared" si="3"/>
        <v>-3.0000000033396645E-3</v>
      </c>
    </row>
    <row r="29" spans="1:9" x14ac:dyDescent="0.25">
      <c r="A29" s="36">
        <v>44314</v>
      </c>
      <c r="B29" s="1">
        <f t="shared" si="7"/>
        <v>30</v>
      </c>
      <c r="C29" s="14">
        <f t="shared" si="0"/>
        <v>34666</v>
      </c>
      <c r="D29" s="95">
        <f t="shared" si="1"/>
        <v>30238.7</v>
      </c>
      <c r="E29" s="96">
        <f t="shared" si="4"/>
        <v>4427.3</v>
      </c>
      <c r="F29" s="14">
        <f t="shared" si="5"/>
        <v>354183.97999999975</v>
      </c>
      <c r="G29" s="14">
        <f t="shared" si="2"/>
        <v>323945.27999999974</v>
      </c>
      <c r="H29" s="14">
        <f t="shared" si="6"/>
        <v>4427.2997499999965</v>
      </c>
      <c r="I29" s="16">
        <f t="shared" si="3"/>
        <v>-2.5000000368891051E-4</v>
      </c>
    </row>
    <row r="30" spans="1:9" x14ac:dyDescent="0.25">
      <c r="A30" s="36">
        <v>44344</v>
      </c>
      <c r="B30" s="1">
        <f t="shared" si="7"/>
        <v>30</v>
      </c>
      <c r="C30" s="14">
        <f t="shared" si="0"/>
        <v>34666</v>
      </c>
      <c r="D30" s="95">
        <f t="shared" si="1"/>
        <v>30616.68</v>
      </c>
      <c r="E30" s="96">
        <f t="shared" si="4"/>
        <v>4049.32</v>
      </c>
      <c r="F30" s="14">
        <f t="shared" si="5"/>
        <v>323945.27999999974</v>
      </c>
      <c r="G30" s="14">
        <f t="shared" si="2"/>
        <v>293328.59999999974</v>
      </c>
      <c r="H30" s="14">
        <f t="shared" si="6"/>
        <v>4049.3159999999966</v>
      </c>
      <c r="I30" s="16">
        <f t="shared" si="3"/>
        <v>-4.0000000035433914E-3</v>
      </c>
    </row>
    <row r="31" spans="1:9" x14ac:dyDescent="0.25">
      <c r="A31" s="36">
        <v>44375</v>
      </c>
      <c r="B31" s="1">
        <f t="shared" si="7"/>
        <v>30</v>
      </c>
      <c r="C31" s="14">
        <f t="shared" si="0"/>
        <v>34666</v>
      </c>
      <c r="D31" s="95">
        <f t="shared" si="1"/>
        <v>30999.39</v>
      </c>
      <c r="E31" s="96">
        <f t="shared" si="4"/>
        <v>3666.61</v>
      </c>
      <c r="F31" s="14">
        <f t="shared" si="5"/>
        <v>293328.59999999974</v>
      </c>
      <c r="G31" s="14">
        <f t="shared" si="2"/>
        <v>262329.20999999973</v>
      </c>
      <c r="H31" s="14">
        <f t="shared" si="6"/>
        <v>3666.6074999999964</v>
      </c>
      <c r="I31" s="16">
        <f t="shared" si="3"/>
        <v>-2.5000000036925485E-3</v>
      </c>
    </row>
    <row r="32" spans="1:9" x14ac:dyDescent="0.25">
      <c r="A32" s="36">
        <v>44405</v>
      </c>
      <c r="B32" s="1">
        <f t="shared" si="7"/>
        <v>30</v>
      </c>
      <c r="C32" s="14">
        <f t="shared" si="0"/>
        <v>34666</v>
      </c>
      <c r="D32" s="95">
        <f t="shared" si="1"/>
        <v>31386.880000000001</v>
      </c>
      <c r="E32" s="96">
        <f t="shared" si="4"/>
        <v>3279.12</v>
      </c>
      <c r="F32" s="14">
        <f t="shared" si="5"/>
        <v>262329.20999999973</v>
      </c>
      <c r="G32" s="14">
        <f t="shared" si="2"/>
        <v>230942.32999999973</v>
      </c>
      <c r="H32" s="14">
        <f t="shared" si="6"/>
        <v>3279.1151249999971</v>
      </c>
      <c r="I32" s="16">
        <f t="shared" si="3"/>
        <v>-4.8750000028121576E-3</v>
      </c>
    </row>
    <row r="33" spans="1:9" x14ac:dyDescent="0.25">
      <c r="A33" s="36">
        <v>44436</v>
      </c>
      <c r="B33" s="1">
        <f t="shared" si="7"/>
        <v>30</v>
      </c>
      <c r="C33" s="14">
        <f t="shared" si="0"/>
        <v>34666</v>
      </c>
      <c r="D33" s="95">
        <f t="shared" si="1"/>
        <v>31779.22</v>
      </c>
      <c r="E33" s="96">
        <f t="shared" si="4"/>
        <v>2886.78</v>
      </c>
      <c r="F33" s="14">
        <f t="shared" si="5"/>
        <v>230942.32999999973</v>
      </c>
      <c r="G33" s="14">
        <f t="shared" si="2"/>
        <v>199163.10999999972</v>
      </c>
      <c r="H33" s="14">
        <f t="shared" si="6"/>
        <v>2886.7791249999968</v>
      </c>
      <c r="I33" s="16">
        <f t="shared" si="3"/>
        <v>-8.7500000336149242E-4</v>
      </c>
    </row>
    <row r="34" spans="1:9" x14ac:dyDescent="0.25">
      <c r="A34" s="36">
        <v>44467</v>
      </c>
      <c r="B34" s="1">
        <f t="shared" si="7"/>
        <v>30</v>
      </c>
      <c r="C34" s="14">
        <f t="shared" si="0"/>
        <v>34666</v>
      </c>
      <c r="D34" s="95">
        <f t="shared" si="1"/>
        <v>32176.46</v>
      </c>
      <c r="E34" s="96">
        <f t="shared" si="4"/>
        <v>2489.54</v>
      </c>
      <c r="F34" s="14">
        <f t="shared" si="5"/>
        <v>199163.10999999972</v>
      </c>
      <c r="G34" s="14">
        <f t="shared" si="2"/>
        <v>166986.64999999973</v>
      </c>
      <c r="H34" s="14">
        <f t="shared" si="6"/>
        <v>2489.5388749999966</v>
      </c>
      <c r="I34" s="16">
        <f t="shared" si="3"/>
        <v>-1.1250000034124241E-3</v>
      </c>
    </row>
    <row r="35" spans="1:9" x14ac:dyDescent="0.25">
      <c r="A35" s="36">
        <v>44497</v>
      </c>
      <c r="B35" s="1">
        <f t="shared" si="7"/>
        <v>30</v>
      </c>
      <c r="C35" s="14">
        <f t="shared" si="0"/>
        <v>34666</v>
      </c>
      <c r="D35" s="95">
        <f t="shared" si="1"/>
        <v>32578.67</v>
      </c>
      <c r="E35" s="96">
        <f t="shared" si="4"/>
        <v>2087.33</v>
      </c>
      <c r="F35" s="14">
        <f t="shared" si="5"/>
        <v>166986.64999999973</v>
      </c>
      <c r="G35" s="14">
        <f t="shared" si="2"/>
        <v>134407.97999999975</v>
      </c>
      <c r="H35" s="14">
        <f t="shared" si="6"/>
        <v>2087.3331249999965</v>
      </c>
      <c r="I35" s="16">
        <f t="shared" si="3"/>
        <v>3.1249999965439201E-3</v>
      </c>
    </row>
    <row r="36" spans="1:9" x14ac:dyDescent="0.25">
      <c r="A36" s="36">
        <v>44528</v>
      </c>
      <c r="B36" s="1">
        <f t="shared" si="7"/>
        <v>30</v>
      </c>
      <c r="C36" s="14">
        <f t="shared" si="0"/>
        <v>34666</v>
      </c>
      <c r="D36" s="95">
        <f t="shared" si="1"/>
        <v>32985.9</v>
      </c>
      <c r="E36" s="96">
        <f t="shared" si="4"/>
        <v>1680.1</v>
      </c>
      <c r="F36" s="14">
        <f t="shared" si="5"/>
        <v>134407.97999999975</v>
      </c>
      <c r="G36" s="14">
        <f t="shared" si="2"/>
        <v>101422.07999999975</v>
      </c>
      <c r="H36" s="14">
        <f t="shared" si="6"/>
        <v>1680.0997499999964</v>
      </c>
      <c r="I36" s="16">
        <f t="shared" si="3"/>
        <v>-2.5000000346153683E-4</v>
      </c>
    </row>
    <row r="37" spans="1:9" x14ac:dyDescent="0.25">
      <c r="A37" s="36">
        <v>44558</v>
      </c>
      <c r="B37" s="1">
        <f t="shared" si="7"/>
        <v>30</v>
      </c>
      <c r="C37" s="14">
        <f t="shared" si="0"/>
        <v>34666</v>
      </c>
      <c r="D37" s="95">
        <f t="shared" si="1"/>
        <v>33398.22</v>
      </c>
      <c r="E37" s="96">
        <f t="shared" si="4"/>
        <v>1267.78</v>
      </c>
      <c r="F37" s="14">
        <f t="shared" si="5"/>
        <v>101422.07999999975</v>
      </c>
      <c r="G37" s="14">
        <f t="shared" si="2"/>
        <v>68023.859999999753</v>
      </c>
      <c r="H37" s="14">
        <f t="shared" si="6"/>
        <v>1267.7759999999967</v>
      </c>
      <c r="I37" s="16">
        <f t="shared" si="3"/>
        <v>-4.0000000033160177E-3</v>
      </c>
    </row>
    <row r="38" spans="1:9" x14ac:dyDescent="0.25">
      <c r="A38" s="36">
        <v>44589</v>
      </c>
      <c r="B38" s="1">
        <f t="shared" si="7"/>
        <v>30</v>
      </c>
      <c r="C38" s="14">
        <f t="shared" si="0"/>
        <v>34666</v>
      </c>
      <c r="D38" s="95">
        <f t="shared" si="1"/>
        <v>33815.699999999997</v>
      </c>
      <c r="E38" s="96">
        <f t="shared" si="4"/>
        <v>850.3</v>
      </c>
      <c r="F38" s="14">
        <f t="shared" si="5"/>
        <v>68023.859999999753</v>
      </c>
      <c r="G38" s="14">
        <f t="shared" si="2"/>
        <v>34208.159999999756</v>
      </c>
      <c r="H38" s="14">
        <f t="shared" si="6"/>
        <v>850.29824999999687</v>
      </c>
      <c r="I38" s="16">
        <f t="shared" si="3"/>
        <v>-1.750000003085006E-3</v>
      </c>
    </row>
    <row r="39" spans="1:9" x14ac:dyDescent="0.25">
      <c r="A39" s="36">
        <v>44620</v>
      </c>
      <c r="B39" s="1">
        <f t="shared" si="7"/>
        <v>30</v>
      </c>
      <c r="C39" s="14">
        <f t="shared" si="0"/>
        <v>34666</v>
      </c>
      <c r="D39" s="95">
        <f t="shared" si="1"/>
        <v>34208.160000000003</v>
      </c>
      <c r="E39" s="96">
        <f>ROUND(457.840000000245,2)</f>
        <v>457.84</v>
      </c>
      <c r="F39" s="14">
        <f>G38</f>
        <v>34208.159999999756</v>
      </c>
      <c r="G39" s="14">
        <f>F39-D39</f>
        <v>-2.4738255888223648E-10</v>
      </c>
      <c r="H39" s="14">
        <f>F39*$B$2*B39/360</f>
        <v>427.60199999999691</v>
      </c>
      <c r="I39" s="16">
        <f t="shared" si="3"/>
        <v>-30.238000000003069</v>
      </c>
    </row>
    <row r="40" spans="1:9" x14ac:dyDescent="0.25">
      <c r="A40" s="70">
        <v>43705</v>
      </c>
      <c r="B40" s="69">
        <f>DAYS360(A8,A9,TRUE)</f>
        <v>30</v>
      </c>
      <c r="C40" s="99">
        <f t="shared" si="0"/>
        <v>34666</v>
      </c>
      <c r="D40" s="100">
        <f>C9-E9</f>
        <v>23586.440000000002</v>
      </c>
      <c r="E40" s="69">
        <f>ROUND(F9*$B$2*B9/360,2)</f>
        <v>11079.56</v>
      </c>
      <c r="F40" s="105">
        <f>G8</f>
        <v>886364.41</v>
      </c>
      <c r="G40" s="106">
        <f t="shared" si="2"/>
        <v>862777.97</v>
      </c>
      <c r="H40" s="104"/>
      <c r="I40" s="107"/>
    </row>
    <row r="41" spans="1:9" x14ac:dyDescent="0.25">
      <c r="A41" s="36">
        <v>43736</v>
      </c>
      <c r="B41" s="1">
        <f t="shared" si="7"/>
        <v>30</v>
      </c>
      <c r="C41" s="14">
        <f>$H$1</f>
        <v>36780</v>
      </c>
      <c r="D41" s="95">
        <f t="shared" si="1"/>
        <v>22400.370000000003</v>
      </c>
      <c r="E41" s="96">
        <f>ROUND(F41*$J$1*B41/360,2)</f>
        <v>14379.63</v>
      </c>
      <c r="F41" s="14">
        <f>G40</f>
        <v>862777.97</v>
      </c>
      <c r="G41" s="104">
        <f t="shared" si="2"/>
        <v>840377.6</v>
      </c>
    </row>
    <row r="42" spans="1:9" x14ac:dyDescent="0.25">
      <c r="A42" s="36">
        <v>43766</v>
      </c>
      <c r="B42" s="1">
        <f t="shared" si="7"/>
        <v>30</v>
      </c>
      <c r="C42" s="14">
        <f t="shared" ref="C42:C46" si="8">$H$1</f>
        <v>36780</v>
      </c>
      <c r="D42" s="95">
        <f t="shared" ref="D42:D70" si="9">C42-E42</f>
        <v>22773.71</v>
      </c>
      <c r="E42" s="96">
        <f t="shared" ref="E42:E70" si="10">ROUND(F42*$J$1*B42/360,2)</f>
        <v>14006.29</v>
      </c>
      <c r="F42" s="14">
        <f t="shared" ref="F42:F82" si="11">G41</f>
        <v>840377.6</v>
      </c>
      <c r="G42" s="104">
        <f t="shared" ref="G42:G70" si="12">F42-D42</f>
        <v>817603.89</v>
      </c>
    </row>
    <row r="43" spans="1:9" x14ac:dyDescent="0.25">
      <c r="A43" s="36">
        <v>43797</v>
      </c>
      <c r="B43" s="1">
        <f t="shared" si="7"/>
        <v>30</v>
      </c>
      <c r="C43" s="14">
        <f t="shared" si="8"/>
        <v>36780</v>
      </c>
      <c r="D43" s="95">
        <f t="shared" si="9"/>
        <v>23153.27</v>
      </c>
      <c r="E43" s="96">
        <f t="shared" si="10"/>
        <v>13626.73</v>
      </c>
      <c r="F43" s="14">
        <f t="shared" si="11"/>
        <v>817603.89</v>
      </c>
      <c r="G43" s="104">
        <f t="shared" si="12"/>
        <v>794450.62</v>
      </c>
    </row>
    <row r="44" spans="1:9" x14ac:dyDescent="0.25">
      <c r="A44" s="36">
        <v>43827</v>
      </c>
      <c r="B44" s="1">
        <f t="shared" si="7"/>
        <v>30</v>
      </c>
      <c r="C44" s="14">
        <f t="shared" si="8"/>
        <v>36780</v>
      </c>
      <c r="D44" s="95">
        <f t="shared" si="9"/>
        <v>23539.16</v>
      </c>
      <c r="E44" s="96">
        <f t="shared" si="10"/>
        <v>13240.84</v>
      </c>
      <c r="F44" s="14">
        <f t="shared" si="11"/>
        <v>794450.62</v>
      </c>
      <c r="G44" s="104">
        <f t="shared" si="12"/>
        <v>770911.46</v>
      </c>
    </row>
    <row r="45" spans="1:9" x14ac:dyDescent="0.25">
      <c r="A45" s="36">
        <v>43858</v>
      </c>
      <c r="B45" s="1">
        <f t="shared" si="7"/>
        <v>30</v>
      </c>
      <c r="C45" s="14">
        <f t="shared" si="8"/>
        <v>36780</v>
      </c>
      <c r="D45" s="95">
        <f t="shared" si="9"/>
        <v>23931.48</v>
      </c>
      <c r="E45" s="96">
        <f t="shared" si="10"/>
        <v>12848.52</v>
      </c>
      <c r="F45" s="14">
        <f t="shared" si="11"/>
        <v>770911.46</v>
      </c>
      <c r="G45" s="104">
        <f t="shared" si="12"/>
        <v>746979.98</v>
      </c>
    </row>
    <row r="46" spans="1:9" x14ac:dyDescent="0.25">
      <c r="A46" s="36">
        <v>43889</v>
      </c>
      <c r="B46" s="1">
        <f t="shared" si="7"/>
        <v>30</v>
      </c>
      <c r="C46" s="14">
        <f t="shared" si="8"/>
        <v>36780</v>
      </c>
      <c r="D46" s="95">
        <f t="shared" si="9"/>
        <v>24330.33</v>
      </c>
      <c r="E46" s="96">
        <f t="shared" si="10"/>
        <v>12449.67</v>
      </c>
      <c r="F46" s="14">
        <f t="shared" si="11"/>
        <v>746979.98</v>
      </c>
      <c r="G46" s="104">
        <f t="shared" si="12"/>
        <v>722649.65</v>
      </c>
    </row>
    <row r="47" spans="1:9" x14ac:dyDescent="0.25">
      <c r="A47" s="36">
        <v>43918</v>
      </c>
      <c r="B47" s="1">
        <f t="shared" si="7"/>
        <v>30</v>
      </c>
      <c r="C47" s="14">
        <f>$N$1</f>
        <v>34236</v>
      </c>
      <c r="D47" s="95">
        <f t="shared" si="9"/>
        <v>23025.17</v>
      </c>
      <c r="E47" s="96">
        <f t="shared" si="10"/>
        <v>11210.83</v>
      </c>
      <c r="F47" s="14">
        <f>G46-P1</f>
        <v>672649.65</v>
      </c>
      <c r="G47" s="104">
        <f t="shared" si="12"/>
        <v>649624.48</v>
      </c>
    </row>
    <row r="48" spans="1:9" x14ac:dyDescent="0.25">
      <c r="A48" s="36">
        <v>43949</v>
      </c>
      <c r="B48" s="1">
        <f t="shared" si="7"/>
        <v>30</v>
      </c>
      <c r="C48" s="14">
        <f t="shared" ref="C48:C55" si="13">$N$1</f>
        <v>34236</v>
      </c>
      <c r="D48" s="95">
        <f t="shared" si="9"/>
        <v>23408.93</v>
      </c>
      <c r="E48" s="96">
        <f t="shared" si="10"/>
        <v>10827.07</v>
      </c>
      <c r="F48" s="14">
        <f t="shared" si="11"/>
        <v>649624.48</v>
      </c>
      <c r="G48" s="104">
        <f t="shared" si="12"/>
        <v>626215.54999999993</v>
      </c>
    </row>
    <row r="49" spans="1:7" x14ac:dyDescent="0.25">
      <c r="A49" s="36">
        <v>43979</v>
      </c>
      <c r="B49" s="1">
        <f t="shared" si="7"/>
        <v>30</v>
      </c>
      <c r="C49" s="14">
        <f t="shared" si="13"/>
        <v>34236</v>
      </c>
      <c r="D49" s="95">
        <f t="shared" si="9"/>
        <v>23799.07</v>
      </c>
      <c r="E49" s="96">
        <f t="shared" si="10"/>
        <v>10436.93</v>
      </c>
      <c r="F49" s="14">
        <f t="shared" si="11"/>
        <v>626215.54999999993</v>
      </c>
      <c r="G49" s="104">
        <f t="shared" si="12"/>
        <v>602416.48</v>
      </c>
    </row>
    <row r="50" spans="1:7" x14ac:dyDescent="0.25">
      <c r="A50" s="36">
        <v>44010</v>
      </c>
      <c r="B50" s="1">
        <f t="shared" si="7"/>
        <v>30</v>
      </c>
      <c r="C50" s="14">
        <f t="shared" si="13"/>
        <v>34236</v>
      </c>
      <c r="D50" s="95">
        <f t="shared" si="9"/>
        <v>24195.73</v>
      </c>
      <c r="E50" s="96">
        <f t="shared" si="10"/>
        <v>10040.27</v>
      </c>
      <c r="F50" s="14">
        <f t="shared" si="11"/>
        <v>602416.48</v>
      </c>
      <c r="G50" s="104">
        <f t="shared" si="12"/>
        <v>578220.75</v>
      </c>
    </row>
    <row r="51" spans="1:7" x14ac:dyDescent="0.25">
      <c r="A51" s="36">
        <v>44040</v>
      </c>
      <c r="B51" s="1">
        <f t="shared" si="7"/>
        <v>30</v>
      </c>
      <c r="C51" s="14">
        <f t="shared" si="13"/>
        <v>34236</v>
      </c>
      <c r="D51" s="95">
        <f t="shared" si="9"/>
        <v>24598.989999999998</v>
      </c>
      <c r="E51" s="96">
        <f t="shared" si="10"/>
        <v>9637.01</v>
      </c>
      <c r="F51" s="14">
        <f t="shared" si="11"/>
        <v>578220.75</v>
      </c>
      <c r="G51" s="104">
        <f t="shared" si="12"/>
        <v>553621.76000000001</v>
      </c>
    </row>
    <row r="52" spans="1:7" x14ac:dyDescent="0.25">
      <c r="A52" s="36">
        <v>44071</v>
      </c>
      <c r="B52" s="1">
        <f t="shared" si="7"/>
        <v>30</v>
      </c>
      <c r="C52" s="14">
        <f t="shared" si="13"/>
        <v>34236</v>
      </c>
      <c r="D52" s="95">
        <f t="shared" si="9"/>
        <v>25008.97</v>
      </c>
      <c r="E52" s="96">
        <f t="shared" si="10"/>
        <v>9227.0300000000007</v>
      </c>
      <c r="F52" s="14">
        <f t="shared" si="11"/>
        <v>553621.76000000001</v>
      </c>
      <c r="G52" s="104">
        <f t="shared" si="12"/>
        <v>528612.79</v>
      </c>
    </row>
    <row r="53" spans="1:7" x14ac:dyDescent="0.25">
      <c r="A53" s="36">
        <v>44102</v>
      </c>
      <c r="B53" s="1">
        <f t="shared" si="7"/>
        <v>30</v>
      </c>
      <c r="C53" s="14">
        <f t="shared" si="13"/>
        <v>34236</v>
      </c>
      <c r="D53" s="95">
        <f t="shared" si="9"/>
        <v>25425.79</v>
      </c>
      <c r="E53" s="96">
        <f t="shared" si="10"/>
        <v>8810.2099999999991</v>
      </c>
      <c r="F53" s="14">
        <f t="shared" si="11"/>
        <v>528612.79</v>
      </c>
      <c r="G53" s="104">
        <f t="shared" si="12"/>
        <v>503187.00000000006</v>
      </c>
    </row>
    <row r="54" spans="1:7" x14ac:dyDescent="0.25">
      <c r="A54" s="36">
        <v>44132</v>
      </c>
      <c r="B54" s="1">
        <f t="shared" si="7"/>
        <v>30</v>
      </c>
      <c r="C54" s="14">
        <f t="shared" si="13"/>
        <v>34236</v>
      </c>
      <c r="D54" s="95">
        <f t="shared" si="9"/>
        <v>25849.55</v>
      </c>
      <c r="E54" s="96">
        <f t="shared" si="10"/>
        <v>8386.4500000000007</v>
      </c>
      <c r="F54" s="14">
        <f t="shared" si="11"/>
        <v>503187.00000000006</v>
      </c>
      <c r="G54" s="104">
        <f t="shared" si="12"/>
        <v>477337.45000000007</v>
      </c>
    </row>
    <row r="55" spans="1:7" x14ac:dyDescent="0.25">
      <c r="A55" s="36">
        <v>44163</v>
      </c>
      <c r="B55" s="1">
        <f t="shared" si="7"/>
        <v>30</v>
      </c>
      <c r="C55" s="14">
        <f t="shared" si="13"/>
        <v>34236</v>
      </c>
      <c r="D55" s="95">
        <f t="shared" si="9"/>
        <v>26280.38</v>
      </c>
      <c r="E55" s="96">
        <f t="shared" si="10"/>
        <v>7955.62</v>
      </c>
      <c r="F55" s="14">
        <f t="shared" si="11"/>
        <v>477337.45000000007</v>
      </c>
      <c r="G55" s="104">
        <f t="shared" si="12"/>
        <v>451057.07000000007</v>
      </c>
    </row>
    <row r="56" spans="1:7" x14ac:dyDescent="0.25">
      <c r="A56" s="36">
        <v>44193</v>
      </c>
      <c r="B56" s="1">
        <f t="shared" si="7"/>
        <v>30</v>
      </c>
      <c r="C56" s="14">
        <f>$F$2</f>
        <v>15000</v>
      </c>
      <c r="D56" s="95">
        <f t="shared" si="9"/>
        <v>7482.38</v>
      </c>
      <c r="E56" s="96">
        <f t="shared" si="10"/>
        <v>7517.62</v>
      </c>
      <c r="F56" s="14">
        <f t="shared" si="11"/>
        <v>451057.07000000007</v>
      </c>
      <c r="G56" s="104">
        <f t="shared" si="12"/>
        <v>443574.69000000006</v>
      </c>
    </row>
    <row r="57" spans="1:7" x14ac:dyDescent="0.25">
      <c r="A57" s="36">
        <v>44224</v>
      </c>
      <c r="B57" s="1">
        <f t="shared" si="7"/>
        <v>30</v>
      </c>
      <c r="C57" s="14">
        <f t="shared" ref="C57:C73" si="14">$F$2</f>
        <v>15000</v>
      </c>
      <c r="D57" s="95">
        <f t="shared" si="9"/>
        <v>7607.09</v>
      </c>
      <c r="E57" s="96">
        <f t="shared" si="10"/>
        <v>7392.91</v>
      </c>
      <c r="F57" s="14">
        <f t="shared" si="11"/>
        <v>443574.69000000006</v>
      </c>
      <c r="G57" s="104">
        <f t="shared" si="12"/>
        <v>435967.60000000003</v>
      </c>
    </row>
    <row r="58" spans="1:7" x14ac:dyDescent="0.25">
      <c r="A58" s="36">
        <v>44255</v>
      </c>
      <c r="B58" s="1">
        <f t="shared" si="7"/>
        <v>30</v>
      </c>
      <c r="C58" s="14">
        <f t="shared" si="14"/>
        <v>15000</v>
      </c>
      <c r="D58" s="95">
        <f t="shared" si="9"/>
        <v>7733.87</v>
      </c>
      <c r="E58" s="96">
        <f t="shared" si="10"/>
        <v>7266.13</v>
      </c>
      <c r="F58" s="14">
        <f t="shared" si="11"/>
        <v>435967.60000000003</v>
      </c>
      <c r="G58" s="104">
        <f t="shared" si="12"/>
        <v>428233.73000000004</v>
      </c>
    </row>
    <row r="59" spans="1:7" x14ac:dyDescent="0.25">
      <c r="A59" s="36">
        <v>44283</v>
      </c>
      <c r="B59" s="1">
        <f t="shared" si="7"/>
        <v>30</v>
      </c>
      <c r="C59" s="14">
        <f t="shared" si="14"/>
        <v>15000</v>
      </c>
      <c r="D59" s="95">
        <f t="shared" si="9"/>
        <v>7862.77</v>
      </c>
      <c r="E59" s="96">
        <f t="shared" si="10"/>
        <v>7137.23</v>
      </c>
      <c r="F59" s="14">
        <f t="shared" si="11"/>
        <v>428233.73000000004</v>
      </c>
      <c r="G59" s="104">
        <f t="shared" si="12"/>
        <v>420370.96</v>
      </c>
    </row>
    <row r="60" spans="1:7" x14ac:dyDescent="0.25">
      <c r="A60" s="36">
        <v>44314</v>
      </c>
      <c r="B60" s="1">
        <f t="shared" si="7"/>
        <v>30</v>
      </c>
      <c r="C60" s="14">
        <f t="shared" si="14"/>
        <v>15000</v>
      </c>
      <c r="D60" s="95">
        <f t="shared" si="9"/>
        <v>7993.82</v>
      </c>
      <c r="E60" s="96">
        <f t="shared" si="10"/>
        <v>7006.18</v>
      </c>
      <c r="F60" s="14">
        <f t="shared" si="11"/>
        <v>420370.96</v>
      </c>
      <c r="G60" s="104">
        <f t="shared" si="12"/>
        <v>412377.14</v>
      </c>
    </row>
    <row r="61" spans="1:7" x14ac:dyDescent="0.25">
      <c r="A61" s="36">
        <v>44344</v>
      </c>
      <c r="B61" s="1">
        <f t="shared" si="7"/>
        <v>30</v>
      </c>
      <c r="C61" s="14">
        <f t="shared" si="14"/>
        <v>15000</v>
      </c>
      <c r="D61" s="95">
        <f t="shared" si="9"/>
        <v>8127.05</v>
      </c>
      <c r="E61" s="96">
        <f t="shared" si="10"/>
        <v>6872.95</v>
      </c>
      <c r="F61" s="14">
        <f t="shared" si="11"/>
        <v>412377.14</v>
      </c>
      <c r="G61" s="104">
        <f t="shared" si="12"/>
        <v>404250.09</v>
      </c>
    </row>
    <row r="62" spans="1:7" x14ac:dyDescent="0.25">
      <c r="A62" s="36">
        <v>44375</v>
      </c>
      <c r="B62" s="1">
        <f t="shared" si="7"/>
        <v>30</v>
      </c>
      <c r="C62" s="14">
        <f t="shared" si="14"/>
        <v>15000</v>
      </c>
      <c r="D62" s="95">
        <f t="shared" si="9"/>
        <v>8262.5</v>
      </c>
      <c r="E62" s="96">
        <f t="shared" si="10"/>
        <v>6737.5</v>
      </c>
      <c r="F62" s="14">
        <f t="shared" si="11"/>
        <v>404250.09</v>
      </c>
      <c r="G62" s="104">
        <f t="shared" si="12"/>
        <v>395987.59</v>
      </c>
    </row>
    <row r="63" spans="1:7" x14ac:dyDescent="0.25">
      <c r="A63" s="36">
        <v>44405</v>
      </c>
      <c r="B63" s="1">
        <f t="shared" si="7"/>
        <v>30</v>
      </c>
      <c r="C63" s="14">
        <f t="shared" si="14"/>
        <v>15000</v>
      </c>
      <c r="D63" s="95">
        <f t="shared" si="9"/>
        <v>8400.2099999999991</v>
      </c>
      <c r="E63" s="96">
        <f t="shared" si="10"/>
        <v>6599.79</v>
      </c>
      <c r="F63" s="14">
        <f t="shared" si="11"/>
        <v>395987.59</v>
      </c>
      <c r="G63" s="104">
        <f t="shared" si="12"/>
        <v>387587.38</v>
      </c>
    </row>
    <row r="64" spans="1:7" x14ac:dyDescent="0.25">
      <c r="A64" s="36">
        <v>44436</v>
      </c>
      <c r="B64" s="1">
        <f t="shared" si="7"/>
        <v>30</v>
      </c>
      <c r="C64" s="14">
        <f t="shared" si="14"/>
        <v>15000</v>
      </c>
      <c r="D64" s="95">
        <f t="shared" si="9"/>
        <v>8540.2099999999991</v>
      </c>
      <c r="E64" s="96">
        <f t="shared" si="10"/>
        <v>6459.79</v>
      </c>
      <c r="F64" s="14">
        <f t="shared" si="11"/>
        <v>387587.38</v>
      </c>
      <c r="G64" s="104">
        <f t="shared" si="12"/>
        <v>379047.17</v>
      </c>
    </row>
    <row r="65" spans="1:7" x14ac:dyDescent="0.25">
      <c r="A65" s="36">
        <v>44467</v>
      </c>
      <c r="B65" s="1">
        <f t="shared" si="7"/>
        <v>30</v>
      </c>
      <c r="C65" s="14">
        <f t="shared" si="14"/>
        <v>15000</v>
      </c>
      <c r="D65" s="95">
        <f t="shared" si="9"/>
        <v>8682.5499999999993</v>
      </c>
      <c r="E65" s="96">
        <f t="shared" si="10"/>
        <v>6317.45</v>
      </c>
      <c r="F65" s="14">
        <f t="shared" si="11"/>
        <v>379047.17</v>
      </c>
      <c r="G65" s="104">
        <f t="shared" si="12"/>
        <v>370364.62</v>
      </c>
    </row>
    <row r="66" spans="1:7" x14ac:dyDescent="0.25">
      <c r="A66" s="36">
        <v>44497</v>
      </c>
      <c r="B66" s="1">
        <f t="shared" si="7"/>
        <v>30</v>
      </c>
      <c r="C66" s="14">
        <f t="shared" si="14"/>
        <v>15000</v>
      </c>
      <c r="D66" s="95">
        <f t="shared" si="9"/>
        <v>8827.26</v>
      </c>
      <c r="E66" s="96">
        <f t="shared" si="10"/>
        <v>6172.74</v>
      </c>
      <c r="F66" s="14">
        <f t="shared" si="11"/>
        <v>370364.62</v>
      </c>
      <c r="G66" s="104">
        <f t="shared" si="12"/>
        <v>361537.36</v>
      </c>
    </row>
    <row r="67" spans="1:7" x14ac:dyDescent="0.25">
      <c r="A67" s="36">
        <v>44528</v>
      </c>
      <c r="B67" s="1">
        <f t="shared" si="7"/>
        <v>30</v>
      </c>
      <c r="C67" s="14">
        <f t="shared" si="14"/>
        <v>15000</v>
      </c>
      <c r="D67" s="95">
        <f t="shared" si="9"/>
        <v>8974.380000000001</v>
      </c>
      <c r="E67" s="96">
        <f t="shared" si="10"/>
        <v>6025.62</v>
      </c>
      <c r="F67" s="14">
        <f t="shared" si="11"/>
        <v>361537.36</v>
      </c>
      <c r="G67" s="104">
        <f t="shared" si="12"/>
        <v>352562.98</v>
      </c>
    </row>
    <row r="68" spans="1:7" x14ac:dyDescent="0.25">
      <c r="A68" s="36">
        <v>44558</v>
      </c>
      <c r="B68" s="1">
        <f t="shared" si="7"/>
        <v>30</v>
      </c>
      <c r="C68" s="14">
        <f t="shared" si="14"/>
        <v>15000</v>
      </c>
      <c r="D68" s="95">
        <f t="shared" si="9"/>
        <v>9123.9500000000007</v>
      </c>
      <c r="E68" s="96">
        <f t="shared" si="10"/>
        <v>5876.05</v>
      </c>
      <c r="F68" s="14">
        <f t="shared" si="11"/>
        <v>352562.98</v>
      </c>
      <c r="G68" s="104">
        <f t="shared" si="12"/>
        <v>343439.02999999997</v>
      </c>
    </row>
    <row r="69" spans="1:7" x14ac:dyDescent="0.25">
      <c r="A69" s="36">
        <v>44589</v>
      </c>
      <c r="B69" s="1">
        <f t="shared" si="7"/>
        <v>30</v>
      </c>
      <c r="C69" s="14">
        <f t="shared" si="14"/>
        <v>15000</v>
      </c>
      <c r="D69" s="95">
        <f t="shared" si="9"/>
        <v>9276.02</v>
      </c>
      <c r="E69" s="96">
        <f t="shared" si="10"/>
        <v>5723.98</v>
      </c>
      <c r="F69" s="14">
        <f t="shared" si="11"/>
        <v>343439.02999999997</v>
      </c>
      <c r="G69" s="104">
        <f t="shared" si="12"/>
        <v>334163.00999999995</v>
      </c>
    </row>
    <row r="70" spans="1:7" x14ac:dyDescent="0.25">
      <c r="A70" s="36">
        <v>44620</v>
      </c>
      <c r="B70" s="1">
        <f t="shared" ref="B70" si="15">DAYS360(A69,A70,TRUE)</f>
        <v>30</v>
      </c>
      <c r="C70" s="14">
        <f t="shared" si="14"/>
        <v>15000</v>
      </c>
      <c r="D70" s="95">
        <f t="shared" si="9"/>
        <v>9430.619999999999</v>
      </c>
      <c r="E70" s="96">
        <f t="shared" si="10"/>
        <v>5569.38</v>
      </c>
      <c r="F70" s="14">
        <f t="shared" si="11"/>
        <v>334163.00999999995</v>
      </c>
      <c r="G70" s="104">
        <f t="shared" si="12"/>
        <v>324732.38999999996</v>
      </c>
    </row>
    <row r="71" spans="1:7" x14ac:dyDescent="0.25">
      <c r="A71" s="36">
        <v>44648</v>
      </c>
      <c r="B71" s="1">
        <f t="shared" ref="B71:B82" si="16">DAYS360(A70,A71,TRUE)</f>
        <v>30</v>
      </c>
      <c r="C71" s="14">
        <f t="shared" si="14"/>
        <v>15000</v>
      </c>
      <c r="D71" s="95">
        <f t="shared" ref="D71:D82" si="17">C71-E71</f>
        <v>9587.7900000000009</v>
      </c>
      <c r="E71" s="96">
        <f t="shared" ref="E71:E81" si="18">ROUND(F71*$J$1*B71/360,2)</f>
        <v>5412.21</v>
      </c>
      <c r="F71" s="14">
        <f t="shared" si="11"/>
        <v>324732.38999999996</v>
      </c>
      <c r="G71" s="104">
        <f t="shared" ref="G71:G82" si="19">F71-D71</f>
        <v>315144.59999999998</v>
      </c>
    </row>
    <row r="72" spans="1:7" x14ac:dyDescent="0.25">
      <c r="A72" s="36">
        <v>44679</v>
      </c>
      <c r="B72" s="1">
        <f t="shared" si="16"/>
        <v>30</v>
      </c>
      <c r="C72" s="14">
        <f t="shared" si="14"/>
        <v>15000</v>
      </c>
      <c r="D72" s="95">
        <f t="shared" si="17"/>
        <v>9747.59</v>
      </c>
      <c r="E72" s="96">
        <f t="shared" si="18"/>
        <v>5252.41</v>
      </c>
      <c r="F72" s="14">
        <f t="shared" si="11"/>
        <v>315144.59999999998</v>
      </c>
      <c r="G72" s="104">
        <f t="shared" si="19"/>
        <v>305397.00999999995</v>
      </c>
    </row>
    <row r="73" spans="1:7" x14ac:dyDescent="0.25">
      <c r="A73" s="36">
        <v>44709</v>
      </c>
      <c r="B73" s="1">
        <f t="shared" si="16"/>
        <v>30</v>
      </c>
      <c r="C73" s="14">
        <f t="shared" si="14"/>
        <v>15000</v>
      </c>
      <c r="D73" s="95">
        <f t="shared" si="17"/>
        <v>9910.0499999999993</v>
      </c>
      <c r="E73" s="96">
        <f t="shared" si="18"/>
        <v>5089.95</v>
      </c>
      <c r="F73" s="14">
        <f t="shared" si="11"/>
        <v>305397.00999999995</v>
      </c>
      <c r="G73" s="104">
        <f t="shared" si="19"/>
        <v>295486.95999999996</v>
      </c>
    </row>
    <row r="74" spans="1:7" x14ac:dyDescent="0.25">
      <c r="A74" s="36">
        <v>44740</v>
      </c>
      <c r="B74" s="1">
        <f t="shared" si="16"/>
        <v>30</v>
      </c>
      <c r="C74" s="14">
        <f>$J$2</f>
        <v>35629</v>
      </c>
      <c r="D74" s="95">
        <f t="shared" si="17"/>
        <v>30704.22</v>
      </c>
      <c r="E74" s="96">
        <f t="shared" si="18"/>
        <v>4924.78</v>
      </c>
      <c r="F74" s="14">
        <f t="shared" si="11"/>
        <v>295486.95999999996</v>
      </c>
      <c r="G74" s="104">
        <f t="shared" si="19"/>
        <v>264782.74</v>
      </c>
    </row>
    <row r="75" spans="1:7" x14ac:dyDescent="0.25">
      <c r="A75" s="36">
        <v>44770</v>
      </c>
      <c r="B75" s="1">
        <f t="shared" si="16"/>
        <v>30</v>
      </c>
      <c r="C75" s="14">
        <f t="shared" ref="C75:C82" si="20">$J$2</f>
        <v>35629</v>
      </c>
      <c r="D75" s="95">
        <f t="shared" si="17"/>
        <v>31215.95</v>
      </c>
      <c r="E75" s="96">
        <f t="shared" si="18"/>
        <v>4413.05</v>
      </c>
      <c r="F75" s="14">
        <f t="shared" si="11"/>
        <v>264782.74</v>
      </c>
      <c r="G75" s="104">
        <f t="shared" si="19"/>
        <v>233566.78999999998</v>
      </c>
    </row>
    <row r="76" spans="1:7" x14ac:dyDescent="0.25">
      <c r="A76" s="36">
        <v>44801</v>
      </c>
      <c r="B76" s="1">
        <f t="shared" si="16"/>
        <v>30</v>
      </c>
      <c r="C76" s="14">
        <f t="shared" si="20"/>
        <v>35629</v>
      </c>
      <c r="D76" s="95">
        <f t="shared" si="17"/>
        <v>31736.22</v>
      </c>
      <c r="E76" s="96">
        <f t="shared" si="18"/>
        <v>3892.78</v>
      </c>
      <c r="F76" s="14">
        <f t="shared" si="11"/>
        <v>233566.78999999998</v>
      </c>
      <c r="G76" s="104">
        <f t="shared" si="19"/>
        <v>201830.56999999998</v>
      </c>
    </row>
    <row r="77" spans="1:7" x14ac:dyDescent="0.25">
      <c r="A77" s="36">
        <v>44832</v>
      </c>
      <c r="B77" s="1">
        <f t="shared" si="16"/>
        <v>30</v>
      </c>
      <c r="C77" s="14">
        <f t="shared" si="20"/>
        <v>35629</v>
      </c>
      <c r="D77" s="95">
        <f t="shared" si="17"/>
        <v>32265.16</v>
      </c>
      <c r="E77" s="96">
        <f t="shared" si="18"/>
        <v>3363.84</v>
      </c>
      <c r="F77" s="14">
        <f t="shared" si="11"/>
        <v>201830.56999999998</v>
      </c>
      <c r="G77" s="104">
        <f t="shared" si="19"/>
        <v>169565.40999999997</v>
      </c>
    </row>
    <row r="78" spans="1:7" x14ac:dyDescent="0.25">
      <c r="A78" s="36">
        <v>44862</v>
      </c>
      <c r="B78" s="1">
        <f t="shared" si="16"/>
        <v>30</v>
      </c>
      <c r="C78" s="14">
        <f t="shared" si="20"/>
        <v>35629</v>
      </c>
      <c r="D78" s="95">
        <f t="shared" si="17"/>
        <v>32802.910000000003</v>
      </c>
      <c r="E78" s="96">
        <f t="shared" si="18"/>
        <v>2826.09</v>
      </c>
      <c r="F78" s="14">
        <f t="shared" si="11"/>
        <v>169565.40999999997</v>
      </c>
      <c r="G78" s="104">
        <f t="shared" si="19"/>
        <v>136762.49999999997</v>
      </c>
    </row>
    <row r="79" spans="1:7" x14ac:dyDescent="0.25">
      <c r="A79" s="36">
        <v>44893</v>
      </c>
      <c r="B79" s="1">
        <f t="shared" si="16"/>
        <v>30</v>
      </c>
      <c r="C79" s="14">
        <f t="shared" si="20"/>
        <v>35629</v>
      </c>
      <c r="D79" s="95">
        <f t="shared" si="17"/>
        <v>33349.620000000003</v>
      </c>
      <c r="E79" s="96">
        <f t="shared" si="18"/>
        <v>2279.38</v>
      </c>
      <c r="F79" s="14">
        <f t="shared" si="11"/>
        <v>136762.49999999997</v>
      </c>
      <c r="G79" s="104">
        <f t="shared" si="19"/>
        <v>103412.87999999998</v>
      </c>
    </row>
    <row r="80" spans="1:7" x14ac:dyDescent="0.25">
      <c r="A80" s="36">
        <v>44923</v>
      </c>
      <c r="B80" s="1">
        <f t="shared" si="16"/>
        <v>30</v>
      </c>
      <c r="C80" s="14">
        <f t="shared" si="20"/>
        <v>35629</v>
      </c>
      <c r="D80" s="95">
        <f t="shared" si="17"/>
        <v>33905.449999999997</v>
      </c>
      <c r="E80" s="96">
        <f t="shared" si="18"/>
        <v>1723.55</v>
      </c>
      <c r="F80" s="14">
        <f t="shared" si="11"/>
        <v>103412.87999999998</v>
      </c>
      <c r="G80" s="104">
        <f t="shared" si="19"/>
        <v>69507.429999999978</v>
      </c>
    </row>
    <row r="81" spans="1:7" x14ac:dyDescent="0.25">
      <c r="A81" s="36">
        <v>44954</v>
      </c>
      <c r="B81" s="1">
        <f t="shared" si="16"/>
        <v>30</v>
      </c>
      <c r="C81" s="14">
        <f t="shared" si="20"/>
        <v>35629</v>
      </c>
      <c r="D81" s="95">
        <f t="shared" si="17"/>
        <v>34470.54</v>
      </c>
      <c r="E81" s="96">
        <f t="shared" si="18"/>
        <v>1158.46</v>
      </c>
      <c r="F81" s="14">
        <f t="shared" si="11"/>
        <v>69507.429999999978</v>
      </c>
      <c r="G81" s="104">
        <f t="shared" si="19"/>
        <v>35036.889999999978</v>
      </c>
    </row>
    <row r="82" spans="1:7" x14ac:dyDescent="0.25">
      <c r="A82" s="36">
        <v>44985</v>
      </c>
      <c r="B82" s="1">
        <f t="shared" si="16"/>
        <v>30</v>
      </c>
      <c r="C82" s="14">
        <f t="shared" si="20"/>
        <v>35629</v>
      </c>
      <c r="D82" s="95">
        <f t="shared" si="17"/>
        <v>35036.889999999978</v>
      </c>
      <c r="E82" s="96">
        <v>592.11000000002446</v>
      </c>
      <c r="F82" s="14">
        <f t="shared" si="11"/>
        <v>35036.889999999978</v>
      </c>
      <c r="G82" s="104">
        <f t="shared" si="19"/>
        <v>0</v>
      </c>
    </row>
  </sheetData>
  <pageMargins left="0.7" right="0.7" top="0.75" bottom="0.75" header="0.3" footer="0.3"/>
  <pageSetup orientation="portrait" r:id="rId1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C288B3-1F51-4154-A1C8-AE123A12F570}">
  <dimension ref="A1:AA3"/>
  <sheetViews>
    <sheetView workbookViewId="0">
      <selection activeCell="AA3" sqref="A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5" width="17" bestFit="1" customWidth="1"/>
    <col min="26" max="26" width="16.85546875" bestFit="1" customWidth="1"/>
    <col min="27" max="27" width="86.8554687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2" t="s">
        <v>0</v>
      </c>
      <c r="B2" s="7" t="s">
        <v>9</v>
      </c>
      <c r="C2" s="7" t="s">
        <v>76</v>
      </c>
      <c r="D2" s="8" t="s">
        <v>271</v>
      </c>
      <c r="E2" s="8" t="s">
        <v>71</v>
      </c>
      <c r="F2" s="8" t="s">
        <v>274</v>
      </c>
      <c r="G2" s="8" t="s">
        <v>271</v>
      </c>
      <c r="H2" s="8" t="s">
        <v>13</v>
      </c>
      <c r="I2" s="8" t="s">
        <v>29</v>
      </c>
      <c r="J2" s="8" t="s">
        <v>55</v>
      </c>
      <c r="K2" s="8" t="s">
        <v>25</v>
      </c>
      <c r="L2" s="8" t="s">
        <v>26</v>
      </c>
      <c r="M2" s="8" t="s">
        <v>27</v>
      </c>
      <c r="N2" s="20" t="s">
        <v>29</v>
      </c>
      <c r="O2" s="20" t="s">
        <v>280</v>
      </c>
      <c r="P2" s="20" t="s">
        <v>21</v>
      </c>
      <c r="Q2" s="20" t="s">
        <v>79</v>
      </c>
      <c r="R2" s="20" t="s">
        <v>281</v>
      </c>
      <c r="S2" s="20" t="s">
        <v>45</v>
      </c>
      <c r="T2" s="20" t="s">
        <v>142</v>
      </c>
      <c r="U2" s="20" t="s">
        <v>282</v>
      </c>
      <c r="V2" s="20" t="s">
        <v>141</v>
      </c>
      <c r="W2" s="20" t="s">
        <v>180</v>
      </c>
      <c r="X2" s="20" t="s">
        <v>283</v>
      </c>
      <c r="Y2" s="20" t="s">
        <v>104</v>
      </c>
      <c r="Z2" s="20" t="s">
        <v>181</v>
      </c>
      <c r="AA2" s="8" t="s">
        <v>278</v>
      </c>
    </row>
    <row r="3" spans="1:27" x14ac:dyDescent="0.25">
      <c r="A3" s="12" t="s">
        <v>0</v>
      </c>
      <c r="B3" s="7" t="s">
        <v>9</v>
      </c>
      <c r="C3" s="7" t="s">
        <v>76</v>
      </c>
      <c r="D3" s="8" t="s">
        <v>271</v>
      </c>
      <c r="E3" s="8" t="s">
        <v>71</v>
      </c>
      <c r="F3" s="8" t="s">
        <v>274</v>
      </c>
      <c r="G3" s="8" t="s">
        <v>271</v>
      </c>
      <c r="H3" s="8" t="s">
        <v>13</v>
      </c>
      <c r="I3" s="8" t="s">
        <v>29</v>
      </c>
      <c r="J3" s="8" t="s">
        <v>55</v>
      </c>
      <c r="K3" s="8" t="s">
        <v>31</v>
      </c>
      <c r="L3" s="8" t="s">
        <v>26</v>
      </c>
      <c r="M3" s="8" t="s">
        <v>27</v>
      </c>
      <c r="N3" s="20" t="s">
        <v>29</v>
      </c>
      <c r="O3" s="20" t="s">
        <v>280</v>
      </c>
      <c r="P3" s="20" t="s">
        <v>21</v>
      </c>
      <c r="Q3" s="20" t="s">
        <v>79</v>
      </c>
      <c r="R3" s="20" t="s">
        <v>281</v>
      </c>
      <c r="S3" s="20" t="s">
        <v>45</v>
      </c>
      <c r="T3" s="20" t="s">
        <v>142</v>
      </c>
      <c r="U3" s="20" t="s">
        <v>282</v>
      </c>
      <c r="V3" s="20" t="s">
        <v>141</v>
      </c>
      <c r="W3" s="20" t="s">
        <v>180</v>
      </c>
      <c r="X3" s="20" t="s">
        <v>273</v>
      </c>
      <c r="Y3" s="20" t="s">
        <v>104</v>
      </c>
      <c r="Z3" s="20" t="s">
        <v>181</v>
      </c>
      <c r="AA3" s="8" t="s">
        <v>279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8789F9-8314-46D1-BC17-4E79C9620516}">
  <dimension ref="A1:P83"/>
  <sheetViews>
    <sheetView zoomScaleNormal="100" workbookViewId="0">
      <pane ySplit="3" topLeftCell="A46" activePane="bottomLeft" state="frozen"/>
      <selection activeCell="AA3" sqref="AA3"/>
      <selection pane="bottomLeft" activeCell="AA3" sqref="AA3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140625" bestFit="1" customWidth="1"/>
    <col min="5" max="5" width="16.5703125" bestFit="1" customWidth="1"/>
    <col min="6" max="6" width="15.28515625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8.5703125" bestFit="1" customWidth="1"/>
    <col min="11" max="11" width="16.5703125" bestFit="1" customWidth="1"/>
    <col min="12" max="12" width="12.140625" bestFit="1" customWidth="1"/>
    <col min="13" max="13" width="15.7109375" bestFit="1" customWidth="1"/>
    <col min="14" max="14" width="6" bestFit="1" customWidth="1"/>
    <col min="15" max="15" width="14.5703125" bestFit="1" customWidth="1"/>
    <col min="16" max="16" width="6" bestFit="1" customWidth="1"/>
  </cols>
  <sheetData>
    <row r="1" spans="1:16" x14ac:dyDescent="0.25">
      <c r="A1" s="17" t="s">
        <v>33</v>
      </c>
      <c r="B1" s="108" t="s">
        <v>272</v>
      </c>
      <c r="C1" s="15" t="s">
        <v>37</v>
      </c>
      <c r="D1" s="37">
        <f>ROUNDUP(35086.1913581213,0)</f>
        <v>35087</v>
      </c>
      <c r="E1" s="73" t="s">
        <v>147</v>
      </c>
      <c r="F1" s="110">
        <v>44072</v>
      </c>
      <c r="G1" s="73" t="s">
        <v>150</v>
      </c>
      <c r="H1" s="79">
        <f>ROUNDUP(37293.0290940407,0)</f>
        <v>37294</v>
      </c>
      <c r="I1" s="73" t="s">
        <v>175</v>
      </c>
      <c r="J1" s="87">
        <v>0.2</v>
      </c>
      <c r="K1" s="73" t="s">
        <v>148</v>
      </c>
      <c r="L1" s="110">
        <v>44284</v>
      </c>
      <c r="M1" s="73" t="s">
        <v>149</v>
      </c>
      <c r="N1" s="69">
        <f>ROUNDUP(34746.5783333333,0)</f>
        <v>34747</v>
      </c>
      <c r="O1" s="73" t="s">
        <v>176</v>
      </c>
      <c r="P1" s="88">
        <v>50000</v>
      </c>
    </row>
    <row r="2" spans="1:16" x14ac:dyDescent="0.25">
      <c r="A2" s="17" t="s">
        <v>34</v>
      </c>
      <c r="B2" s="18">
        <v>0.15</v>
      </c>
      <c r="C2" s="73" t="s">
        <v>125</v>
      </c>
      <c r="D2" s="110">
        <v>44529</v>
      </c>
      <c r="E2" s="73" t="s">
        <v>177</v>
      </c>
      <c r="F2" s="69">
        <v>15000</v>
      </c>
      <c r="G2" s="73" t="s">
        <v>173</v>
      </c>
      <c r="H2" s="110">
        <v>44710</v>
      </c>
      <c r="I2" s="73" t="s">
        <v>174</v>
      </c>
      <c r="J2" s="89">
        <f>ROUNDUP(37250.9690863077,0)</f>
        <v>37251</v>
      </c>
      <c r="K2" s="73" t="s">
        <v>178</v>
      </c>
      <c r="L2" s="88">
        <v>48</v>
      </c>
    </row>
    <row r="3" spans="1:16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6" x14ac:dyDescent="0.25">
      <c r="A4" s="110">
        <v>43950</v>
      </c>
      <c r="B4" s="71">
        <f>_xlfn.DAYS(A4,B1)</f>
        <v>60</v>
      </c>
      <c r="C4" s="14">
        <f>$D$1</f>
        <v>35087</v>
      </c>
      <c r="D4" s="95">
        <f>C4-E4</f>
        <v>10429.470000000001</v>
      </c>
      <c r="E4" s="96">
        <f>ROUND(F4*$B$2*B4/365,2)</f>
        <v>24657.53</v>
      </c>
      <c r="F4" s="14">
        <v>1000000</v>
      </c>
      <c r="G4" s="14">
        <f>F4-D4</f>
        <v>989570.53</v>
      </c>
      <c r="H4" s="14">
        <f>F4*$B$2*B4/365</f>
        <v>24657.534246575342</v>
      </c>
      <c r="I4" s="16">
        <f>H4-E4</f>
        <v>4.2465753431315534E-3</v>
      </c>
    </row>
    <row r="5" spans="1:16" x14ac:dyDescent="0.25">
      <c r="A5" s="110">
        <v>43980</v>
      </c>
      <c r="B5" s="1">
        <f>_xlfn.DAYS(A5,A4)</f>
        <v>30</v>
      </c>
      <c r="C5" s="14">
        <f>$D$1</f>
        <v>35087</v>
      </c>
      <c r="D5" s="95">
        <f>C5-E5</f>
        <v>22886.82</v>
      </c>
      <c r="E5" s="96">
        <f>ROUND(F5*$B$2*B5/365,2)</f>
        <v>12200.18</v>
      </c>
      <c r="F5" s="14">
        <f t="shared" ref="F5:F38" si="0">G4</f>
        <v>989570.53</v>
      </c>
      <c r="G5" s="14">
        <f>F5-D5</f>
        <v>966683.71000000008</v>
      </c>
      <c r="H5" s="14"/>
      <c r="I5" s="16"/>
    </row>
    <row r="6" spans="1:16" x14ac:dyDescent="0.25">
      <c r="A6" s="110">
        <v>44011</v>
      </c>
      <c r="B6" s="1">
        <f t="shared" ref="B6:B38" si="1">_xlfn.DAYS(A6,A5)</f>
        <v>31</v>
      </c>
      <c r="C6" s="14">
        <f t="shared" ref="C6:C40" si="2">$D$1</f>
        <v>35087</v>
      </c>
      <c r="D6" s="95">
        <f t="shared" ref="D6:D38" si="3">C6-E6</f>
        <v>22771.71</v>
      </c>
      <c r="E6" s="96">
        <f t="shared" ref="E6:E38" si="4">ROUND(F6*$B$2*B6/365,2)</f>
        <v>12315.29</v>
      </c>
      <c r="F6" s="14">
        <f>G5</f>
        <v>966683.71000000008</v>
      </c>
      <c r="G6" s="14">
        <f>F6-D6</f>
        <v>943912.00000000012</v>
      </c>
      <c r="H6" s="14">
        <f t="shared" ref="H6:H38" si="5">F6*$B$2*B6/365</f>
        <v>12315.285620547946</v>
      </c>
      <c r="I6" s="16">
        <f t="shared" ref="I6:I38" si="6">H6-E6</f>
        <v>-4.3794520552182803E-3</v>
      </c>
    </row>
    <row r="7" spans="1:16" x14ac:dyDescent="0.25">
      <c r="A7" s="110">
        <v>44041</v>
      </c>
      <c r="B7" s="1">
        <f t="shared" si="1"/>
        <v>30</v>
      </c>
      <c r="C7" s="14">
        <f t="shared" si="2"/>
        <v>35087</v>
      </c>
      <c r="D7" s="95">
        <f t="shared" si="3"/>
        <v>23449.73</v>
      </c>
      <c r="E7" s="96">
        <f t="shared" si="4"/>
        <v>11637.27</v>
      </c>
      <c r="F7" s="14">
        <f>G6</f>
        <v>943912.00000000012</v>
      </c>
      <c r="G7" s="14">
        <f t="shared" ref="G7:G37" si="7">F7-D7</f>
        <v>920462.27000000014</v>
      </c>
      <c r="H7" s="14">
        <f t="shared" si="5"/>
        <v>11637.271232876716</v>
      </c>
      <c r="I7" s="16">
        <f t="shared" si="6"/>
        <v>1.2328767152212095E-3</v>
      </c>
    </row>
    <row r="8" spans="1:16" x14ac:dyDescent="0.25">
      <c r="A8" s="110">
        <v>44072</v>
      </c>
      <c r="B8" s="1">
        <f t="shared" si="1"/>
        <v>31</v>
      </c>
      <c r="C8" s="14">
        <f t="shared" si="2"/>
        <v>35087</v>
      </c>
      <c r="D8" s="95">
        <f t="shared" si="3"/>
        <v>23360.559999999998</v>
      </c>
      <c r="E8" s="96">
        <f t="shared" si="4"/>
        <v>11726.44</v>
      </c>
      <c r="F8" s="14">
        <f t="shared" si="0"/>
        <v>920462.27000000014</v>
      </c>
      <c r="G8" s="14">
        <f t="shared" si="7"/>
        <v>897101.7100000002</v>
      </c>
      <c r="H8" s="14">
        <f t="shared" si="5"/>
        <v>11726.437138356167</v>
      </c>
      <c r="I8" s="16">
        <f t="shared" si="6"/>
        <v>-2.8616438339668093E-3</v>
      </c>
    </row>
    <row r="9" spans="1:16" x14ac:dyDescent="0.25">
      <c r="A9" s="110">
        <v>44103</v>
      </c>
      <c r="B9" s="1">
        <f t="shared" si="1"/>
        <v>31</v>
      </c>
      <c r="C9" s="14">
        <f t="shared" si="2"/>
        <v>35087</v>
      </c>
      <c r="D9" s="95">
        <f t="shared" si="3"/>
        <v>23658.17</v>
      </c>
      <c r="E9" s="96">
        <f t="shared" si="4"/>
        <v>11428.83</v>
      </c>
      <c r="F9" s="14">
        <f t="shared" si="0"/>
        <v>897101.7100000002</v>
      </c>
      <c r="G9" s="14">
        <f t="shared" si="7"/>
        <v>873443.54000000015</v>
      </c>
      <c r="H9" s="14">
        <f t="shared" si="5"/>
        <v>11428.83000410959</v>
      </c>
      <c r="I9" s="16">
        <f t="shared" si="6"/>
        <v>4.1095900087384507E-6</v>
      </c>
    </row>
    <row r="10" spans="1:16" x14ac:dyDescent="0.25">
      <c r="A10" s="110">
        <v>44133</v>
      </c>
      <c r="B10" s="1">
        <f t="shared" si="1"/>
        <v>30</v>
      </c>
      <c r="C10" s="14">
        <f t="shared" si="2"/>
        <v>35087</v>
      </c>
      <c r="D10" s="95">
        <f t="shared" si="3"/>
        <v>24318.52</v>
      </c>
      <c r="E10" s="96">
        <f t="shared" si="4"/>
        <v>10768.48</v>
      </c>
      <c r="F10" s="14">
        <f t="shared" si="0"/>
        <v>873443.54000000015</v>
      </c>
      <c r="G10" s="14">
        <f t="shared" si="7"/>
        <v>849125.02000000014</v>
      </c>
      <c r="H10" s="14">
        <f t="shared" si="5"/>
        <v>10768.482000000002</v>
      </c>
      <c r="I10" s="16">
        <f t="shared" si="6"/>
        <v>2.000000002226443E-3</v>
      </c>
    </row>
    <row r="11" spans="1:16" x14ac:dyDescent="0.25">
      <c r="A11" s="110">
        <v>44164</v>
      </c>
      <c r="B11" s="1">
        <f t="shared" si="1"/>
        <v>31</v>
      </c>
      <c r="C11" s="14">
        <f t="shared" si="2"/>
        <v>35087</v>
      </c>
      <c r="D11" s="95">
        <f t="shared" si="3"/>
        <v>24269.379999999997</v>
      </c>
      <c r="E11" s="96">
        <f t="shared" si="4"/>
        <v>10817.62</v>
      </c>
      <c r="F11" s="14">
        <f t="shared" si="0"/>
        <v>849125.02000000014</v>
      </c>
      <c r="G11" s="14">
        <f t="shared" si="7"/>
        <v>824855.64000000013</v>
      </c>
      <c r="H11" s="14">
        <f t="shared" si="5"/>
        <v>10817.620117808219</v>
      </c>
      <c r="I11" s="16">
        <f t="shared" si="6"/>
        <v>1.1780821841966826E-4</v>
      </c>
    </row>
    <row r="12" spans="1:16" x14ac:dyDescent="0.25">
      <c r="A12" s="110">
        <v>44194</v>
      </c>
      <c r="B12" s="1">
        <f t="shared" si="1"/>
        <v>30</v>
      </c>
      <c r="C12" s="14">
        <f t="shared" si="2"/>
        <v>35087</v>
      </c>
      <c r="D12" s="95">
        <f t="shared" si="3"/>
        <v>24917.55</v>
      </c>
      <c r="E12" s="96">
        <f t="shared" si="4"/>
        <v>10169.450000000001</v>
      </c>
      <c r="F12" s="14">
        <f t="shared" si="0"/>
        <v>824855.64000000013</v>
      </c>
      <c r="G12" s="14">
        <f t="shared" si="7"/>
        <v>799938.09000000008</v>
      </c>
      <c r="H12" s="14">
        <f t="shared" si="5"/>
        <v>10169.453095890412</v>
      </c>
      <c r="I12" s="16">
        <f t="shared" si="6"/>
        <v>3.0958904117142083E-3</v>
      </c>
    </row>
    <row r="13" spans="1:16" x14ac:dyDescent="0.25">
      <c r="A13" s="110">
        <v>44225</v>
      </c>
      <c r="B13" s="1">
        <f t="shared" si="1"/>
        <v>31</v>
      </c>
      <c r="C13" s="14">
        <f t="shared" si="2"/>
        <v>35087</v>
      </c>
      <c r="D13" s="95">
        <f t="shared" si="3"/>
        <v>24896.010000000002</v>
      </c>
      <c r="E13" s="96">
        <f t="shared" si="4"/>
        <v>10190.99</v>
      </c>
      <c r="F13" s="14">
        <f t="shared" si="0"/>
        <v>799938.09000000008</v>
      </c>
      <c r="G13" s="14">
        <f t="shared" si="7"/>
        <v>775042.08000000007</v>
      </c>
      <c r="H13" s="14">
        <f t="shared" si="5"/>
        <v>10190.992105479452</v>
      </c>
      <c r="I13" s="16">
        <f t="shared" si="6"/>
        <v>2.1054794524388853E-3</v>
      </c>
    </row>
    <row r="14" spans="1:16" x14ac:dyDescent="0.25">
      <c r="A14" s="110">
        <v>44255</v>
      </c>
      <c r="B14" s="1">
        <f t="shared" si="1"/>
        <v>30</v>
      </c>
      <c r="C14" s="14">
        <f t="shared" si="2"/>
        <v>35087</v>
      </c>
      <c r="D14" s="95">
        <f t="shared" si="3"/>
        <v>25531.690000000002</v>
      </c>
      <c r="E14" s="96">
        <f t="shared" si="4"/>
        <v>9555.31</v>
      </c>
      <c r="F14" s="14">
        <f t="shared" si="0"/>
        <v>775042.08000000007</v>
      </c>
      <c r="G14" s="14">
        <f t="shared" si="7"/>
        <v>749510.39000000013</v>
      </c>
      <c r="H14" s="14">
        <f t="shared" si="5"/>
        <v>9555.3133150684935</v>
      </c>
      <c r="I14" s="16">
        <f t="shared" si="6"/>
        <v>3.3150684939755592E-3</v>
      </c>
    </row>
    <row r="15" spans="1:16" x14ac:dyDescent="0.25">
      <c r="A15" s="110">
        <v>44284</v>
      </c>
      <c r="B15" s="1">
        <f t="shared" si="1"/>
        <v>29</v>
      </c>
      <c r="C15" s="14">
        <f t="shared" si="2"/>
        <v>35087</v>
      </c>
      <c r="D15" s="95">
        <f t="shared" si="3"/>
        <v>26154.48</v>
      </c>
      <c r="E15" s="96">
        <f t="shared" si="4"/>
        <v>8932.52</v>
      </c>
      <c r="F15" s="14">
        <f t="shared" si="0"/>
        <v>749510.39000000013</v>
      </c>
      <c r="G15" s="14">
        <f t="shared" si="7"/>
        <v>723355.91000000015</v>
      </c>
      <c r="H15" s="14">
        <f t="shared" si="5"/>
        <v>8932.5210863013708</v>
      </c>
      <c r="I15" s="16">
        <f t="shared" si="6"/>
        <v>1.0863013703783508E-3</v>
      </c>
    </row>
    <row r="16" spans="1:16" x14ac:dyDescent="0.25">
      <c r="A16" s="110">
        <v>44315</v>
      </c>
      <c r="B16" s="1">
        <f t="shared" si="1"/>
        <v>31</v>
      </c>
      <c r="C16" s="14">
        <f t="shared" si="2"/>
        <v>35087</v>
      </c>
      <c r="D16" s="95">
        <f t="shared" si="3"/>
        <v>25871.64</v>
      </c>
      <c r="E16" s="96">
        <f t="shared" si="4"/>
        <v>9215.36</v>
      </c>
      <c r="F16" s="14">
        <f t="shared" si="0"/>
        <v>723355.91000000015</v>
      </c>
      <c r="G16" s="14">
        <f t="shared" si="7"/>
        <v>697484.27000000014</v>
      </c>
      <c r="H16" s="14">
        <f t="shared" si="5"/>
        <v>9215.3561136986318</v>
      </c>
      <c r="I16" s="16">
        <f t="shared" si="6"/>
        <v>-3.8863013687659986E-3</v>
      </c>
    </row>
    <row r="17" spans="1:9" x14ac:dyDescent="0.25">
      <c r="A17" s="110">
        <v>44345</v>
      </c>
      <c r="B17" s="1">
        <f t="shared" si="1"/>
        <v>30</v>
      </c>
      <c r="C17" s="14">
        <f t="shared" si="2"/>
        <v>35087</v>
      </c>
      <c r="D17" s="95">
        <f t="shared" si="3"/>
        <v>26487.879999999997</v>
      </c>
      <c r="E17" s="96">
        <f t="shared" si="4"/>
        <v>8599.1200000000008</v>
      </c>
      <c r="F17" s="14">
        <f t="shared" si="0"/>
        <v>697484.27000000014</v>
      </c>
      <c r="G17" s="14">
        <f t="shared" si="7"/>
        <v>670996.39000000013</v>
      </c>
      <c r="H17" s="14">
        <f t="shared" si="5"/>
        <v>8599.1211369863031</v>
      </c>
      <c r="I17" s="16">
        <f t="shared" si="6"/>
        <v>1.1369863022991922E-3</v>
      </c>
    </row>
    <row r="18" spans="1:9" x14ac:dyDescent="0.25">
      <c r="A18" s="110">
        <v>44376</v>
      </c>
      <c r="B18" s="1">
        <f t="shared" si="1"/>
        <v>31</v>
      </c>
      <c r="C18" s="14">
        <f t="shared" si="2"/>
        <v>35087</v>
      </c>
      <c r="D18" s="95">
        <f t="shared" si="3"/>
        <v>26538.690000000002</v>
      </c>
      <c r="E18" s="96">
        <f t="shared" si="4"/>
        <v>8548.31</v>
      </c>
      <c r="F18" s="14">
        <f t="shared" si="0"/>
        <v>670996.39000000013</v>
      </c>
      <c r="G18" s="14">
        <f t="shared" si="7"/>
        <v>644457.70000000019</v>
      </c>
      <c r="H18" s="14">
        <f t="shared" si="5"/>
        <v>8548.3101739726044</v>
      </c>
      <c r="I18" s="16">
        <f t="shared" si="6"/>
        <v>1.739726048981538E-4</v>
      </c>
    </row>
    <row r="19" spans="1:9" x14ac:dyDescent="0.25">
      <c r="A19" s="110">
        <v>44406</v>
      </c>
      <c r="B19" s="1">
        <f t="shared" si="1"/>
        <v>30</v>
      </c>
      <c r="C19" s="14">
        <f t="shared" si="2"/>
        <v>35087</v>
      </c>
      <c r="D19" s="95">
        <f t="shared" si="3"/>
        <v>27141.63</v>
      </c>
      <c r="E19" s="96">
        <f t="shared" si="4"/>
        <v>7945.37</v>
      </c>
      <c r="F19" s="14">
        <f t="shared" si="0"/>
        <v>644457.70000000019</v>
      </c>
      <c r="G19" s="14">
        <f t="shared" si="7"/>
        <v>617316.07000000018</v>
      </c>
      <c r="H19" s="14">
        <f t="shared" si="5"/>
        <v>7945.3689041095913</v>
      </c>
      <c r="I19" s="16">
        <f t="shared" si="6"/>
        <v>-1.0958904085782706E-3</v>
      </c>
    </row>
    <row r="20" spans="1:9" x14ac:dyDescent="0.25">
      <c r="A20" s="110">
        <v>44437</v>
      </c>
      <c r="B20" s="1">
        <f t="shared" si="1"/>
        <v>31</v>
      </c>
      <c r="C20" s="14">
        <f t="shared" si="2"/>
        <v>35087</v>
      </c>
      <c r="D20" s="95">
        <f t="shared" si="3"/>
        <v>27222.560000000001</v>
      </c>
      <c r="E20" s="96">
        <f t="shared" si="4"/>
        <v>7864.44</v>
      </c>
      <c r="F20" s="14">
        <f t="shared" si="0"/>
        <v>617316.07000000018</v>
      </c>
      <c r="G20" s="14">
        <f t="shared" si="7"/>
        <v>590093.51000000013</v>
      </c>
      <c r="H20" s="14">
        <f t="shared" si="5"/>
        <v>7864.4376041095911</v>
      </c>
      <c r="I20" s="16">
        <f t="shared" si="6"/>
        <v>-2.3958904084793176E-3</v>
      </c>
    </row>
    <row r="21" spans="1:9" x14ac:dyDescent="0.25">
      <c r="A21" s="110">
        <v>44468</v>
      </c>
      <c r="B21" s="1">
        <f t="shared" si="1"/>
        <v>31</v>
      </c>
      <c r="C21" s="14">
        <f t="shared" si="2"/>
        <v>35087</v>
      </c>
      <c r="D21" s="95">
        <f t="shared" si="3"/>
        <v>27569.37</v>
      </c>
      <c r="E21" s="96">
        <f t="shared" si="4"/>
        <v>7517.63</v>
      </c>
      <c r="F21" s="14">
        <f t="shared" si="0"/>
        <v>590093.51000000013</v>
      </c>
      <c r="G21" s="14">
        <f t="shared" si="7"/>
        <v>562524.14000000013</v>
      </c>
      <c r="H21" s="14">
        <f t="shared" si="5"/>
        <v>7517.6296479452067</v>
      </c>
      <c r="I21" s="16">
        <f t="shared" si="6"/>
        <v>-3.5205479343858315E-4</v>
      </c>
    </row>
    <row r="22" spans="1:9" x14ac:dyDescent="0.25">
      <c r="A22" s="110">
        <v>44498</v>
      </c>
      <c r="B22" s="1">
        <f t="shared" si="1"/>
        <v>30</v>
      </c>
      <c r="C22" s="14">
        <f t="shared" si="2"/>
        <v>35087</v>
      </c>
      <c r="D22" s="95">
        <f t="shared" si="3"/>
        <v>28151.77</v>
      </c>
      <c r="E22" s="96">
        <f t="shared" si="4"/>
        <v>6935.23</v>
      </c>
      <c r="F22" s="14">
        <f t="shared" si="0"/>
        <v>562524.14000000013</v>
      </c>
      <c r="G22" s="14">
        <f t="shared" si="7"/>
        <v>534372.37000000011</v>
      </c>
      <c r="H22" s="14">
        <f t="shared" si="5"/>
        <v>6935.2291232876723</v>
      </c>
      <c r="I22" s="16">
        <f t="shared" si="6"/>
        <v>-8.7671232722641435E-4</v>
      </c>
    </row>
    <row r="23" spans="1:9" x14ac:dyDescent="0.25">
      <c r="A23" s="110">
        <v>44529</v>
      </c>
      <c r="B23" s="1">
        <f t="shared" si="1"/>
        <v>31</v>
      </c>
      <c r="C23" s="14">
        <f t="shared" si="2"/>
        <v>35087</v>
      </c>
      <c r="D23" s="95">
        <f t="shared" si="3"/>
        <v>28279.239999999998</v>
      </c>
      <c r="E23" s="96">
        <f t="shared" si="4"/>
        <v>6807.76</v>
      </c>
      <c r="F23" s="14">
        <f t="shared" si="0"/>
        <v>534372.37000000011</v>
      </c>
      <c r="G23" s="14">
        <f t="shared" si="7"/>
        <v>506093.13000000012</v>
      </c>
      <c r="H23" s="14">
        <f t="shared" si="5"/>
        <v>6807.7575904109608</v>
      </c>
      <c r="I23" s="16">
        <f t="shared" si="6"/>
        <v>-2.4095890394164599E-3</v>
      </c>
    </row>
    <row r="24" spans="1:9" x14ac:dyDescent="0.25">
      <c r="A24" s="110">
        <v>44559</v>
      </c>
      <c r="B24" s="1">
        <f t="shared" si="1"/>
        <v>30</v>
      </c>
      <c r="C24" s="14">
        <f t="shared" si="2"/>
        <v>35087</v>
      </c>
      <c r="D24" s="95">
        <f t="shared" si="3"/>
        <v>28847.5</v>
      </c>
      <c r="E24" s="96">
        <f t="shared" si="4"/>
        <v>6239.5</v>
      </c>
      <c r="F24" s="14">
        <f t="shared" si="0"/>
        <v>506093.13000000012</v>
      </c>
      <c r="G24" s="14">
        <f t="shared" si="7"/>
        <v>477245.63000000012</v>
      </c>
      <c r="H24" s="14">
        <f t="shared" si="5"/>
        <v>6239.5043424657542</v>
      </c>
      <c r="I24" s="16">
        <f t="shared" si="6"/>
        <v>4.3424657542345813E-3</v>
      </c>
    </row>
    <row r="25" spans="1:9" x14ac:dyDescent="0.25">
      <c r="A25" s="110">
        <v>44590</v>
      </c>
      <c r="B25" s="1">
        <f t="shared" si="1"/>
        <v>31</v>
      </c>
      <c r="C25" s="14">
        <f t="shared" si="2"/>
        <v>35087</v>
      </c>
      <c r="D25" s="95">
        <f t="shared" si="3"/>
        <v>29007.02</v>
      </c>
      <c r="E25" s="96">
        <f t="shared" si="4"/>
        <v>6079.98</v>
      </c>
      <c r="F25" s="14">
        <f t="shared" si="0"/>
        <v>477245.63000000012</v>
      </c>
      <c r="G25" s="14">
        <f t="shared" si="7"/>
        <v>448238.6100000001</v>
      </c>
      <c r="H25" s="14">
        <f t="shared" si="5"/>
        <v>6079.978573972604</v>
      </c>
      <c r="I25" s="16">
        <f t="shared" si="6"/>
        <v>-1.426027395609708E-3</v>
      </c>
    </row>
    <row r="26" spans="1:9" x14ac:dyDescent="0.25">
      <c r="A26" s="110">
        <v>44620</v>
      </c>
      <c r="B26" s="1">
        <f t="shared" si="1"/>
        <v>30</v>
      </c>
      <c r="C26" s="14">
        <f t="shared" si="2"/>
        <v>35087</v>
      </c>
      <c r="D26" s="95">
        <f t="shared" si="3"/>
        <v>29560.77</v>
      </c>
      <c r="E26" s="96">
        <f t="shared" si="4"/>
        <v>5526.23</v>
      </c>
      <c r="F26" s="14">
        <f t="shared" si="0"/>
        <v>448238.6100000001</v>
      </c>
      <c r="G26" s="14">
        <f t="shared" si="7"/>
        <v>418677.84000000008</v>
      </c>
      <c r="H26" s="14">
        <f t="shared" si="5"/>
        <v>5526.2294383561648</v>
      </c>
      <c r="I26" s="16">
        <f t="shared" si="6"/>
        <v>-5.6164383477153024E-4</v>
      </c>
    </row>
    <row r="27" spans="1:9" x14ac:dyDescent="0.25">
      <c r="A27" s="110">
        <v>44649</v>
      </c>
      <c r="B27" s="1">
        <f t="shared" si="1"/>
        <v>29</v>
      </c>
      <c r="C27" s="14">
        <f t="shared" si="2"/>
        <v>35087</v>
      </c>
      <c r="D27" s="95">
        <f t="shared" si="3"/>
        <v>30097.279999999999</v>
      </c>
      <c r="E27" s="96">
        <f t="shared" si="4"/>
        <v>4989.72</v>
      </c>
      <c r="F27" s="14">
        <f t="shared" si="0"/>
        <v>418677.84000000008</v>
      </c>
      <c r="G27" s="14">
        <f t="shared" si="7"/>
        <v>388580.56000000006</v>
      </c>
      <c r="H27" s="14">
        <f t="shared" si="5"/>
        <v>4989.7222027397265</v>
      </c>
      <c r="I27" s="16">
        <f t="shared" si="6"/>
        <v>2.2027397262718296E-3</v>
      </c>
    </row>
    <row r="28" spans="1:9" x14ac:dyDescent="0.25">
      <c r="A28" s="110">
        <v>44680</v>
      </c>
      <c r="B28" s="1">
        <f t="shared" si="1"/>
        <v>31</v>
      </c>
      <c r="C28" s="14">
        <f t="shared" si="2"/>
        <v>35087</v>
      </c>
      <c r="D28" s="95">
        <f t="shared" si="3"/>
        <v>30136.59</v>
      </c>
      <c r="E28" s="96">
        <f t="shared" si="4"/>
        <v>4950.41</v>
      </c>
      <c r="F28" s="14">
        <f t="shared" si="0"/>
        <v>388580.56000000006</v>
      </c>
      <c r="G28" s="14">
        <f t="shared" si="7"/>
        <v>358443.97000000003</v>
      </c>
      <c r="H28" s="14">
        <f t="shared" si="5"/>
        <v>4950.4098739726032</v>
      </c>
      <c r="I28" s="16">
        <f t="shared" si="6"/>
        <v>-1.2602739661815576E-4</v>
      </c>
    </row>
    <row r="29" spans="1:9" x14ac:dyDescent="0.25">
      <c r="A29" s="110">
        <v>44710</v>
      </c>
      <c r="B29" s="1">
        <f t="shared" si="1"/>
        <v>30</v>
      </c>
      <c r="C29" s="14">
        <f t="shared" si="2"/>
        <v>35087</v>
      </c>
      <c r="D29" s="95">
        <f t="shared" si="3"/>
        <v>30667.83</v>
      </c>
      <c r="E29" s="96">
        <f t="shared" si="4"/>
        <v>4419.17</v>
      </c>
      <c r="F29" s="14">
        <f t="shared" si="0"/>
        <v>358443.97000000003</v>
      </c>
      <c r="G29" s="14">
        <f t="shared" si="7"/>
        <v>327776.14</v>
      </c>
      <c r="H29" s="14">
        <f t="shared" si="5"/>
        <v>4419.1722328767119</v>
      </c>
      <c r="I29" s="16">
        <f t="shared" si="6"/>
        <v>2.2328767117869575E-3</v>
      </c>
    </row>
    <row r="30" spans="1:9" x14ac:dyDescent="0.25">
      <c r="A30" s="110">
        <v>44741</v>
      </c>
      <c r="B30" s="1">
        <f t="shared" si="1"/>
        <v>31</v>
      </c>
      <c r="C30" s="14">
        <f t="shared" si="2"/>
        <v>35087</v>
      </c>
      <c r="D30" s="95">
        <f t="shared" si="3"/>
        <v>30911.22</v>
      </c>
      <c r="E30" s="96">
        <f t="shared" si="4"/>
        <v>4175.78</v>
      </c>
      <c r="F30" s="14">
        <f t="shared" si="0"/>
        <v>327776.14</v>
      </c>
      <c r="G30" s="14">
        <f t="shared" si="7"/>
        <v>296864.92000000004</v>
      </c>
      <c r="H30" s="14">
        <f t="shared" si="5"/>
        <v>4175.778221917808</v>
      </c>
      <c r="I30" s="16">
        <f t="shared" si="6"/>
        <v>-1.7780821917767753E-3</v>
      </c>
    </row>
    <row r="31" spans="1:9" x14ac:dyDescent="0.25">
      <c r="A31" s="110">
        <v>44771</v>
      </c>
      <c r="B31" s="1">
        <f t="shared" si="1"/>
        <v>30</v>
      </c>
      <c r="C31" s="14">
        <f t="shared" si="2"/>
        <v>35087</v>
      </c>
      <c r="D31" s="95">
        <f t="shared" si="3"/>
        <v>31427.02</v>
      </c>
      <c r="E31" s="96">
        <f t="shared" si="4"/>
        <v>3659.98</v>
      </c>
      <c r="F31" s="14">
        <f t="shared" si="0"/>
        <v>296864.92000000004</v>
      </c>
      <c r="G31" s="14">
        <f t="shared" si="7"/>
        <v>265437.90000000002</v>
      </c>
      <c r="H31" s="14">
        <f t="shared" si="5"/>
        <v>3659.9784657534251</v>
      </c>
      <c r="I31" s="16">
        <f t="shared" si="6"/>
        <v>-1.5342465749199619E-3</v>
      </c>
    </row>
    <row r="32" spans="1:9" x14ac:dyDescent="0.25">
      <c r="A32" s="110">
        <v>44802</v>
      </c>
      <c r="B32" s="1">
        <f t="shared" si="1"/>
        <v>31</v>
      </c>
      <c r="C32" s="14">
        <f t="shared" si="2"/>
        <v>35087</v>
      </c>
      <c r="D32" s="95">
        <f t="shared" si="3"/>
        <v>31705.39</v>
      </c>
      <c r="E32" s="96">
        <f t="shared" si="4"/>
        <v>3381.61</v>
      </c>
      <c r="F32" s="14">
        <f t="shared" si="0"/>
        <v>265437.90000000002</v>
      </c>
      <c r="G32" s="14">
        <f t="shared" si="7"/>
        <v>233732.51</v>
      </c>
      <c r="H32" s="14">
        <f t="shared" si="5"/>
        <v>3381.6061232876714</v>
      </c>
      <c r="I32" s="16">
        <f t="shared" si="6"/>
        <v>-3.8767123287470895E-3</v>
      </c>
    </row>
    <row r="33" spans="1:9" x14ac:dyDescent="0.25">
      <c r="A33" s="110">
        <v>44833</v>
      </c>
      <c r="B33" s="1">
        <f t="shared" si="1"/>
        <v>31</v>
      </c>
      <c r="C33" s="14">
        <f t="shared" si="2"/>
        <v>35087</v>
      </c>
      <c r="D33" s="95">
        <f t="shared" si="3"/>
        <v>32109.31</v>
      </c>
      <c r="E33" s="96">
        <f t="shared" si="4"/>
        <v>2977.69</v>
      </c>
      <c r="F33" s="14">
        <f t="shared" si="0"/>
        <v>233732.51</v>
      </c>
      <c r="G33" s="14">
        <f t="shared" si="7"/>
        <v>201623.2</v>
      </c>
      <c r="H33" s="14">
        <f t="shared" si="5"/>
        <v>2977.6881410958904</v>
      </c>
      <c r="I33" s="16">
        <f t="shared" si="6"/>
        <v>-1.8589041096674919E-3</v>
      </c>
    </row>
    <row r="34" spans="1:9" x14ac:dyDescent="0.25">
      <c r="A34" s="110">
        <v>44863</v>
      </c>
      <c r="B34" s="1">
        <f t="shared" si="1"/>
        <v>30</v>
      </c>
      <c r="C34" s="14">
        <f t="shared" si="2"/>
        <v>35087</v>
      </c>
      <c r="D34" s="95">
        <f t="shared" si="3"/>
        <v>32601.23</v>
      </c>
      <c r="E34" s="96">
        <f t="shared" si="4"/>
        <v>2485.77</v>
      </c>
      <c r="F34" s="14">
        <f t="shared" si="0"/>
        <v>201623.2</v>
      </c>
      <c r="G34" s="14">
        <f t="shared" si="7"/>
        <v>169021.97</v>
      </c>
      <c r="H34" s="14">
        <f t="shared" si="5"/>
        <v>2485.7654794520549</v>
      </c>
      <c r="I34" s="16">
        <f t="shared" si="6"/>
        <v>-4.5205479450487474E-3</v>
      </c>
    </row>
    <row r="35" spans="1:9" x14ac:dyDescent="0.25">
      <c r="A35" s="110">
        <v>44894</v>
      </c>
      <c r="B35" s="1">
        <f t="shared" si="1"/>
        <v>31</v>
      </c>
      <c r="C35" s="14">
        <f t="shared" si="2"/>
        <v>35087</v>
      </c>
      <c r="D35" s="95">
        <f t="shared" si="3"/>
        <v>32933.71</v>
      </c>
      <c r="E35" s="96">
        <f t="shared" si="4"/>
        <v>2153.29</v>
      </c>
      <c r="F35" s="14">
        <f t="shared" si="0"/>
        <v>169021.97</v>
      </c>
      <c r="G35" s="14">
        <f t="shared" si="7"/>
        <v>136088.26</v>
      </c>
      <c r="H35" s="14">
        <f t="shared" si="5"/>
        <v>2153.293590410959</v>
      </c>
      <c r="I35" s="16">
        <f t="shared" si="6"/>
        <v>3.5904109590774169E-3</v>
      </c>
    </row>
    <row r="36" spans="1:9" x14ac:dyDescent="0.25">
      <c r="A36" s="110">
        <v>44924</v>
      </c>
      <c r="B36" s="1">
        <f t="shared" si="1"/>
        <v>30</v>
      </c>
      <c r="C36" s="14">
        <f t="shared" si="2"/>
        <v>35087</v>
      </c>
      <c r="D36" s="95">
        <f t="shared" si="3"/>
        <v>33409.199999999997</v>
      </c>
      <c r="E36" s="96">
        <f t="shared" si="4"/>
        <v>1677.8</v>
      </c>
      <c r="F36" s="14">
        <f t="shared" si="0"/>
        <v>136088.26</v>
      </c>
      <c r="G36" s="14">
        <f t="shared" si="7"/>
        <v>102679.06000000001</v>
      </c>
      <c r="H36" s="14">
        <f t="shared" si="5"/>
        <v>1677.8004657534248</v>
      </c>
      <c r="I36" s="16">
        <f t="shared" si="6"/>
        <v>4.6575342480537074E-4</v>
      </c>
    </row>
    <row r="37" spans="1:9" x14ac:dyDescent="0.25">
      <c r="A37" s="110">
        <v>44955</v>
      </c>
      <c r="B37" s="1">
        <f t="shared" si="1"/>
        <v>31</v>
      </c>
      <c r="C37" s="14">
        <f t="shared" si="2"/>
        <v>35087</v>
      </c>
      <c r="D37" s="95">
        <f t="shared" si="3"/>
        <v>33778.9</v>
      </c>
      <c r="E37" s="96">
        <f t="shared" si="4"/>
        <v>1308.0999999999999</v>
      </c>
      <c r="F37" s="14">
        <f t="shared" si="0"/>
        <v>102679.06000000001</v>
      </c>
      <c r="G37" s="14">
        <f t="shared" si="7"/>
        <v>68900.160000000003</v>
      </c>
      <c r="H37" s="14">
        <f t="shared" si="5"/>
        <v>1308.103093150685</v>
      </c>
      <c r="I37" s="16">
        <f t="shared" si="6"/>
        <v>3.0931506851175072E-3</v>
      </c>
    </row>
    <row r="38" spans="1:9" x14ac:dyDescent="0.25">
      <c r="A38" s="110">
        <v>44985</v>
      </c>
      <c r="B38" s="1">
        <f t="shared" si="1"/>
        <v>30</v>
      </c>
      <c r="C38" s="14">
        <f t="shared" si="2"/>
        <v>35087</v>
      </c>
      <c r="D38" s="95">
        <f t="shared" si="3"/>
        <v>34237.550000000003</v>
      </c>
      <c r="E38" s="96">
        <f t="shared" si="4"/>
        <v>849.45</v>
      </c>
      <c r="F38" s="14">
        <f t="shared" si="0"/>
        <v>68900.160000000003</v>
      </c>
      <c r="G38" s="14">
        <f>F38-D38</f>
        <v>34662.61</v>
      </c>
      <c r="H38" s="14">
        <f t="shared" si="5"/>
        <v>849.45402739726023</v>
      </c>
      <c r="I38" s="16">
        <f t="shared" si="6"/>
        <v>4.0273972601880814E-3</v>
      </c>
    </row>
    <row r="39" spans="1:9" x14ac:dyDescent="0.25">
      <c r="A39" s="110">
        <v>45014</v>
      </c>
      <c r="B39" s="1">
        <f t="shared" ref="B39" si="8">_xlfn.DAYS(A39,A38)</f>
        <v>29</v>
      </c>
      <c r="C39" s="14">
        <f t="shared" si="2"/>
        <v>35087</v>
      </c>
      <c r="D39" s="95">
        <f t="shared" ref="D39" si="9">C39-E39</f>
        <v>34662.61</v>
      </c>
      <c r="E39" s="96">
        <v>424.39</v>
      </c>
      <c r="F39" s="14">
        <f t="shared" ref="F39" si="10">G38</f>
        <v>34662.61</v>
      </c>
      <c r="G39" s="14">
        <f>F39-D39</f>
        <v>0</v>
      </c>
      <c r="H39" s="14">
        <f t="shared" ref="H39" si="11">F39*$B$2*B39/365</f>
        <v>413.10233835616435</v>
      </c>
      <c r="I39" s="16">
        <f t="shared" ref="I39" si="12">H39-E39</f>
        <v>-11.287661643835634</v>
      </c>
    </row>
    <row r="40" spans="1:9" x14ac:dyDescent="0.25">
      <c r="A40" s="111">
        <v>44072</v>
      </c>
      <c r="B40" s="98">
        <f>_xlfn.DAYS(A8,A7)</f>
        <v>31</v>
      </c>
      <c r="C40" s="99">
        <f t="shared" si="2"/>
        <v>35087</v>
      </c>
      <c r="D40" s="100">
        <f t="shared" ref="D40:D41" si="13">C40-E40</f>
        <v>23360.559999999998</v>
      </c>
      <c r="E40" s="101">
        <f>ROUND(F8*$B$2*B8/365,2)</f>
        <v>11726.44</v>
      </c>
      <c r="F40" s="99">
        <f>G7</f>
        <v>920462.27000000014</v>
      </c>
      <c r="G40" s="99">
        <f t="shared" ref="G40:G41" si="14">F40-D40</f>
        <v>897101.7100000002</v>
      </c>
      <c r="H40" s="99">
        <f t="shared" ref="H40" si="15">F40*$B$2*B40/365</f>
        <v>11726.437138356167</v>
      </c>
      <c r="I40" s="112">
        <f t="shared" ref="I40" si="16">H40-E40</f>
        <v>-2.8616438339668093E-3</v>
      </c>
    </row>
    <row r="41" spans="1:9" x14ac:dyDescent="0.25">
      <c r="A41" s="110">
        <v>44103</v>
      </c>
      <c r="B41" s="1">
        <f t="shared" ref="B41:B70" si="17">_xlfn.DAYS(A41,A40)</f>
        <v>31</v>
      </c>
      <c r="C41" s="14">
        <f>$H$1</f>
        <v>37294</v>
      </c>
      <c r="D41" s="95">
        <f t="shared" si="13"/>
        <v>22055.559999999998</v>
      </c>
      <c r="E41" s="96">
        <f>ROUND(F41*$J$1*B41/365,2)</f>
        <v>15238.44</v>
      </c>
      <c r="F41" s="14">
        <f t="shared" ref="F41" si="18">G40</f>
        <v>897101.7100000002</v>
      </c>
      <c r="G41" s="14">
        <f t="shared" si="14"/>
        <v>875046.15000000014</v>
      </c>
      <c r="H41" s="14"/>
      <c r="I41" s="16"/>
    </row>
    <row r="42" spans="1:9" x14ac:dyDescent="0.25">
      <c r="A42" s="110">
        <v>44133</v>
      </c>
      <c r="B42" s="1">
        <f t="shared" si="17"/>
        <v>30</v>
      </c>
      <c r="C42" s="14">
        <f t="shared" ref="C42:C47" si="19">$H$1</f>
        <v>37294</v>
      </c>
      <c r="D42" s="95">
        <f t="shared" ref="D42:D70" si="20">C42-E42</f>
        <v>22909.68</v>
      </c>
      <c r="E42" s="96">
        <f t="shared" ref="E42:E70" si="21">ROUND(F42*$J$1*B42/365,2)</f>
        <v>14384.32</v>
      </c>
      <c r="F42" s="14">
        <f t="shared" ref="F42:F70" si="22">G41</f>
        <v>875046.15000000014</v>
      </c>
      <c r="G42" s="14">
        <f t="shared" ref="G42:G70" si="23">F42-D42</f>
        <v>852136.47000000009</v>
      </c>
      <c r="H42" s="14"/>
      <c r="I42" s="16"/>
    </row>
    <row r="43" spans="1:9" x14ac:dyDescent="0.25">
      <c r="A43" s="110">
        <v>44164</v>
      </c>
      <c r="B43" s="1">
        <f t="shared" si="17"/>
        <v>31</v>
      </c>
      <c r="C43" s="14">
        <f t="shared" si="19"/>
        <v>37294</v>
      </c>
      <c r="D43" s="95">
        <f t="shared" si="20"/>
        <v>22819.35</v>
      </c>
      <c r="E43" s="96">
        <f t="shared" si="21"/>
        <v>14474.65</v>
      </c>
      <c r="F43" s="14">
        <f t="shared" si="22"/>
        <v>852136.47000000009</v>
      </c>
      <c r="G43" s="14">
        <f t="shared" si="23"/>
        <v>829317.12000000011</v>
      </c>
      <c r="H43" s="14"/>
      <c r="I43" s="16"/>
    </row>
    <row r="44" spans="1:9" x14ac:dyDescent="0.25">
      <c r="A44" s="110">
        <v>44194</v>
      </c>
      <c r="B44" s="1">
        <f t="shared" si="17"/>
        <v>30</v>
      </c>
      <c r="C44" s="14">
        <f t="shared" si="19"/>
        <v>37294</v>
      </c>
      <c r="D44" s="95">
        <f t="shared" si="20"/>
        <v>23661.39</v>
      </c>
      <c r="E44" s="96">
        <f t="shared" si="21"/>
        <v>13632.61</v>
      </c>
      <c r="F44" s="14">
        <f t="shared" si="22"/>
        <v>829317.12000000011</v>
      </c>
      <c r="G44" s="14">
        <f t="shared" si="23"/>
        <v>805655.7300000001</v>
      </c>
      <c r="H44" s="14"/>
      <c r="I44" s="16"/>
    </row>
    <row r="45" spans="1:9" x14ac:dyDescent="0.25">
      <c r="A45" s="110">
        <v>44225</v>
      </c>
      <c r="B45" s="1">
        <f t="shared" si="17"/>
        <v>31</v>
      </c>
      <c r="C45" s="14">
        <f t="shared" si="19"/>
        <v>37294</v>
      </c>
      <c r="D45" s="95">
        <f t="shared" si="20"/>
        <v>23608.89</v>
      </c>
      <c r="E45" s="96">
        <f t="shared" si="21"/>
        <v>13685.11</v>
      </c>
      <c r="F45" s="14">
        <f t="shared" si="22"/>
        <v>805655.7300000001</v>
      </c>
      <c r="G45" s="14">
        <f t="shared" si="23"/>
        <v>782046.84000000008</v>
      </c>
      <c r="H45" s="14"/>
      <c r="I45" s="16"/>
    </row>
    <row r="46" spans="1:9" x14ac:dyDescent="0.25">
      <c r="A46" s="110">
        <v>44255</v>
      </c>
      <c r="B46" s="1">
        <f t="shared" si="17"/>
        <v>30</v>
      </c>
      <c r="C46" s="14">
        <f t="shared" si="19"/>
        <v>37294</v>
      </c>
      <c r="D46" s="95">
        <f t="shared" si="20"/>
        <v>24438.440000000002</v>
      </c>
      <c r="E46" s="96">
        <f t="shared" si="21"/>
        <v>12855.56</v>
      </c>
      <c r="F46" s="14">
        <f t="shared" si="22"/>
        <v>782046.84000000008</v>
      </c>
      <c r="G46" s="14">
        <f t="shared" si="23"/>
        <v>757608.40000000014</v>
      </c>
      <c r="H46" s="14"/>
      <c r="I46" s="16"/>
    </row>
    <row r="47" spans="1:9" x14ac:dyDescent="0.25">
      <c r="A47" s="110">
        <v>44284</v>
      </c>
      <c r="B47" s="1">
        <f t="shared" si="17"/>
        <v>29</v>
      </c>
      <c r="C47" s="14">
        <f t="shared" si="19"/>
        <v>37294</v>
      </c>
      <c r="D47" s="95">
        <f t="shared" si="20"/>
        <v>25255.29</v>
      </c>
      <c r="E47" s="96">
        <f t="shared" si="21"/>
        <v>12038.71</v>
      </c>
      <c r="F47" s="14">
        <f>G46</f>
        <v>757608.40000000014</v>
      </c>
      <c r="G47" s="14">
        <f t="shared" si="23"/>
        <v>732353.1100000001</v>
      </c>
      <c r="H47" s="14"/>
      <c r="I47" s="16"/>
    </row>
    <row r="48" spans="1:9" x14ac:dyDescent="0.25">
      <c r="A48" s="111">
        <v>44315</v>
      </c>
      <c r="B48" s="98">
        <f t="shared" si="17"/>
        <v>31</v>
      </c>
      <c r="C48" s="14">
        <f>$N$1</f>
        <v>34747</v>
      </c>
      <c r="D48" s="95">
        <f t="shared" si="20"/>
        <v>23156.34</v>
      </c>
      <c r="E48" s="96">
        <f t="shared" si="21"/>
        <v>11590.66</v>
      </c>
      <c r="F48" s="14">
        <f>G47-P1</f>
        <v>682353.1100000001</v>
      </c>
      <c r="G48" s="14">
        <f t="shared" si="23"/>
        <v>659196.77000000014</v>
      </c>
      <c r="H48" s="14"/>
      <c r="I48" s="16"/>
    </row>
    <row r="49" spans="1:9" x14ac:dyDescent="0.25">
      <c r="A49" s="110">
        <v>44345</v>
      </c>
      <c r="B49" s="1">
        <f t="shared" si="17"/>
        <v>30</v>
      </c>
      <c r="C49" s="14">
        <f t="shared" ref="C49:C55" si="24">$N$1</f>
        <v>34747</v>
      </c>
      <c r="D49" s="95">
        <f t="shared" si="20"/>
        <v>23910.89</v>
      </c>
      <c r="E49" s="96">
        <f t="shared" si="21"/>
        <v>10836.11</v>
      </c>
      <c r="F49" s="14">
        <f t="shared" si="22"/>
        <v>659196.77000000014</v>
      </c>
      <c r="G49" s="14">
        <f t="shared" si="23"/>
        <v>635285.88000000012</v>
      </c>
      <c r="H49" s="14"/>
      <c r="I49" s="16"/>
    </row>
    <row r="50" spans="1:9" x14ac:dyDescent="0.25">
      <c r="A50" s="110">
        <v>44376</v>
      </c>
      <c r="B50" s="1">
        <f t="shared" si="17"/>
        <v>31</v>
      </c>
      <c r="C50" s="14">
        <f t="shared" si="24"/>
        <v>34747</v>
      </c>
      <c r="D50" s="95">
        <f t="shared" si="20"/>
        <v>23955.84</v>
      </c>
      <c r="E50" s="96">
        <f t="shared" si="21"/>
        <v>10791.16</v>
      </c>
      <c r="F50" s="14">
        <f t="shared" si="22"/>
        <v>635285.88000000012</v>
      </c>
      <c r="G50" s="14">
        <f t="shared" si="23"/>
        <v>611330.04000000015</v>
      </c>
      <c r="H50" s="14"/>
      <c r="I50" s="16"/>
    </row>
    <row r="51" spans="1:9" x14ac:dyDescent="0.25">
      <c r="A51" s="110">
        <v>44406</v>
      </c>
      <c r="B51" s="1">
        <f t="shared" si="17"/>
        <v>30</v>
      </c>
      <c r="C51" s="14">
        <f t="shared" si="24"/>
        <v>34747</v>
      </c>
      <c r="D51" s="95">
        <f t="shared" si="20"/>
        <v>24697.739999999998</v>
      </c>
      <c r="E51" s="96">
        <f t="shared" si="21"/>
        <v>10049.26</v>
      </c>
      <c r="F51" s="14">
        <f t="shared" si="22"/>
        <v>611330.04000000015</v>
      </c>
      <c r="G51" s="14">
        <f t="shared" si="23"/>
        <v>586632.30000000016</v>
      </c>
      <c r="H51" s="14"/>
      <c r="I51" s="16"/>
    </row>
    <row r="52" spans="1:9" x14ac:dyDescent="0.25">
      <c r="A52" s="110">
        <v>44437</v>
      </c>
      <c r="B52" s="1">
        <f t="shared" si="17"/>
        <v>31</v>
      </c>
      <c r="C52" s="14">
        <f t="shared" si="24"/>
        <v>34747</v>
      </c>
      <c r="D52" s="95">
        <f t="shared" si="20"/>
        <v>24782.29</v>
      </c>
      <c r="E52" s="96">
        <f t="shared" si="21"/>
        <v>9964.7099999999991</v>
      </c>
      <c r="F52" s="14">
        <f t="shared" si="22"/>
        <v>586632.30000000016</v>
      </c>
      <c r="G52" s="14">
        <f t="shared" si="23"/>
        <v>561850.01000000013</v>
      </c>
      <c r="H52" s="14"/>
      <c r="I52" s="16"/>
    </row>
    <row r="53" spans="1:9" x14ac:dyDescent="0.25">
      <c r="A53" s="110">
        <v>44468</v>
      </c>
      <c r="B53" s="1">
        <f t="shared" si="17"/>
        <v>31</v>
      </c>
      <c r="C53" s="14">
        <f t="shared" si="24"/>
        <v>34747</v>
      </c>
      <c r="D53" s="95">
        <f t="shared" si="20"/>
        <v>25203.25</v>
      </c>
      <c r="E53" s="96">
        <f t="shared" si="21"/>
        <v>9543.75</v>
      </c>
      <c r="F53" s="14">
        <f t="shared" si="22"/>
        <v>561850.01000000013</v>
      </c>
      <c r="G53" s="14">
        <f t="shared" si="23"/>
        <v>536646.76000000013</v>
      </c>
      <c r="H53" s="14"/>
      <c r="I53" s="16"/>
    </row>
    <row r="54" spans="1:9" x14ac:dyDescent="0.25">
      <c r="A54" s="110">
        <v>44498</v>
      </c>
      <c r="B54" s="1">
        <f t="shared" si="17"/>
        <v>30</v>
      </c>
      <c r="C54" s="14">
        <f t="shared" si="24"/>
        <v>34747</v>
      </c>
      <c r="D54" s="95">
        <f t="shared" si="20"/>
        <v>25925.41</v>
      </c>
      <c r="E54" s="96">
        <f t="shared" si="21"/>
        <v>8821.59</v>
      </c>
      <c r="F54" s="14">
        <f t="shared" si="22"/>
        <v>536646.76000000013</v>
      </c>
      <c r="G54" s="14">
        <f t="shared" si="23"/>
        <v>510721.35000000015</v>
      </c>
      <c r="H54" s="14"/>
      <c r="I54" s="16"/>
    </row>
    <row r="55" spans="1:9" x14ac:dyDescent="0.25">
      <c r="A55" s="110">
        <v>44529</v>
      </c>
      <c r="B55" s="1">
        <f t="shared" si="17"/>
        <v>31</v>
      </c>
      <c r="C55" s="14">
        <f t="shared" si="24"/>
        <v>34747</v>
      </c>
      <c r="D55" s="95">
        <f t="shared" si="20"/>
        <v>26071.73</v>
      </c>
      <c r="E55" s="96">
        <f t="shared" si="21"/>
        <v>8675.27</v>
      </c>
      <c r="F55" s="14">
        <f t="shared" si="22"/>
        <v>510721.35000000015</v>
      </c>
      <c r="G55" s="14">
        <f t="shared" si="23"/>
        <v>484649.62000000017</v>
      </c>
      <c r="H55" s="14"/>
      <c r="I55" s="16"/>
    </row>
    <row r="56" spans="1:9" x14ac:dyDescent="0.25">
      <c r="A56" s="110">
        <v>44559</v>
      </c>
      <c r="B56" s="1">
        <f t="shared" si="17"/>
        <v>30</v>
      </c>
      <c r="C56" s="14">
        <f>$F$2</f>
        <v>15000</v>
      </c>
      <c r="D56" s="95">
        <f t="shared" si="20"/>
        <v>7033.16</v>
      </c>
      <c r="E56" s="96">
        <f t="shared" si="21"/>
        <v>7966.84</v>
      </c>
      <c r="F56" s="14">
        <f t="shared" si="22"/>
        <v>484649.62000000017</v>
      </c>
      <c r="G56" s="14">
        <f t="shared" si="23"/>
        <v>477616.4600000002</v>
      </c>
      <c r="H56" s="14"/>
      <c r="I56" s="16"/>
    </row>
    <row r="57" spans="1:9" x14ac:dyDescent="0.25">
      <c r="A57" s="110">
        <v>44590</v>
      </c>
      <c r="B57" s="1">
        <f t="shared" si="17"/>
        <v>31</v>
      </c>
      <c r="C57" s="14">
        <f t="shared" ref="C57:C73" si="25">$F$2</f>
        <v>15000</v>
      </c>
      <c r="D57" s="95">
        <f t="shared" si="20"/>
        <v>6887.06</v>
      </c>
      <c r="E57" s="96">
        <f t="shared" si="21"/>
        <v>8112.94</v>
      </c>
      <c r="F57" s="14">
        <f t="shared" si="22"/>
        <v>477616.4600000002</v>
      </c>
      <c r="G57" s="14">
        <f t="shared" si="23"/>
        <v>470729.4000000002</v>
      </c>
      <c r="H57" s="14"/>
      <c r="I57" s="16"/>
    </row>
    <row r="58" spans="1:9" x14ac:dyDescent="0.25">
      <c r="A58" s="110">
        <v>44620</v>
      </c>
      <c r="B58" s="1">
        <f t="shared" si="17"/>
        <v>30</v>
      </c>
      <c r="C58" s="14">
        <f t="shared" si="25"/>
        <v>15000</v>
      </c>
      <c r="D58" s="95">
        <f t="shared" si="20"/>
        <v>7261.98</v>
      </c>
      <c r="E58" s="96">
        <f t="shared" si="21"/>
        <v>7738.02</v>
      </c>
      <c r="F58" s="14">
        <f t="shared" si="22"/>
        <v>470729.4000000002</v>
      </c>
      <c r="G58" s="14">
        <f t="shared" si="23"/>
        <v>463467.42000000022</v>
      </c>
      <c r="H58" s="14"/>
      <c r="I58" s="16"/>
    </row>
    <row r="59" spans="1:9" x14ac:dyDescent="0.25">
      <c r="A59" s="110">
        <v>44649</v>
      </c>
      <c r="B59" s="1">
        <f t="shared" si="17"/>
        <v>29</v>
      </c>
      <c r="C59" s="14">
        <f t="shared" si="25"/>
        <v>15000</v>
      </c>
      <c r="D59" s="95">
        <f t="shared" si="20"/>
        <v>7635.31</v>
      </c>
      <c r="E59" s="96">
        <f t="shared" si="21"/>
        <v>7364.69</v>
      </c>
      <c r="F59" s="14">
        <f t="shared" si="22"/>
        <v>463467.42000000022</v>
      </c>
      <c r="G59" s="14">
        <f t="shared" si="23"/>
        <v>455832.11000000022</v>
      </c>
      <c r="H59" s="14"/>
      <c r="I59" s="16"/>
    </row>
    <row r="60" spans="1:9" x14ac:dyDescent="0.25">
      <c r="A60" s="110">
        <v>44680</v>
      </c>
      <c r="B60" s="1">
        <f t="shared" si="17"/>
        <v>31</v>
      </c>
      <c r="C60" s="14">
        <f t="shared" si="25"/>
        <v>15000</v>
      </c>
      <c r="D60" s="95">
        <f t="shared" si="20"/>
        <v>7257.1</v>
      </c>
      <c r="E60" s="96">
        <f t="shared" si="21"/>
        <v>7742.9</v>
      </c>
      <c r="F60" s="14">
        <f t="shared" si="22"/>
        <v>455832.11000000022</v>
      </c>
      <c r="G60" s="14">
        <f t="shared" si="23"/>
        <v>448575.01000000024</v>
      </c>
      <c r="H60" s="14"/>
      <c r="I60" s="16"/>
    </row>
    <row r="61" spans="1:9" x14ac:dyDescent="0.25">
      <c r="A61" s="110">
        <v>44710</v>
      </c>
      <c r="B61" s="1">
        <f t="shared" si="17"/>
        <v>30</v>
      </c>
      <c r="C61" s="14">
        <f t="shared" si="25"/>
        <v>15000</v>
      </c>
      <c r="D61" s="95">
        <f t="shared" si="20"/>
        <v>7626.16</v>
      </c>
      <c r="E61" s="96">
        <f t="shared" si="21"/>
        <v>7373.84</v>
      </c>
      <c r="F61" s="14">
        <f t="shared" si="22"/>
        <v>448575.01000000024</v>
      </c>
      <c r="G61" s="14">
        <f t="shared" si="23"/>
        <v>440948.85000000027</v>
      </c>
      <c r="H61" s="14"/>
      <c r="I61" s="16"/>
    </row>
    <row r="62" spans="1:9" x14ac:dyDescent="0.25">
      <c r="A62" s="110">
        <v>44741</v>
      </c>
      <c r="B62" s="1">
        <f t="shared" si="17"/>
        <v>31</v>
      </c>
      <c r="C62" s="14">
        <f t="shared" si="25"/>
        <v>15000</v>
      </c>
      <c r="D62" s="95">
        <f t="shared" si="20"/>
        <v>7509.91</v>
      </c>
      <c r="E62" s="96">
        <f t="shared" si="21"/>
        <v>7490.09</v>
      </c>
      <c r="F62" s="14">
        <f t="shared" si="22"/>
        <v>440948.85000000027</v>
      </c>
      <c r="G62" s="14">
        <f t="shared" si="23"/>
        <v>433438.94000000029</v>
      </c>
      <c r="H62" s="14"/>
      <c r="I62" s="16"/>
    </row>
    <row r="63" spans="1:9" x14ac:dyDescent="0.25">
      <c r="A63" s="110">
        <v>44771</v>
      </c>
      <c r="B63" s="1">
        <f t="shared" si="17"/>
        <v>30</v>
      </c>
      <c r="C63" s="14">
        <f t="shared" si="25"/>
        <v>15000</v>
      </c>
      <c r="D63" s="95">
        <f t="shared" si="20"/>
        <v>7874.98</v>
      </c>
      <c r="E63" s="96">
        <f t="shared" si="21"/>
        <v>7125.02</v>
      </c>
      <c r="F63" s="14">
        <f t="shared" si="22"/>
        <v>433438.94000000029</v>
      </c>
      <c r="G63" s="14">
        <f t="shared" si="23"/>
        <v>425563.96000000031</v>
      </c>
      <c r="H63" s="14"/>
      <c r="I63" s="16"/>
    </row>
    <row r="64" spans="1:9" x14ac:dyDescent="0.25">
      <c r="A64" s="110">
        <v>44802</v>
      </c>
      <c r="B64" s="1">
        <f t="shared" si="17"/>
        <v>31</v>
      </c>
      <c r="C64" s="14">
        <f t="shared" si="25"/>
        <v>15000</v>
      </c>
      <c r="D64" s="95">
        <f t="shared" si="20"/>
        <v>7771.24</v>
      </c>
      <c r="E64" s="96">
        <f t="shared" si="21"/>
        <v>7228.76</v>
      </c>
      <c r="F64" s="14">
        <f t="shared" si="22"/>
        <v>425563.96000000031</v>
      </c>
      <c r="G64" s="14">
        <f t="shared" si="23"/>
        <v>417792.72000000032</v>
      </c>
      <c r="H64" s="14"/>
      <c r="I64" s="16"/>
    </row>
    <row r="65" spans="1:9" x14ac:dyDescent="0.25">
      <c r="A65" s="110">
        <v>44833</v>
      </c>
      <c r="B65" s="1">
        <f t="shared" si="17"/>
        <v>31</v>
      </c>
      <c r="C65" s="14">
        <f t="shared" si="25"/>
        <v>15000</v>
      </c>
      <c r="D65" s="95">
        <f t="shared" si="20"/>
        <v>7903.25</v>
      </c>
      <c r="E65" s="96">
        <f t="shared" si="21"/>
        <v>7096.75</v>
      </c>
      <c r="F65" s="14">
        <f t="shared" si="22"/>
        <v>417792.72000000032</v>
      </c>
      <c r="G65" s="14">
        <f t="shared" si="23"/>
        <v>409889.47000000032</v>
      </c>
      <c r="H65" s="14"/>
      <c r="I65" s="16"/>
    </row>
    <row r="66" spans="1:9" x14ac:dyDescent="0.25">
      <c r="A66" s="110">
        <v>44863</v>
      </c>
      <c r="B66" s="1">
        <f t="shared" si="17"/>
        <v>30</v>
      </c>
      <c r="C66" s="14">
        <f t="shared" si="25"/>
        <v>15000</v>
      </c>
      <c r="D66" s="95">
        <f t="shared" si="20"/>
        <v>8262.09</v>
      </c>
      <c r="E66" s="96">
        <f t="shared" si="21"/>
        <v>6737.91</v>
      </c>
      <c r="F66" s="14">
        <f t="shared" si="22"/>
        <v>409889.47000000032</v>
      </c>
      <c r="G66" s="14">
        <f t="shared" si="23"/>
        <v>401627.3800000003</v>
      </c>
      <c r="H66" s="14"/>
      <c r="I66" s="16"/>
    </row>
    <row r="67" spans="1:9" x14ac:dyDescent="0.25">
      <c r="A67" s="110">
        <v>44894</v>
      </c>
      <c r="B67" s="1">
        <f t="shared" si="17"/>
        <v>31</v>
      </c>
      <c r="C67" s="14">
        <f t="shared" si="25"/>
        <v>15000</v>
      </c>
      <c r="D67" s="95">
        <f t="shared" si="20"/>
        <v>8177.84</v>
      </c>
      <c r="E67" s="96">
        <f t="shared" si="21"/>
        <v>6822.16</v>
      </c>
      <c r="F67" s="14">
        <f t="shared" si="22"/>
        <v>401627.3800000003</v>
      </c>
      <c r="G67" s="14">
        <f t="shared" si="23"/>
        <v>393449.54000000027</v>
      </c>
      <c r="H67" s="14"/>
      <c r="I67" s="16"/>
    </row>
    <row r="68" spans="1:9" x14ac:dyDescent="0.25">
      <c r="A68" s="110">
        <v>44924</v>
      </c>
      <c r="B68" s="1">
        <f t="shared" si="17"/>
        <v>30</v>
      </c>
      <c r="C68" s="14">
        <f t="shared" si="25"/>
        <v>15000</v>
      </c>
      <c r="D68" s="95">
        <f t="shared" si="20"/>
        <v>8532.34</v>
      </c>
      <c r="E68" s="96">
        <f t="shared" si="21"/>
        <v>6467.66</v>
      </c>
      <c r="F68" s="14">
        <f t="shared" si="22"/>
        <v>393449.54000000027</v>
      </c>
      <c r="G68" s="14">
        <f t="shared" si="23"/>
        <v>384917.20000000024</v>
      </c>
      <c r="H68" s="14"/>
      <c r="I68" s="16"/>
    </row>
    <row r="69" spans="1:9" x14ac:dyDescent="0.25">
      <c r="A69" s="110">
        <v>44955</v>
      </c>
      <c r="B69" s="1">
        <f t="shared" si="17"/>
        <v>31</v>
      </c>
      <c r="C69" s="14">
        <f t="shared" si="25"/>
        <v>15000</v>
      </c>
      <c r="D69" s="95">
        <f t="shared" si="20"/>
        <v>8461.68</v>
      </c>
      <c r="E69" s="96">
        <f t="shared" si="21"/>
        <v>6538.32</v>
      </c>
      <c r="F69" s="14">
        <f t="shared" si="22"/>
        <v>384917.20000000024</v>
      </c>
      <c r="G69" s="14">
        <f t="shared" si="23"/>
        <v>376455.52000000025</v>
      </c>
      <c r="H69" s="14"/>
      <c r="I69" s="16"/>
    </row>
    <row r="70" spans="1:9" x14ac:dyDescent="0.25">
      <c r="A70" s="110">
        <v>44985</v>
      </c>
      <c r="B70" s="1">
        <f t="shared" si="17"/>
        <v>30</v>
      </c>
      <c r="C70" s="14">
        <f t="shared" si="25"/>
        <v>15000</v>
      </c>
      <c r="D70" s="95">
        <f t="shared" si="20"/>
        <v>8811.6899999999987</v>
      </c>
      <c r="E70" s="96">
        <f t="shared" si="21"/>
        <v>6188.31</v>
      </c>
      <c r="F70" s="14">
        <f t="shared" si="22"/>
        <v>376455.52000000025</v>
      </c>
      <c r="G70" s="14">
        <f t="shared" si="23"/>
        <v>367643.83000000025</v>
      </c>
      <c r="H70" s="14"/>
      <c r="I70" s="16"/>
    </row>
    <row r="71" spans="1:9" x14ac:dyDescent="0.25">
      <c r="A71" s="110">
        <v>45014</v>
      </c>
      <c r="B71" s="1">
        <f t="shared" ref="B71" si="26">_xlfn.DAYS(A71,A70)</f>
        <v>29</v>
      </c>
      <c r="C71" s="14">
        <f t="shared" si="25"/>
        <v>15000</v>
      </c>
      <c r="D71" s="95">
        <f t="shared" ref="D71" si="27">C71-E71</f>
        <v>9157.99</v>
      </c>
      <c r="E71" s="96">
        <f t="shared" ref="E71" si="28">ROUND(F71*$J$1*B71/365,2)</f>
        <v>5842.01</v>
      </c>
      <c r="F71" s="14">
        <f t="shared" ref="F71" si="29">G70</f>
        <v>367643.83000000025</v>
      </c>
      <c r="G71" s="14">
        <f t="shared" ref="G71" si="30">F71-D71</f>
        <v>358485.84000000026</v>
      </c>
    </row>
    <row r="72" spans="1:9" x14ac:dyDescent="0.25">
      <c r="A72" s="110">
        <v>45045</v>
      </c>
      <c r="B72" s="1">
        <f t="shared" ref="B72:B82" si="31">_xlfn.DAYS(A72,A71)</f>
        <v>31</v>
      </c>
      <c r="C72" s="14">
        <f t="shared" si="25"/>
        <v>15000</v>
      </c>
      <c r="D72" s="95">
        <f t="shared" ref="D72:D82" si="32">C72-E72</f>
        <v>8910.65</v>
      </c>
      <c r="E72" s="96">
        <f t="shared" ref="E72:E82" si="33">ROUND(F72*$J$1*B72/365,2)</f>
        <v>6089.35</v>
      </c>
      <c r="F72" s="14">
        <f t="shared" ref="F72:F82" si="34">G71</f>
        <v>358485.84000000026</v>
      </c>
      <c r="G72" s="14">
        <f t="shared" ref="G72:G82" si="35">F72-D72</f>
        <v>349575.19000000024</v>
      </c>
    </row>
    <row r="73" spans="1:9" x14ac:dyDescent="0.25">
      <c r="A73" s="110">
        <v>45075</v>
      </c>
      <c r="B73" s="1">
        <f t="shared" si="31"/>
        <v>30</v>
      </c>
      <c r="C73" s="14">
        <f t="shared" si="25"/>
        <v>15000</v>
      </c>
      <c r="D73" s="95">
        <f t="shared" si="32"/>
        <v>9253.5600000000013</v>
      </c>
      <c r="E73" s="96">
        <f t="shared" si="33"/>
        <v>5746.44</v>
      </c>
      <c r="F73" s="14">
        <f t="shared" si="34"/>
        <v>349575.19000000024</v>
      </c>
      <c r="G73" s="14">
        <f t="shared" si="35"/>
        <v>340321.63000000024</v>
      </c>
    </row>
    <row r="74" spans="1:9" x14ac:dyDescent="0.25">
      <c r="A74" s="111">
        <v>45106</v>
      </c>
      <c r="B74" s="98">
        <f t="shared" si="31"/>
        <v>31</v>
      </c>
      <c r="C74" s="99">
        <f>$J$2</f>
        <v>37251</v>
      </c>
      <c r="D74" s="100">
        <f t="shared" si="32"/>
        <v>31470.19</v>
      </c>
      <c r="E74" s="101">
        <f t="shared" si="33"/>
        <v>5780.81</v>
      </c>
      <c r="F74" s="99">
        <f t="shared" si="34"/>
        <v>340321.63000000024</v>
      </c>
      <c r="G74" s="99">
        <f t="shared" si="35"/>
        <v>308851.44000000024</v>
      </c>
    </row>
    <row r="75" spans="1:9" x14ac:dyDescent="0.25">
      <c r="A75" s="110">
        <v>45136</v>
      </c>
      <c r="B75" s="1">
        <f t="shared" si="31"/>
        <v>30</v>
      </c>
      <c r="C75" s="14">
        <f t="shared" ref="C75:C83" si="36">$J$2</f>
        <v>37251</v>
      </c>
      <c r="D75" s="95">
        <f t="shared" si="32"/>
        <v>32173.989999999998</v>
      </c>
      <c r="E75" s="96">
        <f t="shared" si="33"/>
        <v>5077.01</v>
      </c>
      <c r="F75" s="14">
        <f t="shared" si="34"/>
        <v>308851.44000000024</v>
      </c>
      <c r="G75" s="14">
        <f t="shared" si="35"/>
        <v>276677.45000000024</v>
      </c>
    </row>
    <row r="76" spans="1:9" x14ac:dyDescent="0.25">
      <c r="A76" s="110">
        <v>45167</v>
      </c>
      <c r="B76" s="1">
        <f t="shared" si="31"/>
        <v>31</v>
      </c>
      <c r="C76" s="14">
        <f t="shared" si="36"/>
        <v>37251</v>
      </c>
      <c r="D76" s="95">
        <f t="shared" si="32"/>
        <v>32551.27</v>
      </c>
      <c r="E76" s="96">
        <f t="shared" si="33"/>
        <v>4699.7299999999996</v>
      </c>
      <c r="F76" s="14">
        <f t="shared" si="34"/>
        <v>276677.45000000024</v>
      </c>
      <c r="G76" s="14">
        <f t="shared" si="35"/>
        <v>244126.18000000025</v>
      </c>
    </row>
    <row r="77" spans="1:9" x14ac:dyDescent="0.25">
      <c r="A77" s="110">
        <v>45198</v>
      </c>
      <c r="B77" s="1">
        <f t="shared" si="31"/>
        <v>31</v>
      </c>
      <c r="C77" s="14">
        <f t="shared" si="36"/>
        <v>37251</v>
      </c>
      <c r="D77" s="95">
        <f t="shared" si="32"/>
        <v>33104.199999999997</v>
      </c>
      <c r="E77" s="96">
        <f t="shared" si="33"/>
        <v>4146.8</v>
      </c>
      <c r="F77" s="14">
        <f t="shared" si="34"/>
        <v>244126.18000000025</v>
      </c>
      <c r="G77" s="14">
        <f t="shared" si="35"/>
        <v>211021.98000000027</v>
      </c>
    </row>
    <row r="78" spans="1:9" x14ac:dyDescent="0.25">
      <c r="A78" s="110">
        <v>45228</v>
      </c>
      <c r="B78" s="1">
        <f t="shared" si="31"/>
        <v>30</v>
      </c>
      <c r="C78" s="14">
        <f t="shared" si="36"/>
        <v>37251</v>
      </c>
      <c r="D78" s="95">
        <f t="shared" si="32"/>
        <v>33782.15</v>
      </c>
      <c r="E78" s="96">
        <f t="shared" si="33"/>
        <v>3468.85</v>
      </c>
      <c r="F78" s="14">
        <f t="shared" si="34"/>
        <v>211021.98000000027</v>
      </c>
      <c r="G78" s="14">
        <f t="shared" si="35"/>
        <v>177239.83000000028</v>
      </c>
    </row>
    <row r="79" spans="1:9" x14ac:dyDescent="0.25">
      <c r="A79" s="110">
        <v>45259</v>
      </c>
      <c r="B79" s="1">
        <f t="shared" si="31"/>
        <v>31</v>
      </c>
      <c r="C79" s="14">
        <f t="shared" si="36"/>
        <v>37251</v>
      </c>
      <c r="D79" s="95">
        <f t="shared" si="32"/>
        <v>34240.35</v>
      </c>
      <c r="E79" s="96">
        <f t="shared" si="33"/>
        <v>3010.65</v>
      </c>
      <c r="F79" s="14">
        <f t="shared" si="34"/>
        <v>177239.83000000028</v>
      </c>
      <c r="G79" s="14">
        <f t="shared" si="35"/>
        <v>142999.48000000027</v>
      </c>
    </row>
    <row r="80" spans="1:9" x14ac:dyDescent="0.25">
      <c r="A80" s="110">
        <v>45289</v>
      </c>
      <c r="B80" s="1">
        <f t="shared" si="31"/>
        <v>30</v>
      </c>
      <c r="C80" s="14">
        <f t="shared" si="36"/>
        <v>37251</v>
      </c>
      <c r="D80" s="95">
        <f t="shared" si="32"/>
        <v>34900.32</v>
      </c>
      <c r="E80" s="96">
        <f t="shared" si="33"/>
        <v>2350.6799999999998</v>
      </c>
      <c r="F80" s="14">
        <f t="shared" si="34"/>
        <v>142999.48000000027</v>
      </c>
      <c r="G80" s="14">
        <f t="shared" si="35"/>
        <v>108099.16000000027</v>
      </c>
    </row>
    <row r="81" spans="1:7" x14ac:dyDescent="0.25">
      <c r="A81" s="110">
        <v>45320</v>
      </c>
      <c r="B81" s="1">
        <f t="shared" si="31"/>
        <v>31</v>
      </c>
      <c r="C81" s="14">
        <f t="shared" si="36"/>
        <v>37251</v>
      </c>
      <c r="D81" s="95">
        <f t="shared" si="32"/>
        <v>35414.800000000003</v>
      </c>
      <c r="E81" s="96">
        <f t="shared" si="33"/>
        <v>1836.2</v>
      </c>
      <c r="F81" s="14">
        <f t="shared" si="34"/>
        <v>108099.16000000027</v>
      </c>
      <c r="G81" s="14">
        <f t="shared" si="35"/>
        <v>72684.360000000263</v>
      </c>
    </row>
    <row r="82" spans="1:7" x14ac:dyDescent="0.25">
      <c r="A82" s="110">
        <v>45351</v>
      </c>
      <c r="B82" s="1">
        <f t="shared" si="31"/>
        <v>31</v>
      </c>
      <c r="C82" s="14">
        <f t="shared" si="36"/>
        <v>37251</v>
      </c>
      <c r="D82" s="95">
        <f t="shared" si="32"/>
        <v>36016.36</v>
      </c>
      <c r="E82" s="96">
        <f t="shared" si="33"/>
        <v>1234.6400000000001</v>
      </c>
      <c r="F82" s="14">
        <f t="shared" si="34"/>
        <v>72684.360000000263</v>
      </c>
      <c r="G82" s="14">
        <f t="shared" si="35"/>
        <v>36668.000000000262</v>
      </c>
    </row>
    <row r="83" spans="1:7" x14ac:dyDescent="0.25">
      <c r="A83" s="110">
        <v>45380</v>
      </c>
      <c r="B83" s="1">
        <f t="shared" ref="B83" si="37">_xlfn.DAYS(A83,A82)</f>
        <v>29</v>
      </c>
      <c r="C83" s="14">
        <f t="shared" si="36"/>
        <v>37251</v>
      </c>
      <c r="D83" s="95">
        <f t="shared" ref="D83" si="38">C83-E83</f>
        <v>36668.000000000262</v>
      </c>
      <c r="E83" s="96">
        <v>582.99999999973977</v>
      </c>
      <c r="F83" s="14">
        <f t="shared" ref="F83" si="39">G82</f>
        <v>36668.000000000262</v>
      </c>
      <c r="G83" s="14">
        <f t="shared" ref="G83" si="40">F83-D83</f>
        <v>0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61820-DAF6-4692-8845-05802B03E9B6}">
  <dimension ref="A1:P83"/>
  <sheetViews>
    <sheetView workbookViewId="0">
      <pane ySplit="3" topLeftCell="A73" activePane="bottomLeft" state="frozen"/>
      <selection activeCell="AA3" sqref="AA3"/>
      <selection pane="bottomLeft" activeCell="AA3" sqref="AA3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2.140625" bestFit="1" customWidth="1"/>
    <col min="5" max="5" width="16.5703125" bestFit="1" customWidth="1"/>
    <col min="6" max="6" width="15.28515625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8.5703125" bestFit="1" customWidth="1"/>
    <col min="11" max="11" width="16.5703125" bestFit="1" customWidth="1"/>
    <col min="12" max="12" width="12.140625" bestFit="1" customWidth="1"/>
    <col min="13" max="13" width="15.7109375" bestFit="1" customWidth="1"/>
    <col min="14" max="14" width="6" bestFit="1" customWidth="1"/>
    <col min="15" max="15" width="14.5703125" bestFit="1" customWidth="1"/>
    <col min="16" max="16" width="6" bestFit="1" customWidth="1"/>
  </cols>
  <sheetData>
    <row r="1" spans="1:16" x14ac:dyDescent="0.25">
      <c r="A1" s="17" t="s">
        <v>33</v>
      </c>
      <c r="B1" s="108" t="s">
        <v>272</v>
      </c>
      <c r="C1" s="15" t="s">
        <v>37</v>
      </c>
      <c r="D1" s="37">
        <f>ROUNDUP(35092.7643881931,0)</f>
        <v>35093</v>
      </c>
      <c r="E1" s="73" t="s">
        <v>147</v>
      </c>
      <c r="F1" s="110">
        <v>44072</v>
      </c>
      <c r="G1" s="73" t="s">
        <v>150</v>
      </c>
      <c r="H1" s="79">
        <f>ROUNDUP(37297.5974193548,0)</f>
        <v>37298</v>
      </c>
      <c r="I1" s="73" t="s">
        <v>175</v>
      </c>
      <c r="J1" s="87">
        <v>0.2</v>
      </c>
      <c r="K1" s="73" t="s">
        <v>148</v>
      </c>
      <c r="L1" s="110">
        <v>44284</v>
      </c>
      <c r="M1" s="73" t="s">
        <v>149</v>
      </c>
      <c r="N1" s="69">
        <f>ROUNDUP(34752.7654166667,0)</f>
        <v>34753</v>
      </c>
      <c r="O1" s="73" t="s">
        <v>176</v>
      </c>
      <c r="P1" s="88">
        <v>50000</v>
      </c>
    </row>
    <row r="2" spans="1:16" x14ac:dyDescent="0.25">
      <c r="A2" s="17" t="s">
        <v>34</v>
      </c>
      <c r="B2" s="18">
        <v>0.15</v>
      </c>
      <c r="C2" s="73" t="s">
        <v>125</v>
      </c>
      <c r="D2" s="110">
        <v>44529</v>
      </c>
      <c r="E2" s="73" t="s">
        <v>177</v>
      </c>
      <c r="F2" s="69">
        <v>15000</v>
      </c>
      <c r="G2" s="73" t="s">
        <v>173</v>
      </c>
      <c r="H2" s="110">
        <v>44710</v>
      </c>
      <c r="I2" s="73" t="s">
        <v>174</v>
      </c>
      <c r="J2" s="89">
        <f>ROUNDUP(24123.7600229541,0)</f>
        <v>24124</v>
      </c>
      <c r="K2" s="73" t="s">
        <v>178</v>
      </c>
      <c r="L2" s="88">
        <v>48</v>
      </c>
    </row>
    <row r="3" spans="1:16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6" x14ac:dyDescent="0.25">
      <c r="A4" s="109" t="s">
        <v>284</v>
      </c>
      <c r="B4" s="46">
        <f>DAYS360(B1,A4,TRUE)</f>
        <v>60</v>
      </c>
      <c r="C4" s="47">
        <f t="shared" ref="C4:C40" si="0">$D$1</f>
        <v>35093</v>
      </c>
      <c r="D4" s="95">
        <f t="shared" ref="D4:D38" si="1">C4-E4</f>
        <v>10093</v>
      </c>
      <c r="E4" s="96">
        <f t="shared" ref="E4:E38" si="2">ROUND(F4*$B$2*B4/360,2)</f>
        <v>25000</v>
      </c>
      <c r="F4" s="14">
        <v>1000000</v>
      </c>
      <c r="G4" s="14">
        <f t="shared" ref="G4:G38" si="3">F4-D4</f>
        <v>989907</v>
      </c>
      <c r="H4" s="14">
        <f t="shared" ref="H4:H38" si="4">F4*$B$2*B4/360</f>
        <v>25000</v>
      </c>
      <c r="I4" s="16">
        <f t="shared" ref="I4:I38" si="5">H4-E4</f>
        <v>0</v>
      </c>
    </row>
    <row r="5" spans="1:16" x14ac:dyDescent="0.25">
      <c r="A5" s="109" t="s">
        <v>285</v>
      </c>
      <c r="B5" s="46">
        <f t="shared" ref="B5:B39" si="6">DAYS360(A4,A5,TRUE)</f>
        <v>30</v>
      </c>
      <c r="C5" s="47">
        <f t="shared" si="0"/>
        <v>35093</v>
      </c>
      <c r="D5" s="95">
        <f t="shared" si="1"/>
        <v>22719.16</v>
      </c>
      <c r="E5" s="96">
        <f t="shared" si="2"/>
        <v>12373.84</v>
      </c>
      <c r="F5" s="14">
        <f t="shared" ref="F5:F38" si="7">G4</f>
        <v>989907</v>
      </c>
      <c r="G5" s="14">
        <f t="shared" si="3"/>
        <v>967187.84</v>
      </c>
      <c r="H5" s="14">
        <f t="shared" si="4"/>
        <v>12373.8375</v>
      </c>
      <c r="I5" s="16">
        <f t="shared" si="5"/>
        <v>-2.500000000509317E-3</v>
      </c>
    </row>
    <row r="6" spans="1:16" x14ac:dyDescent="0.25">
      <c r="A6" s="109" t="s">
        <v>286</v>
      </c>
      <c r="B6" s="46">
        <f t="shared" si="6"/>
        <v>30</v>
      </c>
      <c r="C6" s="47">
        <f t="shared" si="0"/>
        <v>35093</v>
      </c>
      <c r="D6" s="95">
        <f t="shared" si="1"/>
        <v>23003.15</v>
      </c>
      <c r="E6" s="96">
        <f t="shared" si="2"/>
        <v>12089.85</v>
      </c>
      <c r="F6" s="14">
        <f t="shared" si="7"/>
        <v>967187.84</v>
      </c>
      <c r="G6" s="14">
        <f t="shared" si="3"/>
        <v>944184.69</v>
      </c>
      <c r="H6" s="14">
        <f t="shared" si="4"/>
        <v>12089.847999999998</v>
      </c>
      <c r="I6" s="16">
        <f t="shared" si="5"/>
        <v>-2.000000002226443E-3</v>
      </c>
    </row>
    <row r="7" spans="1:16" x14ac:dyDescent="0.25">
      <c r="A7" s="109" t="s">
        <v>287</v>
      </c>
      <c r="B7" s="46">
        <f t="shared" si="6"/>
        <v>30</v>
      </c>
      <c r="C7" s="47">
        <f t="shared" si="0"/>
        <v>35093</v>
      </c>
      <c r="D7" s="95">
        <f t="shared" si="1"/>
        <v>23290.690000000002</v>
      </c>
      <c r="E7" s="96">
        <f t="shared" si="2"/>
        <v>11802.31</v>
      </c>
      <c r="F7" s="14">
        <f t="shared" si="7"/>
        <v>944184.69</v>
      </c>
      <c r="G7" s="14">
        <f t="shared" si="3"/>
        <v>920894</v>
      </c>
      <c r="H7" s="14">
        <f t="shared" si="4"/>
        <v>11802.308624999998</v>
      </c>
      <c r="I7" s="16">
        <f t="shared" si="5"/>
        <v>-1.3750000016443664E-3</v>
      </c>
    </row>
    <row r="8" spans="1:16" x14ac:dyDescent="0.25">
      <c r="A8" s="109" t="s">
        <v>280</v>
      </c>
      <c r="B8" s="46">
        <f t="shared" si="6"/>
        <v>30</v>
      </c>
      <c r="C8" s="47">
        <f t="shared" si="0"/>
        <v>35093</v>
      </c>
      <c r="D8" s="95">
        <f t="shared" si="1"/>
        <v>23581.82</v>
      </c>
      <c r="E8" s="96">
        <f t="shared" si="2"/>
        <v>11511.18</v>
      </c>
      <c r="F8" s="14">
        <f t="shared" si="7"/>
        <v>920894</v>
      </c>
      <c r="G8" s="14">
        <f t="shared" si="3"/>
        <v>897312.18</v>
      </c>
      <c r="H8" s="14">
        <f t="shared" si="4"/>
        <v>11511.174999999999</v>
      </c>
      <c r="I8" s="16">
        <f t="shared" si="5"/>
        <v>-5.0000000010186341E-3</v>
      </c>
    </row>
    <row r="9" spans="1:16" x14ac:dyDescent="0.25">
      <c r="A9" s="109" t="s">
        <v>288</v>
      </c>
      <c r="B9" s="46">
        <f t="shared" si="6"/>
        <v>30</v>
      </c>
      <c r="C9" s="47">
        <f t="shared" si="0"/>
        <v>35093</v>
      </c>
      <c r="D9" s="95">
        <f t="shared" si="1"/>
        <v>23876.6</v>
      </c>
      <c r="E9" s="96">
        <f t="shared" si="2"/>
        <v>11216.4</v>
      </c>
      <c r="F9" s="14">
        <f t="shared" si="7"/>
        <v>897312.18</v>
      </c>
      <c r="G9" s="14">
        <f t="shared" si="3"/>
        <v>873435.58000000007</v>
      </c>
      <c r="H9" s="14">
        <f t="shared" si="4"/>
        <v>11216.402249999999</v>
      </c>
      <c r="I9" s="16">
        <f t="shared" si="5"/>
        <v>2.2499999995488906E-3</v>
      </c>
    </row>
    <row r="10" spans="1:16" x14ac:dyDescent="0.25">
      <c r="A10" s="109" t="s">
        <v>289</v>
      </c>
      <c r="B10" s="46">
        <f t="shared" si="6"/>
        <v>30</v>
      </c>
      <c r="C10" s="47">
        <f t="shared" si="0"/>
        <v>35093</v>
      </c>
      <c r="D10" s="95">
        <f t="shared" si="1"/>
        <v>24175.059999999998</v>
      </c>
      <c r="E10" s="96">
        <f t="shared" si="2"/>
        <v>10917.94</v>
      </c>
      <c r="F10" s="14">
        <f t="shared" si="7"/>
        <v>873435.58000000007</v>
      </c>
      <c r="G10" s="14">
        <f t="shared" si="3"/>
        <v>849260.52</v>
      </c>
      <c r="H10" s="14">
        <f t="shared" si="4"/>
        <v>10917.944749999999</v>
      </c>
      <c r="I10" s="16">
        <f t="shared" si="5"/>
        <v>4.7499999982392183E-3</v>
      </c>
    </row>
    <row r="11" spans="1:16" x14ac:dyDescent="0.25">
      <c r="A11" s="109" t="s">
        <v>290</v>
      </c>
      <c r="B11" s="46">
        <f t="shared" si="6"/>
        <v>30</v>
      </c>
      <c r="C11" s="47">
        <f t="shared" si="0"/>
        <v>35093</v>
      </c>
      <c r="D11" s="95">
        <f t="shared" si="1"/>
        <v>24477.239999999998</v>
      </c>
      <c r="E11" s="96">
        <f t="shared" si="2"/>
        <v>10615.76</v>
      </c>
      <c r="F11" s="14">
        <f t="shared" si="7"/>
        <v>849260.52</v>
      </c>
      <c r="G11" s="14">
        <f t="shared" si="3"/>
        <v>824783.28</v>
      </c>
      <c r="H11" s="14">
        <f t="shared" si="4"/>
        <v>10615.7565</v>
      </c>
      <c r="I11" s="16">
        <f t="shared" si="5"/>
        <v>-3.5000000007130438E-3</v>
      </c>
    </row>
    <row r="12" spans="1:16" x14ac:dyDescent="0.25">
      <c r="A12" s="109" t="s">
        <v>291</v>
      </c>
      <c r="B12" s="46">
        <f t="shared" si="6"/>
        <v>30</v>
      </c>
      <c r="C12" s="47">
        <f t="shared" si="0"/>
        <v>35093</v>
      </c>
      <c r="D12" s="95">
        <f t="shared" si="1"/>
        <v>24783.21</v>
      </c>
      <c r="E12" s="96">
        <f t="shared" si="2"/>
        <v>10309.790000000001</v>
      </c>
      <c r="F12" s="14">
        <f t="shared" si="7"/>
        <v>824783.28</v>
      </c>
      <c r="G12" s="14">
        <f t="shared" si="3"/>
        <v>800000.07000000007</v>
      </c>
      <c r="H12" s="14">
        <f t="shared" si="4"/>
        <v>10309.790999999999</v>
      </c>
      <c r="I12" s="16">
        <f t="shared" si="5"/>
        <v>9.9999999838473741E-4</v>
      </c>
    </row>
    <row r="13" spans="1:16" x14ac:dyDescent="0.25">
      <c r="A13" s="109" t="s">
        <v>292</v>
      </c>
      <c r="B13" s="46">
        <f t="shared" si="6"/>
        <v>30</v>
      </c>
      <c r="C13" s="47">
        <f t="shared" si="0"/>
        <v>35093</v>
      </c>
      <c r="D13" s="95">
        <f t="shared" si="1"/>
        <v>25093</v>
      </c>
      <c r="E13" s="96">
        <f t="shared" si="2"/>
        <v>10000</v>
      </c>
      <c r="F13" s="14">
        <f t="shared" si="7"/>
        <v>800000.07000000007</v>
      </c>
      <c r="G13" s="14">
        <f t="shared" si="3"/>
        <v>774907.07000000007</v>
      </c>
      <c r="H13" s="14">
        <f t="shared" si="4"/>
        <v>10000.000875</v>
      </c>
      <c r="I13" s="16">
        <f t="shared" si="5"/>
        <v>8.7499999972351361E-4</v>
      </c>
    </row>
    <row r="14" spans="1:16" x14ac:dyDescent="0.25">
      <c r="A14" s="109" t="s">
        <v>275</v>
      </c>
      <c r="B14" s="46">
        <f t="shared" si="6"/>
        <v>29</v>
      </c>
      <c r="C14" s="47">
        <f t="shared" si="0"/>
        <v>35093</v>
      </c>
      <c r="D14" s="95">
        <f t="shared" si="1"/>
        <v>25729.54</v>
      </c>
      <c r="E14" s="96">
        <f t="shared" si="2"/>
        <v>9363.4599999999991</v>
      </c>
      <c r="F14" s="14">
        <f t="shared" si="7"/>
        <v>774907.07000000007</v>
      </c>
      <c r="G14" s="14">
        <f t="shared" si="3"/>
        <v>749177.53</v>
      </c>
      <c r="H14" s="14">
        <f t="shared" si="4"/>
        <v>9363.4604291666674</v>
      </c>
      <c r="I14" s="16">
        <f t="shared" si="5"/>
        <v>4.2916666825476568E-4</v>
      </c>
    </row>
    <row r="15" spans="1:16" x14ac:dyDescent="0.25">
      <c r="A15" s="109" t="s">
        <v>281</v>
      </c>
      <c r="B15" s="46">
        <f t="shared" si="6"/>
        <v>31</v>
      </c>
      <c r="C15" s="47">
        <f t="shared" si="0"/>
        <v>35093</v>
      </c>
      <c r="D15" s="95">
        <f t="shared" si="1"/>
        <v>25416.120000000003</v>
      </c>
      <c r="E15" s="96">
        <f t="shared" si="2"/>
        <v>9676.8799999999992</v>
      </c>
      <c r="F15" s="14">
        <f t="shared" si="7"/>
        <v>749177.53</v>
      </c>
      <c r="G15" s="14">
        <f t="shared" si="3"/>
        <v>723761.41</v>
      </c>
      <c r="H15" s="14">
        <f t="shared" si="4"/>
        <v>9676.8764291666666</v>
      </c>
      <c r="I15" s="16">
        <f t="shared" si="5"/>
        <v>-3.5708333325601416E-3</v>
      </c>
    </row>
    <row r="16" spans="1:16" x14ac:dyDescent="0.25">
      <c r="A16" s="109" t="s">
        <v>293</v>
      </c>
      <c r="B16" s="46">
        <f t="shared" si="6"/>
        <v>30</v>
      </c>
      <c r="C16" s="47">
        <f t="shared" si="0"/>
        <v>35093</v>
      </c>
      <c r="D16" s="95">
        <f t="shared" si="1"/>
        <v>26045.98</v>
      </c>
      <c r="E16" s="96">
        <f t="shared" si="2"/>
        <v>9047.02</v>
      </c>
      <c r="F16" s="14">
        <f t="shared" si="7"/>
        <v>723761.41</v>
      </c>
      <c r="G16" s="14">
        <f t="shared" si="3"/>
        <v>697715.43</v>
      </c>
      <c r="H16" s="14">
        <f t="shared" si="4"/>
        <v>9047.0176250000004</v>
      </c>
      <c r="I16" s="16">
        <f t="shared" si="5"/>
        <v>-2.3750000000291038E-3</v>
      </c>
    </row>
    <row r="17" spans="1:9" x14ac:dyDescent="0.25">
      <c r="A17" s="109" t="s">
        <v>294</v>
      </c>
      <c r="B17" s="46">
        <f t="shared" si="6"/>
        <v>30</v>
      </c>
      <c r="C17" s="47">
        <f t="shared" si="0"/>
        <v>35093</v>
      </c>
      <c r="D17" s="95">
        <f t="shared" si="1"/>
        <v>26371.559999999998</v>
      </c>
      <c r="E17" s="96">
        <f t="shared" si="2"/>
        <v>8721.44</v>
      </c>
      <c r="F17" s="14">
        <f t="shared" si="7"/>
        <v>697715.43</v>
      </c>
      <c r="G17" s="14">
        <f t="shared" si="3"/>
        <v>671343.87000000011</v>
      </c>
      <c r="H17" s="14">
        <f t="shared" si="4"/>
        <v>8721.4428750000006</v>
      </c>
      <c r="I17" s="16">
        <f t="shared" si="5"/>
        <v>2.8750000001309672E-3</v>
      </c>
    </row>
    <row r="18" spans="1:9" x14ac:dyDescent="0.25">
      <c r="A18" s="109" t="s">
        <v>295</v>
      </c>
      <c r="B18" s="46">
        <f t="shared" si="6"/>
        <v>30</v>
      </c>
      <c r="C18" s="47">
        <f t="shared" si="0"/>
        <v>35093</v>
      </c>
      <c r="D18" s="95">
        <f t="shared" si="1"/>
        <v>26701.200000000001</v>
      </c>
      <c r="E18" s="96">
        <f t="shared" si="2"/>
        <v>8391.7999999999993</v>
      </c>
      <c r="F18" s="14">
        <f t="shared" si="7"/>
        <v>671343.87000000011</v>
      </c>
      <c r="G18" s="14">
        <f t="shared" si="3"/>
        <v>644642.67000000016</v>
      </c>
      <c r="H18" s="14">
        <f t="shared" si="4"/>
        <v>8391.7983750000021</v>
      </c>
      <c r="I18" s="16">
        <f t="shared" si="5"/>
        <v>-1.6249999971478246E-3</v>
      </c>
    </row>
    <row r="19" spans="1:9" x14ac:dyDescent="0.25">
      <c r="A19" s="109" t="s">
        <v>296</v>
      </c>
      <c r="B19" s="46">
        <f t="shared" si="6"/>
        <v>30</v>
      </c>
      <c r="C19" s="47">
        <f t="shared" si="0"/>
        <v>35093</v>
      </c>
      <c r="D19" s="95">
        <f t="shared" si="1"/>
        <v>27034.97</v>
      </c>
      <c r="E19" s="96">
        <f t="shared" si="2"/>
        <v>8058.03</v>
      </c>
      <c r="F19" s="14">
        <f t="shared" si="7"/>
        <v>644642.67000000016</v>
      </c>
      <c r="G19" s="14">
        <f t="shared" si="3"/>
        <v>617607.70000000019</v>
      </c>
      <c r="H19" s="14">
        <f t="shared" si="4"/>
        <v>8058.0333750000018</v>
      </c>
      <c r="I19" s="16">
        <f t="shared" si="5"/>
        <v>3.37500000205182E-3</v>
      </c>
    </row>
    <row r="20" spans="1:9" x14ac:dyDescent="0.25">
      <c r="A20" s="109" t="s">
        <v>297</v>
      </c>
      <c r="B20" s="46">
        <f t="shared" si="6"/>
        <v>30</v>
      </c>
      <c r="C20" s="47">
        <f t="shared" si="0"/>
        <v>35093</v>
      </c>
      <c r="D20" s="95">
        <f t="shared" si="1"/>
        <v>27372.9</v>
      </c>
      <c r="E20" s="96">
        <f t="shared" si="2"/>
        <v>7720.1</v>
      </c>
      <c r="F20" s="14">
        <f t="shared" si="7"/>
        <v>617607.70000000019</v>
      </c>
      <c r="G20" s="14">
        <f t="shared" si="3"/>
        <v>590234.80000000016</v>
      </c>
      <c r="H20" s="14">
        <f t="shared" si="4"/>
        <v>7720.0962500000023</v>
      </c>
      <c r="I20" s="16">
        <f t="shared" si="5"/>
        <v>-3.7499999980354914E-3</v>
      </c>
    </row>
    <row r="21" spans="1:9" x14ac:dyDescent="0.25">
      <c r="A21" s="109" t="s">
        <v>298</v>
      </c>
      <c r="B21" s="46">
        <f t="shared" si="6"/>
        <v>30</v>
      </c>
      <c r="C21" s="47">
        <f t="shared" si="0"/>
        <v>35093</v>
      </c>
      <c r="D21" s="95">
        <f t="shared" si="1"/>
        <v>27715.06</v>
      </c>
      <c r="E21" s="96">
        <f t="shared" si="2"/>
        <v>7377.94</v>
      </c>
      <c r="F21" s="14">
        <f t="shared" si="7"/>
        <v>590234.80000000016</v>
      </c>
      <c r="G21" s="14">
        <f t="shared" si="3"/>
        <v>562519.74000000011</v>
      </c>
      <c r="H21" s="14">
        <f t="shared" si="4"/>
        <v>7377.9350000000013</v>
      </c>
      <c r="I21" s="16">
        <f t="shared" si="5"/>
        <v>-4.99999999829015E-3</v>
      </c>
    </row>
    <row r="22" spans="1:9" x14ac:dyDescent="0.25">
      <c r="A22" s="109" t="s">
        <v>299</v>
      </c>
      <c r="B22" s="46">
        <f t="shared" si="6"/>
        <v>30</v>
      </c>
      <c r="C22" s="47">
        <f t="shared" si="0"/>
        <v>35093</v>
      </c>
      <c r="D22" s="95">
        <f t="shared" si="1"/>
        <v>28061.5</v>
      </c>
      <c r="E22" s="96">
        <f t="shared" si="2"/>
        <v>7031.5</v>
      </c>
      <c r="F22" s="14">
        <f t="shared" si="7"/>
        <v>562519.74000000011</v>
      </c>
      <c r="G22" s="14">
        <f t="shared" si="3"/>
        <v>534458.24000000011</v>
      </c>
      <c r="H22" s="14">
        <f t="shared" si="4"/>
        <v>7031.4967500000002</v>
      </c>
      <c r="I22" s="16">
        <f t="shared" si="5"/>
        <v>-3.2499999997526174E-3</v>
      </c>
    </row>
    <row r="23" spans="1:9" x14ac:dyDescent="0.25">
      <c r="A23" s="109" t="s">
        <v>282</v>
      </c>
      <c r="B23" s="46">
        <f t="shared" si="6"/>
        <v>30</v>
      </c>
      <c r="C23" s="47">
        <f t="shared" si="0"/>
        <v>35093</v>
      </c>
      <c r="D23" s="95">
        <f t="shared" si="1"/>
        <v>28412.27</v>
      </c>
      <c r="E23" s="96">
        <f t="shared" si="2"/>
        <v>6680.73</v>
      </c>
      <c r="F23" s="14">
        <f t="shared" si="7"/>
        <v>534458.24000000011</v>
      </c>
      <c r="G23" s="14">
        <f t="shared" si="3"/>
        <v>506045.97000000009</v>
      </c>
      <c r="H23" s="14">
        <f t="shared" si="4"/>
        <v>6680.7280000000019</v>
      </c>
      <c r="I23" s="16">
        <f t="shared" si="5"/>
        <v>-1.9999999976789695E-3</v>
      </c>
    </row>
    <row r="24" spans="1:9" x14ac:dyDescent="0.25">
      <c r="A24" s="109" t="s">
        <v>300</v>
      </c>
      <c r="B24" s="46">
        <f t="shared" si="6"/>
        <v>30</v>
      </c>
      <c r="C24" s="47">
        <f t="shared" si="0"/>
        <v>35093</v>
      </c>
      <c r="D24" s="95">
        <f t="shared" si="1"/>
        <v>28767.43</v>
      </c>
      <c r="E24" s="96">
        <f t="shared" si="2"/>
        <v>6325.57</v>
      </c>
      <c r="F24" s="14">
        <f t="shared" si="7"/>
        <v>506045.97000000009</v>
      </c>
      <c r="G24" s="14">
        <f t="shared" si="3"/>
        <v>477278.5400000001</v>
      </c>
      <c r="H24" s="14">
        <f t="shared" si="4"/>
        <v>6325.5746250000002</v>
      </c>
      <c r="I24" s="16">
        <f t="shared" si="5"/>
        <v>4.6250000004874892E-3</v>
      </c>
    </row>
    <row r="25" spans="1:9" x14ac:dyDescent="0.25">
      <c r="A25" s="109" t="s">
        <v>301</v>
      </c>
      <c r="B25" s="46">
        <f t="shared" si="6"/>
        <v>30</v>
      </c>
      <c r="C25" s="47">
        <f t="shared" si="0"/>
        <v>35093</v>
      </c>
      <c r="D25" s="95">
        <f t="shared" si="1"/>
        <v>29127.02</v>
      </c>
      <c r="E25" s="96">
        <f t="shared" si="2"/>
        <v>5965.98</v>
      </c>
      <c r="F25" s="14">
        <f t="shared" si="7"/>
        <v>477278.5400000001</v>
      </c>
      <c r="G25" s="14">
        <f t="shared" si="3"/>
        <v>448151.52000000008</v>
      </c>
      <c r="H25" s="14">
        <f t="shared" si="4"/>
        <v>5965.9817500000017</v>
      </c>
      <c r="I25" s="16">
        <f t="shared" si="5"/>
        <v>1.7500000021755113E-3</v>
      </c>
    </row>
    <row r="26" spans="1:9" x14ac:dyDescent="0.25">
      <c r="A26" s="109" t="s">
        <v>276</v>
      </c>
      <c r="B26" s="46">
        <f t="shared" si="6"/>
        <v>29</v>
      </c>
      <c r="C26" s="47">
        <f t="shared" si="0"/>
        <v>35093</v>
      </c>
      <c r="D26" s="95">
        <f t="shared" si="1"/>
        <v>29677.84</v>
      </c>
      <c r="E26" s="96">
        <f t="shared" si="2"/>
        <v>5415.16</v>
      </c>
      <c r="F26" s="14">
        <f t="shared" si="7"/>
        <v>448151.52000000008</v>
      </c>
      <c r="G26" s="14">
        <f t="shared" si="3"/>
        <v>418473.68000000005</v>
      </c>
      <c r="H26" s="14">
        <f t="shared" si="4"/>
        <v>5415.1642000000002</v>
      </c>
      <c r="I26" s="16">
        <f t="shared" si="5"/>
        <v>4.2000000003099558E-3</v>
      </c>
    </row>
    <row r="27" spans="1:9" x14ac:dyDescent="0.25">
      <c r="A27" s="109" t="s">
        <v>302</v>
      </c>
      <c r="B27" s="46">
        <f t="shared" si="6"/>
        <v>31</v>
      </c>
      <c r="C27" s="47">
        <f t="shared" si="0"/>
        <v>35093</v>
      </c>
      <c r="D27" s="95">
        <f t="shared" si="1"/>
        <v>29687.71</v>
      </c>
      <c r="E27" s="96">
        <f t="shared" si="2"/>
        <v>5405.29</v>
      </c>
      <c r="F27" s="14">
        <f t="shared" si="7"/>
        <v>418473.68000000005</v>
      </c>
      <c r="G27" s="14">
        <f t="shared" si="3"/>
        <v>388785.97000000003</v>
      </c>
      <c r="H27" s="14">
        <f t="shared" si="4"/>
        <v>5405.2850333333336</v>
      </c>
      <c r="I27" s="16">
        <f t="shared" si="5"/>
        <v>-4.9666666664052173E-3</v>
      </c>
    </row>
    <row r="28" spans="1:9" x14ac:dyDescent="0.25">
      <c r="A28" s="109" t="s">
        <v>303</v>
      </c>
      <c r="B28" s="46">
        <f t="shared" si="6"/>
        <v>30</v>
      </c>
      <c r="C28" s="47">
        <f t="shared" si="0"/>
        <v>35093</v>
      </c>
      <c r="D28" s="95">
        <f t="shared" si="1"/>
        <v>30233.18</v>
      </c>
      <c r="E28" s="96">
        <f t="shared" si="2"/>
        <v>4859.82</v>
      </c>
      <c r="F28" s="14">
        <f t="shared" si="7"/>
        <v>388785.97000000003</v>
      </c>
      <c r="G28" s="14">
        <f t="shared" si="3"/>
        <v>358552.79000000004</v>
      </c>
      <c r="H28" s="14">
        <f t="shared" si="4"/>
        <v>4859.8246250000002</v>
      </c>
      <c r="I28" s="16">
        <f t="shared" si="5"/>
        <v>4.6250000004874892E-3</v>
      </c>
    </row>
    <row r="29" spans="1:9" x14ac:dyDescent="0.25">
      <c r="A29" s="109" t="s">
        <v>273</v>
      </c>
      <c r="B29" s="46">
        <f t="shared" si="6"/>
        <v>30</v>
      </c>
      <c r="C29" s="47">
        <f t="shared" si="0"/>
        <v>35093</v>
      </c>
      <c r="D29" s="95">
        <f t="shared" si="1"/>
        <v>30611.09</v>
      </c>
      <c r="E29" s="96">
        <f t="shared" si="2"/>
        <v>4481.91</v>
      </c>
      <c r="F29" s="14">
        <f t="shared" si="7"/>
        <v>358552.79000000004</v>
      </c>
      <c r="G29" s="14">
        <f t="shared" si="3"/>
        <v>327941.7</v>
      </c>
      <c r="H29" s="14">
        <f t="shared" si="4"/>
        <v>4481.9098750000003</v>
      </c>
      <c r="I29" s="16">
        <f t="shared" si="5"/>
        <v>-1.249999995707185E-4</v>
      </c>
    </row>
    <row r="30" spans="1:9" x14ac:dyDescent="0.25">
      <c r="A30" s="109" t="s">
        <v>304</v>
      </c>
      <c r="B30" s="46">
        <f t="shared" si="6"/>
        <v>30</v>
      </c>
      <c r="C30" s="47">
        <f t="shared" si="0"/>
        <v>35093</v>
      </c>
      <c r="D30" s="95">
        <f t="shared" si="1"/>
        <v>30993.73</v>
      </c>
      <c r="E30" s="96">
        <f t="shared" si="2"/>
        <v>4099.2700000000004</v>
      </c>
      <c r="F30" s="14">
        <f t="shared" si="7"/>
        <v>327941.7</v>
      </c>
      <c r="G30" s="14">
        <f t="shared" si="3"/>
        <v>296947.97000000003</v>
      </c>
      <c r="H30" s="14">
        <f t="shared" si="4"/>
        <v>4099.2712499999998</v>
      </c>
      <c r="I30" s="16">
        <f t="shared" si="5"/>
        <v>1.2499999993451638E-3</v>
      </c>
    </row>
    <row r="31" spans="1:9" x14ac:dyDescent="0.25">
      <c r="A31" s="109" t="s">
        <v>305</v>
      </c>
      <c r="B31" s="46">
        <f t="shared" si="6"/>
        <v>30</v>
      </c>
      <c r="C31" s="47">
        <f t="shared" si="0"/>
        <v>35093</v>
      </c>
      <c r="D31" s="95">
        <f t="shared" si="1"/>
        <v>31381.15</v>
      </c>
      <c r="E31" s="96">
        <f t="shared" si="2"/>
        <v>3711.85</v>
      </c>
      <c r="F31" s="14">
        <f t="shared" si="7"/>
        <v>296947.97000000003</v>
      </c>
      <c r="G31" s="14">
        <f t="shared" si="3"/>
        <v>265566.82</v>
      </c>
      <c r="H31" s="14">
        <f t="shared" si="4"/>
        <v>3711.8496249999998</v>
      </c>
      <c r="I31" s="16">
        <f t="shared" si="5"/>
        <v>-3.7500000007639755E-4</v>
      </c>
    </row>
    <row r="32" spans="1:9" x14ac:dyDescent="0.25">
      <c r="A32" s="109" t="s">
        <v>306</v>
      </c>
      <c r="B32" s="46">
        <f t="shared" si="6"/>
        <v>30</v>
      </c>
      <c r="C32" s="47">
        <f t="shared" si="0"/>
        <v>35093</v>
      </c>
      <c r="D32" s="95">
        <f t="shared" si="1"/>
        <v>31773.41</v>
      </c>
      <c r="E32" s="96">
        <f t="shared" si="2"/>
        <v>3319.59</v>
      </c>
      <c r="F32" s="14">
        <f t="shared" si="7"/>
        <v>265566.82</v>
      </c>
      <c r="G32" s="14">
        <f t="shared" si="3"/>
        <v>233793.41</v>
      </c>
      <c r="H32" s="14">
        <f t="shared" si="4"/>
        <v>3319.5852499999996</v>
      </c>
      <c r="I32" s="16">
        <f t="shared" si="5"/>
        <v>-4.750000000512955E-3</v>
      </c>
    </row>
    <row r="33" spans="1:9" x14ac:dyDescent="0.25">
      <c r="A33" s="109" t="s">
        <v>307</v>
      </c>
      <c r="B33" s="46">
        <f t="shared" si="6"/>
        <v>30</v>
      </c>
      <c r="C33" s="47">
        <f t="shared" si="0"/>
        <v>35093</v>
      </c>
      <c r="D33" s="95">
        <f t="shared" si="1"/>
        <v>32170.58</v>
      </c>
      <c r="E33" s="96">
        <f t="shared" si="2"/>
        <v>2922.42</v>
      </c>
      <c r="F33" s="14">
        <f t="shared" si="7"/>
        <v>233793.41</v>
      </c>
      <c r="G33" s="14">
        <f t="shared" si="3"/>
        <v>201622.83000000002</v>
      </c>
      <c r="H33" s="14">
        <f t="shared" si="4"/>
        <v>2922.417625</v>
      </c>
      <c r="I33" s="16">
        <f t="shared" si="5"/>
        <v>-2.3750000000291038E-3</v>
      </c>
    </row>
    <row r="34" spans="1:9" x14ac:dyDescent="0.25">
      <c r="A34" s="109" t="s">
        <v>308</v>
      </c>
      <c r="B34" s="46">
        <f t="shared" si="6"/>
        <v>30</v>
      </c>
      <c r="C34" s="47">
        <f t="shared" si="0"/>
        <v>35093</v>
      </c>
      <c r="D34" s="95">
        <f t="shared" si="1"/>
        <v>32572.71</v>
      </c>
      <c r="E34" s="96">
        <f t="shared" si="2"/>
        <v>2520.29</v>
      </c>
      <c r="F34" s="14">
        <f t="shared" si="7"/>
        <v>201622.83000000002</v>
      </c>
      <c r="G34" s="14">
        <f t="shared" si="3"/>
        <v>169050.12000000002</v>
      </c>
      <c r="H34" s="14">
        <f t="shared" si="4"/>
        <v>2520.2853749999999</v>
      </c>
      <c r="I34" s="16">
        <f t="shared" si="5"/>
        <v>-4.6250000000327418E-3</v>
      </c>
    </row>
    <row r="35" spans="1:9" x14ac:dyDescent="0.25">
      <c r="A35" s="109" t="s">
        <v>309</v>
      </c>
      <c r="B35" s="46">
        <f t="shared" si="6"/>
        <v>30</v>
      </c>
      <c r="C35" s="47">
        <f t="shared" si="0"/>
        <v>35093</v>
      </c>
      <c r="D35" s="95">
        <f t="shared" si="1"/>
        <v>32979.870000000003</v>
      </c>
      <c r="E35" s="96">
        <f t="shared" si="2"/>
        <v>2113.13</v>
      </c>
      <c r="F35" s="14">
        <f t="shared" si="7"/>
        <v>169050.12000000002</v>
      </c>
      <c r="G35" s="14">
        <f t="shared" si="3"/>
        <v>136070.25000000003</v>
      </c>
      <c r="H35" s="14">
        <f t="shared" si="4"/>
        <v>2113.1265000000003</v>
      </c>
      <c r="I35" s="16">
        <f t="shared" si="5"/>
        <v>-3.4999999998035491E-3</v>
      </c>
    </row>
    <row r="36" spans="1:9" x14ac:dyDescent="0.25">
      <c r="A36" s="109" t="s">
        <v>310</v>
      </c>
      <c r="B36" s="46">
        <f t="shared" si="6"/>
        <v>30</v>
      </c>
      <c r="C36" s="47">
        <f t="shared" si="0"/>
        <v>35093</v>
      </c>
      <c r="D36" s="95">
        <f t="shared" si="1"/>
        <v>33392.120000000003</v>
      </c>
      <c r="E36" s="96">
        <f t="shared" si="2"/>
        <v>1700.88</v>
      </c>
      <c r="F36" s="14">
        <f t="shared" si="7"/>
        <v>136070.25000000003</v>
      </c>
      <c r="G36" s="14">
        <f t="shared" si="3"/>
        <v>102678.13000000003</v>
      </c>
      <c r="H36" s="14">
        <f t="shared" si="4"/>
        <v>1700.8781250000004</v>
      </c>
      <c r="I36" s="16">
        <f t="shared" si="5"/>
        <v>-1.8749999996998667E-3</v>
      </c>
    </row>
    <row r="37" spans="1:9" x14ac:dyDescent="0.25">
      <c r="A37" s="109" t="s">
        <v>311</v>
      </c>
      <c r="B37" s="46">
        <f t="shared" si="6"/>
        <v>30</v>
      </c>
      <c r="C37" s="47">
        <f t="shared" si="0"/>
        <v>35093</v>
      </c>
      <c r="D37" s="95">
        <f t="shared" si="1"/>
        <v>33809.519999999997</v>
      </c>
      <c r="E37" s="96">
        <f t="shared" si="2"/>
        <v>1283.48</v>
      </c>
      <c r="F37" s="14">
        <f t="shared" si="7"/>
        <v>102678.13000000003</v>
      </c>
      <c r="G37" s="14">
        <f t="shared" si="3"/>
        <v>68868.610000000044</v>
      </c>
      <c r="H37" s="14">
        <f t="shared" si="4"/>
        <v>1283.4766250000005</v>
      </c>
      <c r="I37" s="16">
        <f t="shared" si="5"/>
        <v>-3.3749999995507096E-3</v>
      </c>
    </row>
    <row r="38" spans="1:9" x14ac:dyDescent="0.25">
      <c r="A38" s="109" t="s">
        <v>277</v>
      </c>
      <c r="B38" s="46">
        <f t="shared" si="6"/>
        <v>29</v>
      </c>
      <c r="C38" s="47">
        <f t="shared" si="0"/>
        <v>35093</v>
      </c>
      <c r="D38" s="95">
        <f t="shared" si="1"/>
        <v>34260.839999999997</v>
      </c>
      <c r="E38" s="96">
        <f t="shared" si="2"/>
        <v>832.16</v>
      </c>
      <c r="F38" s="14">
        <f t="shared" si="7"/>
        <v>68868.610000000044</v>
      </c>
      <c r="G38" s="14">
        <f t="shared" si="3"/>
        <v>34607.770000000048</v>
      </c>
      <c r="H38" s="14">
        <f t="shared" si="4"/>
        <v>832.16237083333385</v>
      </c>
      <c r="I38" s="16">
        <f t="shared" si="5"/>
        <v>2.3708333338845478E-3</v>
      </c>
    </row>
    <row r="39" spans="1:9" x14ac:dyDescent="0.25">
      <c r="A39" s="109" t="s">
        <v>312</v>
      </c>
      <c r="B39" s="46">
        <f t="shared" si="6"/>
        <v>31</v>
      </c>
      <c r="C39" s="47">
        <f t="shared" si="0"/>
        <v>35093</v>
      </c>
      <c r="D39" s="95">
        <f t="shared" ref="D39" si="8">C39-E39</f>
        <v>34607.769999999997</v>
      </c>
      <c r="E39" s="96">
        <v>485.23</v>
      </c>
      <c r="F39" s="14">
        <f t="shared" ref="F39" si="9">G38</f>
        <v>34607.770000000048</v>
      </c>
      <c r="G39" s="14">
        <f t="shared" ref="G39" si="10">F39-D39</f>
        <v>0</v>
      </c>
      <c r="H39" s="14">
        <f t="shared" ref="H39" si="11">F39*$B$2*B39/360</f>
        <v>447.01702916666733</v>
      </c>
      <c r="I39" s="16">
        <f t="shared" ref="I39" si="12">H39-E39</f>
        <v>-38.21297083333269</v>
      </c>
    </row>
    <row r="40" spans="1:9" x14ac:dyDescent="0.25">
      <c r="A40" s="113" t="s">
        <v>280</v>
      </c>
      <c r="B40" s="84">
        <f>DAYS360(A7,A8,TRUE)</f>
        <v>30</v>
      </c>
      <c r="C40" s="90">
        <f t="shared" si="0"/>
        <v>35093</v>
      </c>
      <c r="D40" s="100">
        <f>C8-E8</f>
        <v>23581.82</v>
      </c>
      <c r="E40" s="101">
        <f>ROUND(F8*$B$2*B8/360,2)</f>
        <v>11511.18</v>
      </c>
      <c r="F40" s="99">
        <f>G7</f>
        <v>920894</v>
      </c>
      <c r="G40" s="99">
        <f t="shared" ref="G40:G41" si="13">F40-D40</f>
        <v>897312.18</v>
      </c>
      <c r="H40" s="99">
        <f t="shared" ref="H40:H62" si="14">F40*$B$2*B40/360</f>
        <v>11511.174999999999</v>
      </c>
      <c r="I40" s="112">
        <f t="shared" ref="I40:I62" si="15">H40-E40</f>
        <v>-5.0000000010186341E-3</v>
      </c>
    </row>
    <row r="41" spans="1:9" x14ac:dyDescent="0.25">
      <c r="A41" s="109" t="s">
        <v>288</v>
      </c>
      <c r="B41" s="46">
        <f t="shared" ref="B41:B70" si="16">DAYS360(A40,A41,TRUE)</f>
        <v>30</v>
      </c>
      <c r="C41" s="47">
        <f>$H$1</f>
        <v>37298</v>
      </c>
      <c r="D41" s="95">
        <f t="shared" ref="D41" si="17">C41-E41</f>
        <v>22342.799999999999</v>
      </c>
      <c r="E41" s="96">
        <f>ROUND(F41*$J$1*B41/360,2)</f>
        <v>14955.2</v>
      </c>
      <c r="F41" s="14">
        <f t="shared" ref="F41" si="18">G40</f>
        <v>897312.18</v>
      </c>
      <c r="G41" s="14">
        <f t="shared" si="13"/>
        <v>874969.38</v>
      </c>
      <c r="H41" s="14">
        <f t="shared" si="14"/>
        <v>11216.402249999999</v>
      </c>
      <c r="I41" s="16">
        <f t="shared" si="15"/>
        <v>-3738.7977500000015</v>
      </c>
    </row>
    <row r="42" spans="1:9" x14ac:dyDescent="0.25">
      <c r="A42" s="109" t="s">
        <v>289</v>
      </c>
      <c r="B42" s="46">
        <f t="shared" si="16"/>
        <v>30</v>
      </c>
      <c r="C42" s="47">
        <f t="shared" ref="C42:C47" si="19">$H$1</f>
        <v>37298</v>
      </c>
      <c r="D42" s="95">
        <f t="shared" ref="D42:D48" si="20">C42-E42</f>
        <v>22715.18</v>
      </c>
      <c r="E42" s="96">
        <f t="shared" ref="E42:E48" si="21">ROUND(F42*$J$1*B42/360,2)</f>
        <v>14582.82</v>
      </c>
      <c r="F42" s="14">
        <f t="shared" ref="F42:F70" si="22">G41</f>
        <v>874969.38</v>
      </c>
      <c r="G42" s="14">
        <f t="shared" ref="G42:G70" si="23">F42-D42</f>
        <v>852254.2</v>
      </c>
      <c r="H42" s="14">
        <f t="shared" si="14"/>
        <v>10937.117249999999</v>
      </c>
      <c r="I42" s="16">
        <f t="shared" si="15"/>
        <v>-3645.7027500000004</v>
      </c>
    </row>
    <row r="43" spans="1:9" x14ac:dyDescent="0.25">
      <c r="A43" s="109" t="s">
        <v>290</v>
      </c>
      <c r="B43" s="46">
        <f t="shared" si="16"/>
        <v>30</v>
      </c>
      <c r="C43" s="47">
        <f t="shared" si="19"/>
        <v>37298</v>
      </c>
      <c r="D43" s="95">
        <f t="shared" si="20"/>
        <v>23093.760000000002</v>
      </c>
      <c r="E43" s="96">
        <f t="shared" si="21"/>
        <v>14204.24</v>
      </c>
      <c r="F43" s="14">
        <f t="shared" si="22"/>
        <v>852254.2</v>
      </c>
      <c r="G43" s="14">
        <f t="shared" si="23"/>
        <v>829160.44</v>
      </c>
      <c r="H43" s="14">
        <f t="shared" si="14"/>
        <v>10653.1775</v>
      </c>
      <c r="I43" s="16">
        <f t="shared" si="15"/>
        <v>-3551.0625</v>
      </c>
    </row>
    <row r="44" spans="1:9" x14ac:dyDescent="0.25">
      <c r="A44" s="109" t="s">
        <v>291</v>
      </c>
      <c r="B44" s="46">
        <f t="shared" si="16"/>
        <v>30</v>
      </c>
      <c r="C44" s="47">
        <f t="shared" si="19"/>
        <v>37298</v>
      </c>
      <c r="D44" s="95">
        <f t="shared" si="20"/>
        <v>23478.66</v>
      </c>
      <c r="E44" s="96">
        <f t="shared" si="21"/>
        <v>13819.34</v>
      </c>
      <c r="F44" s="14">
        <f t="shared" si="22"/>
        <v>829160.44</v>
      </c>
      <c r="G44" s="14">
        <f t="shared" si="23"/>
        <v>805681.77999999991</v>
      </c>
      <c r="H44" s="14">
        <f t="shared" si="14"/>
        <v>10364.505499999999</v>
      </c>
      <c r="I44" s="16">
        <f t="shared" si="15"/>
        <v>-3454.8345000000008</v>
      </c>
    </row>
    <row r="45" spans="1:9" x14ac:dyDescent="0.25">
      <c r="A45" s="109" t="s">
        <v>292</v>
      </c>
      <c r="B45" s="46">
        <f t="shared" si="16"/>
        <v>30</v>
      </c>
      <c r="C45" s="47">
        <f t="shared" si="19"/>
        <v>37298</v>
      </c>
      <c r="D45" s="95">
        <f t="shared" si="20"/>
        <v>23869.97</v>
      </c>
      <c r="E45" s="96">
        <f t="shared" si="21"/>
        <v>13428.03</v>
      </c>
      <c r="F45" s="14">
        <f t="shared" si="22"/>
        <v>805681.77999999991</v>
      </c>
      <c r="G45" s="14">
        <f t="shared" si="23"/>
        <v>781811.80999999994</v>
      </c>
      <c r="H45" s="14">
        <f t="shared" si="14"/>
        <v>10071.022249999998</v>
      </c>
      <c r="I45" s="16">
        <f t="shared" si="15"/>
        <v>-3357.0077500000025</v>
      </c>
    </row>
    <row r="46" spans="1:9" x14ac:dyDescent="0.25">
      <c r="A46" s="109" t="s">
        <v>275</v>
      </c>
      <c r="B46" s="46">
        <f t="shared" si="16"/>
        <v>29</v>
      </c>
      <c r="C46" s="47">
        <f t="shared" si="19"/>
        <v>37298</v>
      </c>
      <c r="D46" s="95">
        <f t="shared" si="20"/>
        <v>24702.14</v>
      </c>
      <c r="E46" s="96">
        <f t="shared" si="21"/>
        <v>12595.86</v>
      </c>
      <c r="F46" s="14">
        <f t="shared" si="22"/>
        <v>781811.80999999994</v>
      </c>
      <c r="G46" s="14">
        <f t="shared" si="23"/>
        <v>757109.66999999993</v>
      </c>
      <c r="H46" s="14">
        <f t="shared" si="14"/>
        <v>9446.8927041666666</v>
      </c>
      <c r="I46" s="16">
        <f t="shared" si="15"/>
        <v>-3148.967295833334</v>
      </c>
    </row>
    <row r="47" spans="1:9" x14ac:dyDescent="0.25">
      <c r="A47" s="109" t="s">
        <v>281</v>
      </c>
      <c r="B47" s="46">
        <f t="shared" si="16"/>
        <v>31</v>
      </c>
      <c r="C47" s="47">
        <f t="shared" si="19"/>
        <v>37298</v>
      </c>
      <c r="D47" s="95">
        <f t="shared" si="20"/>
        <v>24258.89</v>
      </c>
      <c r="E47" s="96">
        <f t="shared" si="21"/>
        <v>13039.11</v>
      </c>
      <c r="F47" s="14">
        <f t="shared" si="22"/>
        <v>757109.66999999993</v>
      </c>
      <c r="G47" s="14">
        <f t="shared" si="23"/>
        <v>732850.77999999991</v>
      </c>
      <c r="H47" s="14">
        <f t="shared" si="14"/>
        <v>9779.3332374999991</v>
      </c>
      <c r="I47" s="16">
        <f t="shared" si="15"/>
        <v>-3259.7767625000015</v>
      </c>
    </row>
    <row r="48" spans="1:9" x14ac:dyDescent="0.25">
      <c r="A48" s="109" t="s">
        <v>293</v>
      </c>
      <c r="B48" s="84">
        <f t="shared" si="16"/>
        <v>30</v>
      </c>
      <c r="C48" s="47">
        <f>$N$1</f>
        <v>34753</v>
      </c>
      <c r="D48" s="95">
        <f t="shared" si="20"/>
        <v>23372.15</v>
      </c>
      <c r="E48" s="96">
        <f t="shared" si="21"/>
        <v>11380.85</v>
      </c>
      <c r="F48" s="14">
        <f>G47-P1</f>
        <v>682850.77999999991</v>
      </c>
      <c r="G48" s="14">
        <f t="shared" si="23"/>
        <v>659478.62999999989</v>
      </c>
      <c r="H48" s="99">
        <f t="shared" si="14"/>
        <v>8535.6347499999974</v>
      </c>
      <c r="I48" s="112">
        <f t="shared" si="15"/>
        <v>-2845.2152500000029</v>
      </c>
    </row>
    <row r="49" spans="1:9" x14ac:dyDescent="0.25">
      <c r="A49" s="109" t="s">
        <v>294</v>
      </c>
      <c r="B49" s="46">
        <f t="shared" si="16"/>
        <v>30</v>
      </c>
      <c r="C49" s="47">
        <f t="shared" ref="C49:C55" si="24">$N$1</f>
        <v>34753</v>
      </c>
      <c r="D49" s="95">
        <f t="shared" ref="D49:D71" si="25">C49-E49</f>
        <v>23761.690000000002</v>
      </c>
      <c r="E49" s="96">
        <f t="shared" ref="E49:E71" si="26">ROUND(F49*$J$1*B49/360,2)</f>
        <v>10991.31</v>
      </c>
      <c r="F49" s="14">
        <f t="shared" si="22"/>
        <v>659478.62999999989</v>
      </c>
      <c r="G49" s="14">
        <f t="shared" si="23"/>
        <v>635716.93999999994</v>
      </c>
      <c r="H49" s="14">
        <f t="shared" si="14"/>
        <v>8243.4828749999979</v>
      </c>
      <c r="I49" s="16">
        <f t="shared" si="15"/>
        <v>-2747.8271250000016</v>
      </c>
    </row>
    <row r="50" spans="1:9" x14ac:dyDescent="0.25">
      <c r="A50" s="109" t="s">
        <v>295</v>
      </c>
      <c r="B50" s="46">
        <f t="shared" si="16"/>
        <v>30</v>
      </c>
      <c r="C50" s="47">
        <f t="shared" si="24"/>
        <v>34753</v>
      </c>
      <c r="D50" s="95">
        <f t="shared" si="25"/>
        <v>24157.72</v>
      </c>
      <c r="E50" s="96">
        <f t="shared" si="26"/>
        <v>10595.28</v>
      </c>
      <c r="F50" s="14">
        <f t="shared" si="22"/>
        <v>635716.93999999994</v>
      </c>
      <c r="G50" s="14">
        <f t="shared" si="23"/>
        <v>611559.22</v>
      </c>
      <c r="H50" s="14">
        <f t="shared" si="14"/>
        <v>7946.4617499999986</v>
      </c>
      <c r="I50" s="16">
        <f t="shared" si="15"/>
        <v>-2648.8182500000021</v>
      </c>
    </row>
    <row r="51" spans="1:9" x14ac:dyDescent="0.25">
      <c r="A51" s="109" t="s">
        <v>296</v>
      </c>
      <c r="B51" s="46">
        <f t="shared" si="16"/>
        <v>30</v>
      </c>
      <c r="C51" s="47">
        <f t="shared" si="24"/>
        <v>34753</v>
      </c>
      <c r="D51" s="95">
        <f t="shared" si="25"/>
        <v>24560.35</v>
      </c>
      <c r="E51" s="96">
        <f t="shared" si="26"/>
        <v>10192.65</v>
      </c>
      <c r="F51" s="14">
        <f t="shared" si="22"/>
        <v>611559.22</v>
      </c>
      <c r="G51" s="14">
        <f t="shared" si="23"/>
        <v>586998.87</v>
      </c>
      <c r="H51" s="14">
        <f t="shared" si="14"/>
        <v>7644.4902499999989</v>
      </c>
      <c r="I51" s="16">
        <f t="shared" si="15"/>
        <v>-2548.1597500000007</v>
      </c>
    </row>
    <row r="52" spans="1:9" x14ac:dyDescent="0.25">
      <c r="A52" s="109" t="s">
        <v>297</v>
      </c>
      <c r="B52" s="46">
        <f t="shared" si="16"/>
        <v>30</v>
      </c>
      <c r="C52" s="47">
        <f t="shared" si="24"/>
        <v>34753</v>
      </c>
      <c r="D52" s="95">
        <f t="shared" si="25"/>
        <v>24969.690000000002</v>
      </c>
      <c r="E52" s="96">
        <f t="shared" si="26"/>
        <v>9783.31</v>
      </c>
      <c r="F52" s="14">
        <f t="shared" si="22"/>
        <v>586998.87</v>
      </c>
      <c r="G52" s="14">
        <f t="shared" si="23"/>
        <v>562029.17999999993</v>
      </c>
      <c r="H52" s="14">
        <f t="shared" si="14"/>
        <v>7337.4858750000003</v>
      </c>
      <c r="I52" s="16">
        <f t="shared" si="15"/>
        <v>-2445.8241249999992</v>
      </c>
    </row>
    <row r="53" spans="1:9" x14ac:dyDescent="0.25">
      <c r="A53" s="109" t="s">
        <v>298</v>
      </c>
      <c r="B53" s="46">
        <f t="shared" si="16"/>
        <v>30</v>
      </c>
      <c r="C53" s="47">
        <f t="shared" si="24"/>
        <v>34753</v>
      </c>
      <c r="D53" s="95">
        <f t="shared" si="25"/>
        <v>25385.85</v>
      </c>
      <c r="E53" s="96">
        <f t="shared" si="26"/>
        <v>9367.15</v>
      </c>
      <c r="F53" s="14">
        <f t="shared" si="22"/>
        <v>562029.17999999993</v>
      </c>
      <c r="G53" s="14">
        <f t="shared" si="23"/>
        <v>536643.32999999996</v>
      </c>
      <c r="H53" s="14">
        <f t="shared" si="14"/>
        <v>7025.3647499999988</v>
      </c>
      <c r="I53" s="16">
        <f t="shared" si="15"/>
        <v>-2341.7852500000008</v>
      </c>
    </row>
    <row r="54" spans="1:9" x14ac:dyDescent="0.25">
      <c r="A54" s="109" t="s">
        <v>299</v>
      </c>
      <c r="B54" s="46">
        <f t="shared" si="16"/>
        <v>30</v>
      </c>
      <c r="C54" s="47">
        <f t="shared" si="24"/>
        <v>34753</v>
      </c>
      <c r="D54" s="95">
        <f t="shared" si="25"/>
        <v>25808.940000000002</v>
      </c>
      <c r="E54" s="96">
        <f t="shared" si="26"/>
        <v>8944.06</v>
      </c>
      <c r="F54" s="14">
        <f t="shared" si="22"/>
        <v>536643.32999999996</v>
      </c>
      <c r="G54" s="14">
        <f t="shared" si="23"/>
        <v>510834.38999999996</v>
      </c>
      <c r="H54" s="14">
        <f t="shared" si="14"/>
        <v>6708.0416249999998</v>
      </c>
      <c r="I54" s="16">
        <f t="shared" si="15"/>
        <v>-2236.0183749999997</v>
      </c>
    </row>
    <row r="55" spans="1:9" x14ac:dyDescent="0.25">
      <c r="A55" s="109" t="s">
        <v>282</v>
      </c>
      <c r="B55" s="46">
        <f t="shared" si="16"/>
        <v>30</v>
      </c>
      <c r="C55" s="47">
        <f t="shared" si="24"/>
        <v>34753</v>
      </c>
      <c r="D55" s="95">
        <f t="shared" si="25"/>
        <v>26239.09</v>
      </c>
      <c r="E55" s="96">
        <f t="shared" si="26"/>
        <v>8513.91</v>
      </c>
      <c r="F55" s="14">
        <f t="shared" si="22"/>
        <v>510834.38999999996</v>
      </c>
      <c r="G55" s="14">
        <f t="shared" si="23"/>
        <v>484595.29999999993</v>
      </c>
      <c r="H55" s="14">
        <f t="shared" si="14"/>
        <v>6385.4298749999998</v>
      </c>
      <c r="I55" s="16">
        <f t="shared" si="15"/>
        <v>-2128.480125</v>
      </c>
    </row>
    <row r="56" spans="1:9" x14ac:dyDescent="0.25">
      <c r="A56" s="109" t="s">
        <v>300</v>
      </c>
      <c r="B56" s="84">
        <f t="shared" si="16"/>
        <v>30</v>
      </c>
      <c r="C56" s="47">
        <f>$F$2</f>
        <v>15000</v>
      </c>
      <c r="D56" s="95">
        <f t="shared" si="25"/>
        <v>6923.41</v>
      </c>
      <c r="E56" s="96">
        <f t="shared" si="26"/>
        <v>8076.59</v>
      </c>
      <c r="F56" s="14">
        <f t="shared" si="22"/>
        <v>484595.29999999993</v>
      </c>
      <c r="G56" s="14">
        <f t="shared" si="23"/>
        <v>477671.88999999996</v>
      </c>
      <c r="H56" s="99">
        <f t="shared" si="14"/>
        <v>6057.4412499999989</v>
      </c>
      <c r="I56" s="112">
        <f t="shared" si="15"/>
        <v>-2019.1487500000012</v>
      </c>
    </row>
    <row r="57" spans="1:9" x14ac:dyDescent="0.25">
      <c r="A57" s="109" t="s">
        <v>301</v>
      </c>
      <c r="B57" s="46">
        <f t="shared" si="16"/>
        <v>30</v>
      </c>
      <c r="C57" s="47">
        <f t="shared" ref="C57:C61" si="27">$F$2</f>
        <v>15000</v>
      </c>
      <c r="D57" s="95">
        <f t="shared" si="25"/>
        <v>7038.8</v>
      </c>
      <c r="E57" s="96">
        <f t="shared" si="26"/>
        <v>7961.2</v>
      </c>
      <c r="F57" s="14">
        <f t="shared" si="22"/>
        <v>477671.88999999996</v>
      </c>
      <c r="G57" s="14">
        <f t="shared" si="23"/>
        <v>470633.08999999997</v>
      </c>
      <c r="H57" s="14">
        <f t="shared" si="14"/>
        <v>5970.8986249999998</v>
      </c>
      <c r="I57" s="16">
        <f t="shared" si="15"/>
        <v>-1990.301375</v>
      </c>
    </row>
    <row r="58" spans="1:9" x14ac:dyDescent="0.25">
      <c r="A58" s="109" t="s">
        <v>276</v>
      </c>
      <c r="B58" s="46">
        <f t="shared" si="16"/>
        <v>29</v>
      </c>
      <c r="C58" s="47">
        <f t="shared" si="27"/>
        <v>15000</v>
      </c>
      <c r="D58" s="95">
        <f t="shared" si="25"/>
        <v>7417.58</v>
      </c>
      <c r="E58" s="96">
        <f t="shared" si="26"/>
        <v>7582.42</v>
      </c>
      <c r="F58" s="14">
        <f t="shared" si="22"/>
        <v>470633.08999999997</v>
      </c>
      <c r="G58" s="14">
        <f t="shared" si="23"/>
        <v>463215.50999999995</v>
      </c>
      <c r="H58" s="14">
        <f t="shared" si="14"/>
        <v>5686.8165041666662</v>
      </c>
      <c r="I58" s="16">
        <f t="shared" si="15"/>
        <v>-1895.6034958333339</v>
      </c>
    </row>
    <row r="59" spans="1:9" x14ac:dyDescent="0.25">
      <c r="A59" s="109" t="s">
        <v>302</v>
      </c>
      <c r="B59" s="46">
        <f t="shared" si="16"/>
        <v>31</v>
      </c>
      <c r="C59" s="47">
        <f t="shared" si="27"/>
        <v>15000</v>
      </c>
      <c r="D59" s="95">
        <f t="shared" si="25"/>
        <v>7022.4</v>
      </c>
      <c r="E59" s="96">
        <f t="shared" si="26"/>
        <v>7977.6</v>
      </c>
      <c r="F59" s="14">
        <f t="shared" si="22"/>
        <v>463215.50999999995</v>
      </c>
      <c r="G59" s="14">
        <f t="shared" si="23"/>
        <v>456193.10999999993</v>
      </c>
      <c r="H59" s="14">
        <f t="shared" si="14"/>
        <v>5983.2003374999995</v>
      </c>
      <c r="I59" s="16">
        <f t="shared" si="15"/>
        <v>-1994.3996625000009</v>
      </c>
    </row>
    <row r="60" spans="1:9" x14ac:dyDescent="0.25">
      <c r="A60" s="109" t="s">
        <v>303</v>
      </c>
      <c r="B60" s="46">
        <f t="shared" si="16"/>
        <v>30</v>
      </c>
      <c r="C60" s="47">
        <f t="shared" si="27"/>
        <v>15000</v>
      </c>
      <c r="D60" s="95">
        <f t="shared" si="25"/>
        <v>7396.78</v>
      </c>
      <c r="E60" s="96">
        <f t="shared" si="26"/>
        <v>7603.22</v>
      </c>
      <c r="F60" s="14">
        <f t="shared" si="22"/>
        <v>456193.10999999993</v>
      </c>
      <c r="G60" s="14">
        <f t="shared" si="23"/>
        <v>448796.3299999999</v>
      </c>
      <c r="H60" s="14">
        <f t="shared" si="14"/>
        <v>5702.4138749999984</v>
      </c>
      <c r="I60" s="16">
        <f t="shared" si="15"/>
        <v>-1900.8061250000019</v>
      </c>
    </row>
    <row r="61" spans="1:9" x14ac:dyDescent="0.25">
      <c r="A61" s="109" t="s">
        <v>273</v>
      </c>
      <c r="B61" s="46">
        <f t="shared" si="16"/>
        <v>30</v>
      </c>
      <c r="C61" s="47">
        <f t="shared" si="27"/>
        <v>15000</v>
      </c>
      <c r="D61" s="95">
        <f t="shared" si="25"/>
        <v>7520.06</v>
      </c>
      <c r="E61" s="96">
        <f t="shared" si="26"/>
        <v>7479.94</v>
      </c>
      <c r="F61" s="14">
        <f t="shared" si="22"/>
        <v>448796.3299999999</v>
      </c>
      <c r="G61" s="14">
        <f t="shared" si="23"/>
        <v>441276.2699999999</v>
      </c>
      <c r="H61" s="14">
        <f t="shared" si="14"/>
        <v>5609.9541249999993</v>
      </c>
      <c r="I61" s="16">
        <f t="shared" si="15"/>
        <v>-1869.9858750000003</v>
      </c>
    </row>
    <row r="62" spans="1:9" x14ac:dyDescent="0.25">
      <c r="A62" s="109" t="s">
        <v>304</v>
      </c>
      <c r="B62" s="84">
        <f t="shared" si="16"/>
        <v>30</v>
      </c>
      <c r="C62" s="47">
        <f>$J$2</f>
        <v>24124</v>
      </c>
      <c r="D62" s="95">
        <f t="shared" si="25"/>
        <v>16769.400000000001</v>
      </c>
      <c r="E62" s="96">
        <f t="shared" si="26"/>
        <v>7354.6</v>
      </c>
      <c r="F62" s="14">
        <f t="shared" si="22"/>
        <v>441276.2699999999</v>
      </c>
      <c r="G62" s="14">
        <f t="shared" si="23"/>
        <v>424506.86999999988</v>
      </c>
      <c r="H62" s="99">
        <f t="shared" si="14"/>
        <v>5515.9533749999982</v>
      </c>
      <c r="I62" s="112">
        <f t="shared" si="15"/>
        <v>-1838.6466250000021</v>
      </c>
    </row>
    <row r="63" spans="1:9" x14ac:dyDescent="0.25">
      <c r="A63" s="109" t="s">
        <v>305</v>
      </c>
      <c r="B63" s="46">
        <f t="shared" si="16"/>
        <v>30</v>
      </c>
      <c r="C63" s="47">
        <f t="shared" ref="C63:C83" si="28">$J$2</f>
        <v>24124</v>
      </c>
      <c r="D63" s="95">
        <f t="shared" si="25"/>
        <v>17048.89</v>
      </c>
      <c r="E63" s="96">
        <f t="shared" si="26"/>
        <v>7075.11</v>
      </c>
      <c r="F63" s="14">
        <f t="shared" si="22"/>
        <v>424506.86999999988</v>
      </c>
      <c r="G63" s="14">
        <f t="shared" si="23"/>
        <v>407457.97999999986</v>
      </c>
    </row>
    <row r="64" spans="1:9" x14ac:dyDescent="0.25">
      <c r="A64" s="109" t="s">
        <v>306</v>
      </c>
      <c r="B64" s="46">
        <f t="shared" si="16"/>
        <v>30</v>
      </c>
      <c r="C64" s="47">
        <f t="shared" si="28"/>
        <v>24124</v>
      </c>
      <c r="D64" s="95">
        <f t="shared" si="25"/>
        <v>17333.03</v>
      </c>
      <c r="E64" s="96">
        <f t="shared" si="26"/>
        <v>6790.97</v>
      </c>
      <c r="F64" s="14">
        <f t="shared" si="22"/>
        <v>407457.97999999986</v>
      </c>
      <c r="G64" s="14">
        <f t="shared" si="23"/>
        <v>390124.94999999984</v>
      </c>
    </row>
    <row r="65" spans="1:7" x14ac:dyDescent="0.25">
      <c r="A65" s="109" t="s">
        <v>307</v>
      </c>
      <c r="B65" s="46">
        <f t="shared" si="16"/>
        <v>30</v>
      </c>
      <c r="C65" s="47">
        <f t="shared" si="28"/>
        <v>24124</v>
      </c>
      <c r="D65" s="95">
        <f t="shared" si="25"/>
        <v>17621.919999999998</v>
      </c>
      <c r="E65" s="96">
        <f t="shared" si="26"/>
        <v>6502.08</v>
      </c>
      <c r="F65" s="14">
        <f t="shared" si="22"/>
        <v>390124.94999999984</v>
      </c>
      <c r="G65" s="14">
        <f t="shared" si="23"/>
        <v>372503.02999999985</v>
      </c>
    </row>
    <row r="66" spans="1:7" x14ac:dyDescent="0.25">
      <c r="A66" s="109" t="s">
        <v>308</v>
      </c>
      <c r="B66" s="46">
        <f t="shared" si="16"/>
        <v>30</v>
      </c>
      <c r="C66" s="47">
        <f t="shared" si="28"/>
        <v>24124</v>
      </c>
      <c r="D66" s="95">
        <f t="shared" si="25"/>
        <v>17915.62</v>
      </c>
      <c r="E66" s="96">
        <f t="shared" si="26"/>
        <v>6208.38</v>
      </c>
      <c r="F66" s="14">
        <f t="shared" si="22"/>
        <v>372503.02999999985</v>
      </c>
      <c r="G66" s="14">
        <f t="shared" si="23"/>
        <v>354587.40999999986</v>
      </c>
    </row>
    <row r="67" spans="1:7" x14ac:dyDescent="0.25">
      <c r="A67" s="109" t="s">
        <v>309</v>
      </c>
      <c r="B67" s="46">
        <f t="shared" si="16"/>
        <v>30</v>
      </c>
      <c r="C67" s="47">
        <f t="shared" si="28"/>
        <v>24124</v>
      </c>
      <c r="D67" s="95">
        <f t="shared" si="25"/>
        <v>18214.21</v>
      </c>
      <c r="E67" s="96">
        <f t="shared" si="26"/>
        <v>5909.79</v>
      </c>
      <c r="F67" s="14">
        <f t="shared" si="22"/>
        <v>354587.40999999986</v>
      </c>
      <c r="G67" s="14">
        <f t="shared" si="23"/>
        <v>336373.19999999984</v>
      </c>
    </row>
    <row r="68" spans="1:7" x14ac:dyDescent="0.25">
      <c r="A68" s="109" t="s">
        <v>310</v>
      </c>
      <c r="B68" s="46">
        <f t="shared" si="16"/>
        <v>30</v>
      </c>
      <c r="C68" s="47">
        <f t="shared" si="28"/>
        <v>24124</v>
      </c>
      <c r="D68" s="95">
        <f t="shared" si="25"/>
        <v>18517.78</v>
      </c>
      <c r="E68" s="96">
        <f t="shared" si="26"/>
        <v>5606.22</v>
      </c>
      <c r="F68" s="14">
        <f t="shared" si="22"/>
        <v>336373.19999999984</v>
      </c>
      <c r="G68" s="14">
        <f t="shared" si="23"/>
        <v>317855.41999999981</v>
      </c>
    </row>
    <row r="69" spans="1:7" x14ac:dyDescent="0.25">
      <c r="A69" s="109" t="s">
        <v>311</v>
      </c>
      <c r="B69" s="46">
        <f t="shared" si="16"/>
        <v>30</v>
      </c>
      <c r="C69" s="47">
        <f t="shared" si="28"/>
        <v>24124</v>
      </c>
      <c r="D69" s="95">
        <f t="shared" si="25"/>
        <v>18826.41</v>
      </c>
      <c r="E69" s="96">
        <f t="shared" si="26"/>
        <v>5297.59</v>
      </c>
      <c r="F69" s="14">
        <f t="shared" si="22"/>
        <v>317855.41999999981</v>
      </c>
      <c r="G69" s="14">
        <f t="shared" si="23"/>
        <v>299029.00999999983</v>
      </c>
    </row>
    <row r="70" spans="1:7" x14ac:dyDescent="0.25">
      <c r="A70" s="109" t="s">
        <v>277</v>
      </c>
      <c r="B70" s="46">
        <f t="shared" si="16"/>
        <v>29</v>
      </c>
      <c r="C70" s="47">
        <f t="shared" si="28"/>
        <v>24124</v>
      </c>
      <c r="D70" s="95">
        <f t="shared" si="25"/>
        <v>19306.310000000001</v>
      </c>
      <c r="E70" s="96">
        <f t="shared" si="26"/>
        <v>4817.6899999999996</v>
      </c>
      <c r="F70" s="14">
        <f t="shared" si="22"/>
        <v>299029.00999999983</v>
      </c>
      <c r="G70" s="14">
        <f t="shared" si="23"/>
        <v>279722.69999999984</v>
      </c>
    </row>
    <row r="71" spans="1:7" x14ac:dyDescent="0.25">
      <c r="A71" s="109" t="s">
        <v>312</v>
      </c>
      <c r="B71" s="46">
        <f t="shared" ref="B71" si="29">DAYS360(A70,A71,TRUE)</f>
        <v>31</v>
      </c>
      <c r="C71" s="47">
        <f t="shared" si="28"/>
        <v>24124</v>
      </c>
      <c r="D71" s="95">
        <f t="shared" si="25"/>
        <v>19306.55</v>
      </c>
      <c r="E71" s="96">
        <f t="shared" si="26"/>
        <v>4817.45</v>
      </c>
      <c r="F71" s="14">
        <f t="shared" ref="F71" si="30">G70</f>
        <v>279722.69999999984</v>
      </c>
      <c r="G71" s="14">
        <f t="shared" ref="G71" si="31">F71-D71</f>
        <v>260416.14999999985</v>
      </c>
    </row>
    <row r="72" spans="1:7" x14ac:dyDescent="0.25">
      <c r="A72" s="109" t="s">
        <v>314</v>
      </c>
      <c r="B72" s="46">
        <f t="shared" ref="B72:B83" si="32">DAYS360(A71,A72,TRUE)</f>
        <v>30</v>
      </c>
      <c r="C72" s="47">
        <f t="shared" si="28"/>
        <v>24124</v>
      </c>
      <c r="D72" s="95">
        <f t="shared" ref="D72:D83" si="33">C72-E72</f>
        <v>19783.73</v>
      </c>
      <c r="E72" s="96">
        <f t="shared" ref="E72:E82" si="34">ROUND(F72*$J$1*B72/360,2)</f>
        <v>4340.2700000000004</v>
      </c>
      <c r="F72" s="14">
        <f t="shared" ref="F72:F83" si="35">G71</f>
        <v>260416.14999999985</v>
      </c>
      <c r="G72" s="14">
        <f t="shared" ref="G72:G83" si="36">F72-D72</f>
        <v>240632.41999999984</v>
      </c>
    </row>
    <row r="73" spans="1:7" x14ac:dyDescent="0.25">
      <c r="A73" s="109" t="s">
        <v>283</v>
      </c>
      <c r="B73" s="46">
        <f t="shared" si="32"/>
        <v>30</v>
      </c>
      <c r="C73" s="47">
        <f t="shared" si="28"/>
        <v>24124</v>
      </c>
      <c r="D73" s="95">
        <f t="shared" si="33"/>
        <v>20113.46</v>
      </c>
      <c r="E73" s="96">
        <f t="shared" si="34"/>
        <v>4010.54</v>
      </c>
      <c r="F73" s="14">
        <f t="shared" si="35"/>
        <v>240632.41999999984</v>
      </c>
      <c r="G73" s="14">
        <f t="shared" si="36"/>
        <v>220518.95999999985</v>
      </c>
    </row>
    <row r="74" spans="1:7" x14ac:dyDescent="0.25">
      <c r="A74" s="109" t="s">
        <v>315</v>
      </c>
      <c r="B74" s="46">
        <f t="shared" si="32"/>
        <v>30</v>
      </c>
      <c r="C74" s="47">
        <f t="shared" si="28"/>
        <v>24124</v>
      </c>
      <c r="D74" s="95">
        <f t="shared" si="33"/>
        <v>20448.68</v>
      </c>
      <c r="E74" s="96">
        <f t="shared" si="34"/>
        <v>3675.32</v>
      </c>
      <c r="F74" s="14">
        <f t="shared" si="35"/>
        <v>220518.95999999985</v>
      </c>
      <c r="G74" s="14">
        <f t="shared" si="36"/>
        <v>200070.27999999985</v>
      </c>
    </row>
    <row r="75" spans="1:7" x14ac:dyDescent="0.25">
      <c r="A75" s="109" t="s">
        <v>316</v>
      </c>
      <c r="B75" s="46">
        <f t="shared" si="32"/>
        <v>30</v>
      </c>
      <c r="C75" s="47">
        <f t="shared" si="28"/>
        <v>24124</v>
      </c>
      <c r="D75" s="95">
        <f t="shared" si="33"/>
        <v>20789.5</v>
      </c>
      <c r="E75" s="96">
        <f t="shared" si="34"/>
        <v>3334.5</v>
      </c>
      <c r="F75" s="14">
        <f t="shared" si="35"/>
        <v>200070.27999999985</v>
      </c>
      <c r="G75" s="14">
        <f t="shared" si="36"/>
        <v>179280.77999999985</v>
      </c>
    </row>
    <row r="76" spans="1:7" x14ac:dyDescent="0.25">
      <c r="A76" s="109" t="s">
        <v>317</v>
      </c>
      <c r="B76" s="46">
        <f t="shared" si="32"/>
        <v>30</v>
      </c>
      <c r="C76" s="47">
        <f t="shared" si="28"/>
        <v>24124</v>
      </c>
      <c r="D76" s="95">
        <f t="shared" si="33"/>
        <v>21135.989999999998</v>
      </c>
      <c r="E76" s="96">
        <f t="shared" si="34"/>
        <v>2988.01</v>
      </c>
      <c r="F76" s="14">
        <f t="shared" si="35"/>
        <v>179280.77999999985</v>
      </c>
      <c r="G76" s="14">
        <f t="shared" si="36"/>
        <v>158144.78999999986</v>
      </c>
    </row>
    <row r="77" spans="1:7" x14ac:dyDescent="0.25">
      <c r="A77" s="109" t="s">
        <v>318</v>
      </c>
      <c r="B77" s="46">
        <f t="shared" si="32"/>
        <v>30</v>
      </c>
      <c r="C77" s="47">
        <f t="shared" si="28"/>
        <v>24124</v>
      </c>
      <c r="D77" s="95">
        <f t="shared" si="33"/>
        <v>21488.25</v>
      </c>
      <c r="E77" s="96">
        <f t="shared" si="34"/>
        <v>2635.75</v>
      </c>
      <c r="F77" s="14">
        <f t="shared" si="35"/>
        <v>158144.78999999986</v>
      </c>
      <c r="G77" s="14">
        <f t="shared" si="36"/>
        <v>136656.53999999986</v>
      </c>
    </row>
    <row r="78" spans="1:7" x14ac:dyDescent="0.25">
      <c r="A78" s="109" t="s">
        <v>319</v>
      </c>
      <c r="B78" s="46">
        <f t="shared" si="32"/>
        <v>30</v>
      </c>
      <c r="C78" s="47">
        <f t="shared" si="28"/>
        <v>24124</v>
      </c>
      <c r="D78" s="95">
        <f t="shared" si="33"/>
        <v>21846.39</v>
      </c>
      <c r="E78" s="96">
        <f t="shared" si="34"/>
        <v>2277.61</v>
      </c>
      <c r="F78" s="14">
        <f t="shared" si="35"/>
        <v>136656.53999999986</v>
      </c>
      <c r="G78" s="14">
        <f t="shared" si="36"/>
        <v>114810.14999999986</v>
      </c>
    </row>
    <row r="79" spans="1:7" x14ac:dyDescent="0.25">
      <c r="A79" s="109" t="s">
        <v>320</v>
      </c>
      <c r="B79" s="46">
        <f t="shared" si="32"/>
        <v>30</v>
      </c>
      <c r="C79" s="47">
        <f t="shared" si="28"/>
        <v>24124</v>
      </c>
      <c r="D79" s="95">
        <f t="shared" si="33"/>
        <v>22210.5</v>
      </c>
      <c r="E79" s="96">
        <f t="shared" si="34"/>
        <v>1913.5</v>
      </c>
      <c r="F79" s="14">
        <f t="shared" si="35"/>
        <v>114810.14999999986</v>
      </c>
      <c r="G79" s="14">
        <f t="shared" si="36"/>
        <v>92599.649999999863</v>
      </c>
    </row>
    <row r="80" spans="1:7" x14ac:dyDescent="0.25">
      <c r="A80" s="109" t="s">
        <v>321</v>
      </c>
      <c r="B80" s="46">
        <f t="shared" si="32"/>
        <v>30</v>
      </c>
      <c r="C80" s="47">
        <f t="shared" si="28"/>
        <v>24124</v>
      </c>
      <c r="D80" s="95">
        <f t="shared" si="33"/>
        <v>22580.67</v>
      </c>
      <c r="E80" s="96">
        <f t="shared" si="34"/>
        <v>1543.33</v>
      </c>
      <c r="F80" s="14">
        <f t="shared" si="35"/>
        <v>92599.649999999863</v>
      </c>
      <c r="G80" s="14">
        <f t="shared" si="36"/>
        <v>70018.979999999865</v>
      </c>
    </row>
    <row r="81" spans="1:7" x14ac:dyDescent="0.25">
      <c r="A81" s="109" t="s">
        <v>313</v>
      </c>
      <c r="B81" s="46">
        <f t="shared" si="32"/>
        <v>30</v>
      </c>
      <c r="C81" s="47">
        <f t="shared" si="28"/>
        <v>24124</v>
      </c>
      <c r="D81" s="95">
        <f t="shared" si="33"/>
        <v>22957.02</v>
      </c>
      <c r="E81" s="96">
        <f t="shared" si="34"/>
        <v>1166.98</v>
      </c>
      <c r="F81" s="14">
        <f t="shared" si="35"/>
        <v>70018.979999999865</v>
      </c>
      <c r="G81" s="14">
        <f t="shared" si="36"/>
        <v>47061.959999999861</v>
      </c>
    </row>
    <row r="82" spans="1:7" x14ac:dyDescent="0.25">
      <c r="A82" s="109" t="s">
        <v>323</v>
      </c>
      <c r="B82" s="46">
        <f t="shared" si="32"/>
        <v>30</v>
      </c>
      <c r="C82" s="47">
        <f t="shared" si="28"/>
        <v>24124</v>
      </c>
      <c r="D82" s="95">
        <f t="shared" si="33"/>
        <v>23339.63</v>
      </c>
      <c r="E82" s="96">
        <f t="shared" si="34"/>
        <v>784.37</v>
      </c>
      <c r="F82" s="14">
        <f t="shared" si="35"/>
        <v>47061.959999999861</v>
      </c>
      <c r="G82" s="14">
        <f t="shared" si="36"/>
        <v>23722.32999999986</v>
      </c>
    </row>
    <row r="83" spans="1:7" x14ac:dyDescent="0.25">
      <c r="A83" s="109" t="s">
        <v>322</v>
      </c>
      <c r="B83" s="46">
        <f t="shared" si="32"/>
        <v>30</v>
      </c>
      <c r="C83" s="47">
        <f t="shared" si="28"/>
        <v>24124</v>
      </c>
      <c r="D83" s="95">
        <f t="shared" si="33"/>
        <v>23722.32999999986</v>
      </c>
      <c r="E83" s="96">
        <v>401.67000000014116</v>
      </c>
      <c r="F83" s="14">
        <f t="shared" si="35"/>
        <v>23722.32999999986</v>
      </c>
      <c r="G83" s="14">
        <f t="shared" si="36"/>
        <v>0</v>
      </c>
    </row>
  </sheetData>
  <phoneticPr fontId="5" type="noConversion"/>
  <pageMargins left="0.7" right="0.7" top="0.75" bottom="0.75" header="0.3" footer="0.3"/>
  <pageSetup orientation="portrait" r:id="rId1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FDD6E7-395F-44AE-BF60-B3E5E591F9F7}">
  <dimension ref="A1:R2"/>
  <sheetViews>
    <sheetView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6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0</v>
      </c>
      <c r="J2" s="8" t="s">
        <v>42</v>
      </c>
      <c r="K2" s="8" t="s">
        <v>25</v>
      </c>
      <c r="L2" s="8" t="s">
        <v>326</v>
      </c>
      <c r="M2" s="8" t="s">
        <v>27</v>
      </c>
      <c r="N2" s="20" t="s">
        <v>29</v>
      </c>
      <c r="O2" s="20" t="s">
        <v>205</v>
      </c>
      <c r="P2" s="20" t="s">
        <v>45</v>
      </c>
      <c r="Q2" s="20" t="s">
        <v>46</v>
      </c>
      <c r="R2" s="8" t="s">
        <v>324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ECF215-44A1-447C-BD5B-99E22AEDA399}">
  <dimension ref="A1:J62"/>
  <sheetViews>
    <sheetView zoomScaleNormal="100" workbookViewId="0">
      <pane ySplit="3" topLeftCell="A40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5703125" bestFit="1" customWidth="1"/>
    <col min="5" max="5" width="16.5703125" bestFit="1" customWidth="1"/>
    <col min="6" max="6" width="15.28515625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10.5703125" bestFit="1" customWidth="1"/>
  </cols>
  <sheetData>
    <row r="1" spans="1:10" x14ac:dyDescent="0.25">
      <c r="A1" s="17" t="s">
        <v>33</v>
      </c>
      <c r="B1" s="22">
        <v>41855</v>
      </c>
      <c r="C1" s="15" t="s">
        <v>37</v>
      </c>
      <c r="D1" s="37">
        <f>ROUNDUP(23780281.4126192,0)</f>
        <v>23780282</v>
      </c>
      <c r="E1" s="73" t="s">
        <v>147</v>
      </c>
      <c r="F1" s="20" t="s">
        <v>205</v>
      </c>
      <c r="G1" s="73" t="s">
        <v>150</v>
      </c>
      <c r="H1" s="79">
        <f>ROUNDUP(23405718.4380372,0)</f>
        <v>23405719</v>
      </c>
      <c r="I1" s="73" t="s">
        <v>327</v>
      </c>
      <c r="J1" s="34">
        <v>5600000</v>
      </c>
    </row>
    <row r="2" spans="1:10" x14ac:dyDescent="0.25">
      <c r="A2" s="17" t="s">
        <v>34</v>
      </c>
      <c r="B2" s="18">
        <v>0.15</v>
      </c>
    </row>
    <row r="3" spans="1:10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0" x14ac:dyDescent="0.25">
      <c r="A4" s="54">
        <v>41856</v>
      </c>
      <c r="B4" s="71">
        <f>_xlfn.DAYS(A4,B1)</f>
        <v>1</v>
      </c>
      <c r="C4" s="14"/>
      <c r="D4" s="95"/>
      <c r="E4" s="96">
        <f>ROUNDUP(F4*$B$2*B4/365,0)</f>
        <v>406850</v>
      </c>
      <c r="F4" s="14">
        <v>990000000</v>
      </c>
      <c r="G4" s="14">
        <f>F4-D4</f>
        <v>990000000</v>
      </c>
      <c r="H4" s="14">
        <f>F4*$B$2*B4/365</f>
        <v>406849.31506849313</v>
      </c>
      <c r="I4" s="16">
        <f>H4-E4</f>
        <v>-0.68493150686845183</v>
      </c>
    </row>
    <row r="5" spans="1:10" x14ac:dyDescent="0.25">
      <c r="A5" s="54">
        <v>41857</v>
      </c>
      <c r="B5" s="1">
        <f>_xlfn.DAYS(A5,A4)</f>
        <v>1</v>
      </c>
      <c r="C5" s="14">
        <f>$D$1</f>
        <v>23780282</v>
      </c>
      <c r="D5" s="95">
        <f>C5-E5</f>
        <v>23373432.68</v>
      </c>
      <c r="E5" s="96">
        <f>ROUND(F5*$B$2*B5/365,2)</f>
        <v>406849.32</v>
      </c>
      <c r="F5" s="14">
        <f t="shared" ref="F5" si="0">G4</f>
        <v>990000000</v>
      </c>
      <c r="G5" s="14">
        <f>F5-D5</f>
        <v>966626567.32000005</v>
      </c>
      <c r="H5" s="14"/>
      <c r="I5" s="16"/>
    </row>
    <row r="6" spans="1:10" x14ac:dyDescent="0.25">
      <c r="A6" s="54">
        <v>41858</v>
      </c>
      <c r="B6" s="1">
        <f t="shared" ref="B6:B62" si="1">_xlfn.DAYS(A6,A5)</f>
        <v>1</v>
      </c>
      <c r="C6" s="14">
        <f t="shared" ref="C6:C47" si="2">$D$1</f>
        <v>23780282</v>
      </c>
      <c r="D6" s="95">
        <f t="shared" ref="D6:D62" si="3">C6-E6</f>
        <v>23383038.210000001</v>
      </c>
      <c r="E6" s="96">
        <f t="shared" ref="E6:E45" si="4">ROUND(F6*$B$2*B6/365,2)</f>
        <v>397243.79</v>
      </c>
      <c r="F6" s="14">
        <f t="shared" ref="F6:F45" si="5">G5</f>
        <v>966626567.32000005</v>
      </c>
      <c r="G6" s="14">
        <f t="shared" ref="G6:G45" si="6">F6-D6</f>
        <v>943243529.11000001</v>
      </c>
      <c r="H6" s="14">
        <f t="shared" ref="H6:H40" si="7">F6*$B$2*B6/365</f>
        <v>397243.79478904104</v>
      </c>
      <c r="I6" s="16">
        <f t="shared" ref="I6:I40" si="8">H6-E6</f>
        <v>4.7890410642139614E-3</v>
      </c>
    </row>
    <row r="7" spans="1:10" x14ac:dyDescent="0.25">
      <c r="A7" s="54">
        <v>41859</v>
      </c>
      <c r="B7" s="1">
        <f t="shared" si="1"/>
        <v>1</v>
      </c>
      <c r="C7" s="14">
        <f t="shared" si="2"/>
        <v>23780282</v>
      </c>
      <c r="D7" s="95">
        <f t="shared" si="3"/>
        <v>23392647.670000002</v>
      </c>
      <c r="E7" s="96">
        <f t="shared" si="4"/>
        <v>387634.33</v>
      </c>
      <c r="F7" s="14">
        <f t="shared" si="5"/>
        <v>943243529.11000001</v>
      </c>
      <c r="G7" s="14">
        <f t="shared" si="6"/>
        <v>919850881.44000006</v>
      </c>
      <c r="H7" s="14">
        <f t="shared" si="7"/>
        <v>387634.32703150681</v>
      </c>
      <c r="I7" s="16">
        <f t="shared" si="8"/>
        <v>-2.9684932087548077E-3</v>
      </c>
    </row>
    <row r="8" spans="1:10" x14ac:dyDescent="0.25">
      <c r="A8" s="54">
        <v>41860</v>
      </c>
      <c r="B8" s="1">
        <f t="shared" si="1"/>
        <v>1</v>
      </c>
      <c r="C8" s="14">
        <f t="shared" si="2"/>
        <v>23780282</v>
      </c>
      <c r="D8" s="95">
        <f t="shared" si="3"/>
        <v>23402261.09</v>
      </c>
      <c r="E8" s="96">
        <f t="shared" si="4"/>
        <v>378020.91</v>
      </c>
      <c r="F8" s="14">
        <f t="shared" si="5"/>
        <v>919850881.44000006</v>
      </c>
      <c r="G8" s="14">
        <f t="shared" si="6"/>
        <v>896448620.35000002</v>
      </c>
      <c r="H8" s="14">
        <f t="shared" si="7"/>
        <v>378020.9101808219</v>
      </c>
      <c r="I8" s="16">
        <f t="shared" si="8"/>
        <v>1.8082192400470376E-4</v>
      </c>
    </row>
    <row r="9" spans="1:10" x14ac:dyDescent="0.25">
      <c r="A9" s="54">
        <v>41861</v>
      </c>
      <c r="B9" s="1">
        <f t="shared" si="1"/>
        <v>1</v>
      </c>
      <c r="C9" s="14">
        <f t="shared" si="2"/>
        <v>23780282</v>
      </c>
      <c r="D9" s="95">
        <f t="shared" si="3"/>
        <v>23411878.460000001</v>
      </c>
      <c r="E9" s="96">
        <f t="shared" si="4"/>
        <v>368403.54</v>
      </c>
      <c r="F9" s="14">
        <f t="shared" si="5"/>
        <v>896448620.35000002</v>
      </c>
      <c r="G9" s="14">
        <f t="shared" si="6"/>
        <v>873036741.88999999</v>
      </c>
      <c r="H9" s="14">
        <f t="shared" si="7"/>
        <v>368403.54260958906</v>
      </c>
      <c r="I9" s="16">
        <f t="shared" si="8"/>
        <v>2.6095890789292753E-3</v>
      </c>
    </row>
    <row r="10" spans="1:10" x14ac:dyDescent="0.25">
      <c r="A10" s="54">
        <v>41862</v>
      </c>
      <c r="B10" s="1">
        <f t="shared" si="1"/>
        <v>1</v>
      </c>
      <c r="C10" s="14">
        <f t="shared" si="2"/>
        <v>23780282</v>
      </c>
      <c r="D10" s="95">
        <f t="shared" si="3"/>
        <v>23421499.780000001</v>
      </c>
      <c r="E10" s="96">
        <f t="shared" si="4"/>
        <v>358782.22</v>
      </c>
      <c r="F10" s="14">
        <f t="shared" si="5"/>
        <v>873036741.88999999</v>
      </c>
      <c r="G10" s="14">
        <f t="shared" si="6"/>
        <v>849615242.11000001</v>
      </c>
      <c r="H10" s="14">
        <f t="shared" si="7"/>
        <v>358782.22269452049</v>
      </c>
      <c r="I10" s="16">
        <f t="shared" si="8"/>
        <v>2.6945205172523856E-3</v>
      </c>
    </row>
    <row r="11" spans="1:10" x14ac:dyDescent="0.25">
      <c r="A11" s="54">
        <v>41863</v>
      </c>
      <c r="B11" s="1">
        <f t="shared" si="1"/>
        <v>1</v>
      </c>
      <c r="C11" s="14">
        <f t="shared" si="2"/>
        <v>23780282</v>
      </c>
      <c r="D11" s="95">
        <f t="shared" si="3"/>
        <v>23431125.050000001</v>
      </c>
      <c r="E11" s="96">
        <f t="shared" si="4"/>
        <v>349156.95</v>
      </c>
      <c r="F11" s="14">
        <f t="shared" si="5"/>
        <v>849615242.11000001</v>
      </c>
      <c r="G11" s="14">
        <f t="shared" si="6"/>
        <v>826184117.06000006</v>
      </c>
      <c r="H11" s="14">
        <f t="shared" si="7"/>
        <v>349156.94881232874</v>
      </c>
      <c r="I11" s="16">
        <f t="shared" si="8"/>
        <v>-1.1876712669618428E-3</v>
      </c>
    </row>
    <row r="12" spans="1:10" x14ac:dyDescent="0.25">
      <c r="A12" s="54">
        <v>41864</v>
      </c>
      <c r="B12" s="1">
        <f t="shared" si="1"/>
        <v>1</v>
      </c>
      <c r="C12" s="14">
        <f t="shared" si="2"/>
        <v>23780282</v>
      </c>
      <c r="D12" s="95">
        <f t="shared" si="3"/>
        <v>23440754.280000001</v>
      </c>
      <c r="E12" s="96">
        <f t="shared" si="4"/>
        <v>339527.72</v>
      </c>
      <c r="F12" s="14">
        <f t="shared" si="5"/>
        <v>826184117.06000006</v>
      </c>
      <c r="G12" s="14">
        <f t="shared" si="6"/>
        <v>802743362.78000009</v>
      </c>
      <c r="H12" s="14">
        <f t="shared" si="7"/>
        <v>339527.71933972603</v>
      </c>
      <c r="I12" s="16">
        <f t="shared" si="8"/>
        <v>-6.6027394495904446E-4</v>
      </c>
    </row>
    <row r="13" spans="1:10" x14ac:dyDescent="0.25">
      <c r="A13" s="54">
        <v>41865</v>
      </c>
      <c r="B13" s="1">
        <f t="shared" si="1"/>
        <v>1</v>
      </c>
      <c r="C13" s="14">
        <f t="shared" si="2"/>
        <v>23780282</v>
      </c>
      <c r="D13" s="95">
        <f t="shared" si="3"/>
        <v>23450387.469999999</v>
      </c>
      <c r="E13" s="96">
        <f t="shared" si="4"/>
        <v>329894.53000000003</v>
      </c>
      <c r="F13" s="14">
        <f t="shared" si="5"/>
        <v>802743362.78000009</v>
      </c>
      <c r="G13" s="14">
        <f t="shared" si="6"/>
        <v>779292975.31000006</v>
      </c>
      <c r="H13" s="14">
        <f t="shared" si="7"/>
        <v>329894.53264931508</v>
      </c>
      <c r="I13" s="16">
        <f t="shared" si="8"/>
        <v>2.6493150508031249E-3</v>
      </c>
    </row>
    <row r="14" spans="1:10" x14ac:dyDescent="0.25">
      <c r="A14" s="54">
        <v>41866</v>
      </c>
      <c r="B14" s="1">
        <f t="shared" si="1"/>
        <v>1</v>
      </c>
      <c r="C14" s="14">
        <f t="shared" si="2"/>
        <v>23780282</v>
      </c>
      <c r="D14" s="95">
        <f t="shared" si="3"/>
        <v>23460024.609999999</v>
      </c>
      <c r="E14" s="96">
        <f t="shared" si="4"/>
        <v>320257.39</v>
      </c>
      <c r="F14" s="14">
        <f t="shared" si="5"/>
        <v>779292975.31000006</v>
      </c>
      <c r="G14" s="14">
        <f t="shared" si="6"/>
        <v>755832950.70000005</v>
      </c>
      <c r="H14" s="14">
        <f t="shared" si="7"/>
        <v>320257.38711369864</v>
      </c>
      <c r="I14" s="16">
        <f t="shared" si="8"/>
        <v>-2.8863013722002506E-3</v>
      </c>
    </row>
    <row r="15" spans="1:10" x14ac:dyDescent="0.25">
      <c r="A15" s="54">
        <v>41867</v>
      </c>
      <c r="B15" s="1">
        <f t="shared" si="1"/>
        <v>1</v>
      </c>
      <c r="C15" s="14">
        <f t="shared" si="2"/>
        <v>23780282</v>
      </c>
      <c r="D15" s="95">
        <f t="shared" si="3"/>
        <v>23469665.719999999</v>
      </c>
      <c r="E15" s="96">
        <f t="shared" si="4"/>
        <v>310616.28000000003</v>
      </c>
      <c r="F15" s="14">
        <f t="shared" si="5"/>
        <v>755832950.70000005</v>
      </c>
      <c r="G15" s="14">
        <f t="shared" si="6"/>
        <v>732363284.98000002</v>
      </c>
      <c r="H15" s="14">
        <f t="shared" si="7"/>
        <v>310616.28110958904</v>
      </c>
      <c r="I15" s="16">
        <f t="shared" si="8"/>
        <v>1.1095890076830983E-3</v>
      </c>
    </row>
    <row r="16" spans="1:10" x14ac:dyDescent="0.25">
      <c r="A16" s="54">
        <v>41868</v>
      </c>
      <c r="B16" s="1">
        <f t="shared" si="1"/>
        <v>1</v>
      </c>
      <c r="C16" s="14">
        <f t="shared" si="2"/>
        <v>23780282</v>
      </c>
      <c r="D16" s="95">
        <f t="shared" si="3"/>
        <v>23479310.789999999</v>
      </c>
      <c r="E16" s="96">
        <f t="shared" si="4"/>
        <v>300971.21000000002</v>
      </c>
      <c r="F16" s="14">
        <f t="shared" si="5"/>
        <v>732363284.98000002</v>
      </c>
      <c r="G16" s="14">
        <f t="shared" si="6"/>
        <v>708883974.19000006</v>
      </c>
      <c r="H16" s="14">
        <f t="shared" si="7"/>
        <v>300971.21300547943</v>
      </c>
      <c r="I16" s="16">
        <f t="shared" si="8"/>
        <v>3.0054794042371213E-3</v>
      </c>
    </row>
    <row r="17" spans="1:9" x14ac:dyDescent="0.25">
      <c r="A17" s="54">
        <v>41869</v>
      </c>
      <c r="B17" s="1">
        <f t="shared" si="1"/>
        <v>1</v>
      </c>
      <c r="C17" s="14">
        <f t="shared" si="2"/>
        <v>23780282</v>
      </c>
      <c r="D17" s="95">
        <f t="shared" si="3"/>
        <v>23488959.82</v>
      </c>
      <c r="E17" s="96">
        <f t="shared" si="4"/>
        <v>291322.18</v>
      </c>
      <c r="F17" s="14">
        <f t="shared" si="5"/>
        <v>708883974.19000006</v>
      </c>
      <c r="G17" s="14">
        <f t="shared" si="6"/>
        <v>685395014.37</v>
      </c>
      <c r="H17" s="14">
        <f t="shared" si="7"/>
        <v>291322.18117397261</v>
      </c>
      <c r="I17" s="16">
        <f t="shared" si="8"/>
        <v>1.1739726178348064E-3</v>
      </c>
    </row>
    <row r="18" spans="1:9" x14ac:dyDescent="0.25">
      <c r="A18" s="54">
        <v>41870</v>
      </c>
      <c r="B18" s="1">
        <f t="shared" si="1"/>
        <v>1</v>
      </c>
      <c r="C18" s="14">
        <f t="shared" si="2"/>
        <v>23780282</v>
      </c>
      <c r="D18" s="95">
        <f t="shared" si="3"/>
        <v>23498612.82</v>
      </c>
      <c r="E18" s="96">
        <f t="shared" si="4"/>
        <v>281669.18</v>
      </c>
      <c r="F18" s="14">
        <f t="shared" si="5"/>
        <v>685395014.37</v>
      </c>
      <c r="G18" s="14">
        <f t="shared" si="6"/>
        <v>661896401.54999995</v>
      </c>
      <c r="H18" s="14">
        <f t="shared" si="7"/>
        <v>281669.18398767122</v>
      </c>
      <c r="I18" s="16">
        <f t="shared" si="8"/>
        <v>3.9876712253317237E-3</v>
      </c>
    </row>
    <row r="19" spans="1:9" x14ac:dyDescent="0.25">
      <c r="A19" s="54">
        <v>41871</v>
      </c>
      <c r="B19" s="1">
        <f t="shared" si="1"/>
        <v>1</v>
      </c>
      <c r="C19" s="14">
        <f t="shared" si="2"/>
        <v>23780282</v>
      </c>
      <c r="D19" s="95">
        <f t="shared" si="3"/>
        <v>23508269.780000001</v>
      </c>
      <c r="E19" s="96">
        <f t="shared" si="4"/>
        <v>272012.21999999997</v>
      </c>
      <c r="F19" s="14">
        <f t="shared" si="5"/>
        <v>661896401.54999995</v>
      </c>
      <c r="G19" s="14">
        <f t="shared" si="6"/>
        <v>638388131.76999998</v>
      </c>
      <c r="H19" s="14">
        <f t="shared" si="7"/>
        <v>272012.21981506847</v>
      </c>
      <c r="I19" s="16">
        <f t="shared" si="8"/>
        <v>-1.8493150128051639E-4</v>
      </c>
    </row>
    <row r="20" spans="1:9" x14ac:dyDescent="0.25">
      <c r="A20" s="54">
        <v>41872</v>
      </c>
      <c r="B20" s="1">
        <f t="shared" si="1"/>
        <v>1</v>
      </c>
      <c r="C20" s="14">
        <f t="shared" si="2"/>
        <v>23780282</v>
      </c>
      <c r="D20" s="95">
        <f t="shared" si="3"/>
        <v>23517930.710000001</v>
      </c>
      <c r="E20" s="96">
        <f t="shared" si="4"/>
        <v>262351.28999999998</v>
      </c>
      <c r="F20" s="14">
        <f t="shared" si="5"/>
        <v>638388131.76999998</v>
      </c>
      <c r="G20" s="14">
        <f t="shared" si="6"/>
        <v>614870201.05999994</v>
      </c>
      <c r="H20" s="14">
        <f t="shared" si="7"/>
        <v>262351.28702876711</v>
      </c>
      <c r="I20" s="16">
        <f t="shared" si="8"/>
        <v>-2.9712328687310219E-3</v>
      </c>
    </row>
    <row r="21" spans="1:9" x14ac:dyDescent="0.25">
      <c r="A21" s="54">
        <v>41873</v>
      </c>
      <c r="B21" s="1">
        <f t="shared" si="1"/>
        <v>1</v>
      </c>
      <c r="C21" s="14">
        <f t="shared" si="2"/>
        <v>23780282</v>
      </c>
      <c r="D21" s="95">
        <f t="shared" si="3"/>
        <v>23527595.620000001</v>
      </c>
      <c r="E21" s="96">
        <f t="shared" si="4"/>
        <v>252686.38</v>
      </c>
      <c r="F21" s="14">
        <f t="shared" si="5"/>
        <v>614870201.05999994</v>
      </c>
      <c r="G21" s="14">
        <f t="shared" si="6"/>
        <v>591342605.43999994</v>
      </c>
      <c r="H21" s="14">
        <f t="shared" si="7"/>
        <v>252686.38399726027</v>
      </c>
      <c r="I21" s="16">
        <f t="shared" si="8"/>
        <v>3.9972602680791169E-3</v>
      </c>
    </row>
    <row r="22" spans="1:9" x14ac:dyDescent="0.25">
      <c r="A22" s="54">
        <v>41874</v>
      </c>
      <c r="B22" s="1">
        <f t="shared" si="1"/>
        <v>1</v>
      </c>
      <c r="C22" s="14">
        <f t="shared" si="2"/>
        <v>23780282</v>
      </c>
      <c r="D22" s="95">
        <f t="shared" si="3"/>
        <v>23537264.489999998</v>
      </c>
      <c r="E22" s="96">
        <f t="shared" si="4"/>
        <v>243017.51</v>
      </c>
      <c r="F22" s="14">
        <f t="shared" si="5"/>
        <v>591342605.43999994</v>
      </c>
      <c r="G22" s="14">
        <f t="shared" si="6"/>
        <v>567805340.94999993</v>
      </c>
      <c r="H22" s="14">
        <f t="shared" si="7"/>
        <v>243017.50908493146</v>
      </c>
      <c r="I22" s="16">
        <f t="shared" si="8"/>
        <v>-9.1506855096668005E-4</v>
      </c>
    </row>
    <row r="23" spans="1:9" x14ac:dyDescent="0.25">
      <c r="A23" s="54">
        <v>41875</v>
      </c>
      <c r="B23" s="1">
        <f t="shared" si="1"/>
        <v>1</v>
      </c>
      <c r="C23" s="14">
        <f t="shared" si="2"/>
        <v>23780282</v>
      </c>
      <c r="D23" s="95">
        <f t="shared" si="3"/>
        <v>23546937.34</v>
      </c>
      <c r="E23" s="96">
        <f t="shared" si="4"/>
        <v>233344.66</v>
      </c>
      <c r="F23" s="14">
        <f t="shared" si="5"/>
        <v>567805340.94999993</v>
      </c>
      <c r="G23" s="14">
        <f t="shared" si="6"/>
        <v>544258403.6099999</v>
      </c>
      <c r="H23" s="14">
        <f t="shared" si="7"/>
        <v>233344.66066438353</v>
      </c>
      <c r="I23" s="16">
        <f t="shared" si="8"/>
        <v>6.6438352223485708E-4</v>
      </c>
    </row>
    <row r="24" spans="1:9" x14ac:dyDescent="0.25">
      <c r="A24" s="54">
        <v>41876</v>
      </c>
      <c r="B24" s="1">
        <f t="shared" si="1"/>
        <v>1</v>
      </c>
      <c r="C24" s="14">
        <f t="shared" si="2"/>
        <v>23780282</v>
      </c>
      <c r="D24" s="95">
        <f t="shared" si="3"/>
        <v>23556614.16</v>
      </c>
      <c r="E24" s="96">
        <f t="shared" si="4"/>
        <v>223667.84</v>
      </c>
      <c r="F24" s="14">
        <f t="shared" si="5"/>
        <v>544258403.6099999</v>
      </c>
      <c r="G24" s="14">
        <f t="shared" si="6"/>
        <v>520701789.44999987</v>
      </c>
      <c r="H24" s="14">
        <f t="shared" si="7"/>
        <v>223667.83709999998</v>
      </c>
      <c r="I24" s="16">
        <f t="shared" si="8"/>
        <v>-2.900000021327287E-3</v>
      </c>
    </row>
    <row r="25" spans="1:9" x14ac:dyDescent="0.25">
      <c r="A25" s="54">
        <v>41877</v>
      </c>
      <c r="B25" s="1">
        <f t="shared" si="1"/>
        <v>1</v>
      </c>
      <c r="C25" s="14">
        <f t="shared" si="2"/>
        <v>23780282</v>
      </c>
      <c r="D25" s="95">
        <f t="shared" si="3"/>
        <v>23566294.960000001</v>
      </c>
      <c r="E25" s="96">
        <f t="shared" si="4"/>
        <v>213987.04</v>
      </c>
      <c r="F25" s="14">
        <f t="shared" si="5"/>
        <v>520701789.44999987</v>
      </c>
      <c r="G25" s="14">
        <f t="shared" si="6"/>
        <v>497135494.48999989</v>
      </c>
      <c r="H25" s="14">
        <f t="shared" si="7"/>
        <v>213987.03676027391</v>
      </c>
      <c r="I25" s="16">
        <f t="shared" si="8"/>
        <v>-3.2397260947618634E-3</v>
      </c>
    </row>
    <row r="26" spans="1:9" x14ac:dyDescent="0.25">
      <c r="A26" s="54">
        <v>41878</v>
      </c>
      <c r="B26" s="1">
        <f t="shared" si="1"/>
        <v>1</v>
      </c>
      <c r="C26" s="14">
        <f t="shared" si="2"/>
        <v>23780282</v>
      </c>
      <c r="D26" s="95">
        <f t="shared" si="3"/>
        <v>23575979.739999998</v>
      </c>
      <c r="E26" s="96">
        <f t="shared" si="4"/>
        <v>204302.26</v>
      </c>
      <c r="F26" s="14">
        <f t="shared" si="5"/>
        <v>497135494.48999989</v>
      </c>
      <c r="G26" s="14">
        <f t="shared" si="6"/>
        <v>473559514.74999988</v>
      </c>
      <c r="H26" s="14">
        <f t="shared" si="7"/>
        <v>204302.25800958902</v>
      </c>
      <c r="I26" s="16">
        <f t="shared" si="8"/>
        <v>-1.9904109940398484E-3</v>
      </c>
    </row>
    <row r="27" spans="1:9" x14ac:dyDescent="0.25">
      <c r="A27" s="54">
        <v>41879</v>
      </c>
      <c r="B27" s="1">
        <f t="shared" si="1"/>
        <v>1</v>
      </c>
      <c r="C27" s="14">
        <f t="shared" si="2"/>
        <v>23780282</v>
      </c>
      <c r="D27" s="95">
        <f t="shared" si="3"/>
        <v>23585668.5</v>
      </c>
      <c r="E27" s="96">
        <f t="shared" si="4"/>
        <v>194613.5</v>
      </c>
      <c r="F27" s="14">
        <f t="shared" si="5"/>
        <v>473559514.74999988</v>
      </c>
      <c r="G27" s="14">
        <f t="shared" si="6"/>
        <v>449973846.24999988</v>
      </c>
      <c r="H27" s="14">
        <f t="shared" si="7"/>
        <v>194613.49921232869</v>
      </c>
      <c r="I27" s="16">
        <f t="shared" si="8"/>
        <v>-7.8767130617052317E-4</v>
      </c>
    </row>
    <row r="28" spans="1:9" x14ac:dyDescent="0.25">
      <c r="A28" s="54">
        <v>41880</v>
      </c>
      <c r="B28" s="1">
        <f t="shared" si="1"/>
        <v>1</v>
      </c>
      <c r="C28" s="14">
        <f t="shared" si="2"/>
        <v>23780282</v>
      </c>
      <c r="D28" s="95">
        <f t="shared" si="3"/>
        <v>23595361.239999998</v>
      </c>
      <c r="E28" s="96">
        <f t="shared" si="4"/>
        <v>184920.76</v>
      </c>
      <c r="F28" s="14">
        <f t="shared" si="5"/>
        <v>449973846.24999988</v>
      </c>
      <c r="G28" s="14">
        <f t="shared" si="6"/>
        <v>426378485.00999987</v>
      </c>
      <c r="H28" s="14">
        <f t="shared" si="7"/>
        <v>184920.75873287668</v>
      </c>
      <c r="I28" s="16">
        <f t="shared" si="8"/>
        <v>-1.2671233271248639E-3</v>
      </c>
    </row>
    <row r="29" spans="1:9" x14ac:dyDescent="0.25">
      <c r="A29" s="54">
        <v>41881</v>
      </c>
      <c r="B29" s="1">
        <f t="shared" si="1"/>
        <v>1</v>
      </c>
      <c r="C29" s="14">
        <f t="shared" si="2"/>
        <v>23780282</v>
      </c>
      <c r="D29" s="95">
        <f t="shared" si="3"/>
        <v>23605057.969999999</v>
      </c>
      <c r="E29" s="96">
        <f t="shared" si="4"/>
        <v>175224.03</v>
      </c>
      <c r="F29" s="14">
        <f t="shared" si="5"/>
        <v>426378485.00999987</v>
      </c>
      <c r="G29" s="14">
        <f t="shared" si="6"/>
        <v>402773427.03999984</v>
      </c>
      <c r="H29" s="14">
        <f t="shared" si="7"/>
        <v>175224.03493561639</v>
      </c>
      <c r="I29" s="16">
        <f t="shared" si="8"/>
        <v>4.9356163945049047E-3</v>
      </c>
    </row>
    <row r="30" spans="1:9" x14ac:dyDescent="0.25">
      <c r="A30" s="54">
        <v>41882</v>
      </c>
      <c r="B30" s="1">
        <f t="shared" si="1"/>
        <v>1</v>
      </c>
      <c r="C30" s="14">
        <f t="shared" si="2"/>
        <v>23780282</v>
      </c>
      <c r="D30" s="95">
        <f t="shared" si="3"/>
        <v>23614758.670000002</v>
      </c>
      <c r="E30" s="96">
        <f t="shared" si="4"/>
        <v>165523.32999999999</v>
      </c>
      <c r="F30" s="14">
        <f t="shared" si="5"/>
        <v>402773427.03999984</v>
      </c>
      <c r="G30" s="14">
        <f t="shared" si="6"/>
        <v>379158668.36999983</v>
      </c>
      <c r="H30" s="14">
        <f t="shared" si="7"/>
        <v>165523.32618082184</v>
      </c>
      <c r="I30" s="16">
        <f t="shared" si="8"/>
        <v>-3.8191781495697796E-3</v>
      </c>
    </row>
    <row r="31" spans="1:9" x14ac:dyDescent="0.25">
      <c r="A31" s="54">
        <v>41883</v>
      </c>
      <c r="B31" s="1">
        <f t="shared" si="1"/>
        <v>1</v>
      </c>
      <c r="C31" s="14">
        <f t="shared" si="2"/>
        <v>23780282</v>
      </c>
      <c r="D31" s="95">
        <f t="shared" si="3"/>
        <v>23624463.370000001</v>
      </c>
      <c r="E31" s="96">
        <f t="shared" si="4"/>
        <v>155818.63</v>
      </c>
      <c r="F31" s="14">
        <f t="shared" si="5"/>
        <v>379158668.36999983</v>
      </c>
      <c r="G31" s="14">
        <f t="shared" si="6"/>
        <v>355534204.99999982</v>
      </c>
      <c r="H31" s="14">
        <f t="shared" si="7"/>
        <v>155818.63083698624</v>
      </c>
      <c r="I31" s="16">
        <f t="shared" si="8"/>
        <v>8.3698623348027468E-4</v>
      </c>
    </row>
    <row r="32" spans="1:9" x14ac:dyDescent="0.25">
      <c r="A32" s="54">
        <v>41884</v>
      </c>
      <c r="B32" s="1">
        <f t="shared" si="1"/>
        <v>1</v>
      </c>
      <c r="C32" s="14">
        <f t="shared" si="2"/>
        <v>23780282</v>
      </c>
      <c r="D32" s="95">
        <f t="shared" si="3"/>
        <v>23634172.050000001</v>
      </c>
      <c r="E32" s="96">
        <f t="shared" si="4"/>
        <v>146109.95000000001</v>
      </c>
      <c r="F32" s="14">
        <f t="shared" si="5"/>
        <v>355534204.99999982</v>
      </c>
      <c r="G32" s="14">
        <f t="shared" si="6"/>
        <v>331900032.94999981</v>
      </c>
      <c r="H32" s="14">
        <f t="shared" si="7"/>
        <v>146109.94726027388</v>
      </c>
      <c r="I32" s="16">
        <f t="shared" si="8"/>
        <v>-2.7397261292207986E-3</v>
      </c>
    </row>
    <row r="33" spans="1:9" x14ac:dyDescent="0.25">
      <c r="A33" s="54">
        <v>41885</v>
      </c>
      <c r="B33" s="1">
        <f t="shared" si="1"/>
        <v>1</v>
      </c>
      <c r="C33" s="14">
        <f t="shared" si="2"/>
        <v>23780282</v>
      </c>
      <c r="D33" s="95">
        <f t="shared" si="3"/>
        <v>23643884.73</v>
      </c>
      <c r="E33" s="96">
        <f t="shared" si="4"/>
        <v>136397.26999999999</v>
      </c>
      <c r="F33" s="14">
        <f t="shared" si="5"/>
        <v>331900032.94999981</v>
      </c>
      <c r="G33" s="14">
        <f t="shared" si="6"/>
        <v>308256148.21999979</v>
      </c>
      <c r="H33" s="14">
        <f t="shared" si="7"/>
        <v>136397.27381506842</v>
      </c>
      <c r="I33" s="16">
        <f t="shared" si="8"/>
        <v>3.8150684267748147E-3</v>
      </c>
    </row>
    <row r="34" spans="1:9" x14ac:dyDescent="0.25">
      <c r="A34" s="54">
        <v>41886</v>
      </c>
      <c r="B34" s="1">
        <f t="shared" si="1"/>
        <v>1</v>
      </c>
      <c r="C34" s="14">
        <f t="shared" si="2"/>
        <v>23780282</v>
      </c>
      <c r="D34" s="95">
        <f t="shared" si="3"/>
        <v>23653601.390000001</v>
      </c>
      <c r="E34" s="96">
        <f t="shared" si="4"/>
        <v>126680.61</v>
      </c>
      <c r="F34" s="14">
        <f t="shared" si="5"/>
        <v>308256148.21999979</v>
      </c>
      <c r="G34" s="14">
        <f t="shared" si="6"/>
        <v>284602546.8299998</v>
      </c>
      <c r="H34" s="14">
        <f t="shared" si="7"/>
        <v>126680.60885753416</v>
      </c>
      <c r="I34" s="16">
        <f t="shared" si="8"/>
        <v>-1.1424658441683277E-3</v>
      </c>
    </row>
    <row r="35" spans="1:9" x14ac:dyDescent="0.25">
      <c r="A35" s="54">
        <v>41887</v>
      </c>
      <c r="B35" s="1">
        <f t="shared" si="1"/>
        <v>1</v>
      </c>
      <c r="C35" s="14">
        <f t="shared" si="2"/>
        <v>23780282</v>
      </c>
      <c r="D35" s="95">
        <f t="shared" si="3"/>
        <v>23663322.050000001</v>
      </c>
      <c r="E35" s="96">
        <f t="shared" si="4"/>
        <v>116959.95</v>
      </c>
      <c r="F35" s="14">
        <f t="shared" si="5"/>
        <v>284602546.8299998</v>
      </c>
      <c r="G35" s="14">
        <f t="shared" si="6"/>
        <v>260939224.77999979</v>
      </c>
      <c r="H35" s="14">
        <f t="shared" si="7"/>
        <v>116959.9507520547</v>
      </c>
      <c r="I35" s="16">
        <f t="shared" si="8"/>
        <v>7.5205470784567297E-4</v>
      </c>
    </row>
    <row r="36" spans="1:9" x14ac:dyDescent="0.25">
      <c r="A36" s="54">
        <v>41888</v>
      </c>
      <c r="B36" s="1">
        <f t="shared" si="1"/>
        <v>1</v>
      </c>
      <c r="C36" s="14">
        <f t="shared" si="2"/>
        <v>23780282</v>
      </c>
      <c r="D36" s="95">
        <f t="shared" si="3"/>
        <v>23673046.699999999</v>
      </c>
      <c r="E36" s="96">
        <f t="shared" si="4"/>
        <v>107235.3</v>
      </c>
      <c r="F36" s="14">
        <f t="shared" si="5"/>
        <v>260939224.77999979</v>
      </c>
      <c r="G36" s="14">
        <f t="shared" si="6"/>
        <v>237266178.0799998</v>
      </c>
      <c r="H36" s="14">
        <f t="shared" si="7"/>
        <v>107235.29785479444</v>
      </c>
      <c r="I36" s="16">
        <f t="shared" si="8"/>
        <v>-2.1452055661939085E-3</v>
      </c>
    </row>
    <row r="37" spans="1:9" x14ac:dyDescent="0.25">
      <c r="A37" s="54">
        <v>41889</v>
      </c>
      <c r="B37" s="1">
        <f t="shared" si="1"/>
        <v>1</v>
      </c>
      <c r="C37" s="14">
        <f t="shared" si="2"/>
        <v>23780282</v>
      </c>
      <c r="D37" s="95">
        <f t="shared" si="3"/>
        <v>23682775.350000001</v>
      </c>
      <c r="E37" s="96">
        <f t="shared" si="4"/>
        <v>97506.65</v>
      </c>
      <c r="F37" s="14">
        <f t="shared" si="5"/>
        <v>237266178.0799998</v>
      </c>
      <c r="G37" s="14">
        <f t="shared" si="6"/>
        <v>213583402.72999981</v>
      </c>
      <c r="H37" s="14">
        <f t="shared" si="7"/>
        <v>97506.648526027304</v>
      </c>
      <c r="I37" s="16">
        <f t="shared" si="8"/>
        <v>-1.4739726902917027E-3</v>
      </c>
    </row>
    <row r="38" spans="1:9" x14ac:dyDescent="0.25">
      <c r="A38" s="54">
        <v>41890</v>
      </c>
      <c r="B38" s="1">
        <f t="shared" si="1"/>
        <v>1</v>
      </c>
      <c r="C38" s="14">
        <f t="shared" si="2"/>
        <v>23780282</v>
      </c>
      <c r="D38" s="95">
        <f t="shared" si="3"/>
        <v>23692508</v>
      </c>
      <c r="E38" s="96">
        <f t="shared" si="4"/>
        <v>87774</v>
      </c>
      <c r="F38" s="14">
        <f t="shared" si="5"/>
        <v>213583402.72999981</v>
      </c>
      <c r="G38" s="14">
        <f t="shared" si="6"/>
        <v>189890894.72999981</v>
      </c>
      <c r="H38" s="14">
        <f t="shared" si="7"/>
        <v>87774.001121917725</v>
      </c>
      <c r="I38" s="16">
        <f t="shared" si="8"/>
        <v>1.121917724958621E-3</v>
      </c>
    </row>
    <row r="39" spans="1:9" x14ac:dyDescent="0.25">
      <c r="A39" s="54">
        <v>41891</v>
      </c>
      <c r="B39" s="1">
        <f t="shared" si="1"/>
        <v>1</v>
      </c>
      <c r="C39" s="14">
        <f t="shared" si="2"/>
        <v>23780282</v>
      </c>
      <c r="D39" s="95">
        <f t="shared" si="3"/>
        <v>23702244.649999999</v>
      </c>
      <c r="E39" s="96">
        <f t="shared" si="4"/>
        <v>78037.350000000006</v>
      </c>
      <c r="F39" s="14">
        <f t="shared" si="5"/>
        <v>189890894.72999981</v>
      </c>
      <c r="G39" s="14">
        <f t="shared" si="6"/>
        <v>166188650.0799998</v>
      </c>
      <c r="H39" s="14">
        <f t="shared" si="7"/>
        <v>78037.35399863006</v>
      </c>
      <c r="I39" s="16">
        <f t="shared" si="8"/>
        <v>3.9986300544114783E-3</v>
      </c>
    </row>
    <row r="40" spans="1:9" x14ac:dyDescent="0.25">
      <c r="A40" s="54">
        <v>41892</v>
      </c>
      <c r="B40" s="1">
        <f t="shared" si="1"/>
        <v>1</v>
      </c>
      <c r="C40" s="14">
        <f t="shared" si="2"/>
        <v>23780282</v>
      </c>
      <c r="D40" s="95">
        <f t="shared" si="3"/>
        <v>23711985.289999999</v>
      </c>
      <c r="E40" s="96">
        <f t="shared" si="4"/>
        <v>68296.710000000006</v>
      </c>
      <c r="F40" s="14">
        <f t="shared" si="5"/>
        <v>166188650.0799998</v>
      </c>
      <c r="G40" s="14">
        <f t="shared" si="6"/>
        <v>142476664.78999981</v>
      </c>
      <c r="H40" s="99">
        <f t="shared" si="7"/>
        <v>68296.705512328685</v>
      </c>
      <c r="I40" s="112">
        <f t="shared" si="8"/>
        <v>-4.4876713218400255E-3</v>
      </c>
    </row>
    <row r="41" spans="1:9" x14ac:dyDescent="0.25">
      <c r="A41" s="54">
        <v>41893</v>
      </c>
      <c r="B41" s="1">
        <f t="shared" si="1"/>
        <v>1</v>
      </c>
      <c r="C41" s="14">
        <f t="shared" si="2"/>
        <v>23780282</v>
      </c>
      <c r="D41" s="95">
        <f t="shared" si="3"/>
        <v>23721729.949999999</v>
      </c>
      <c r="E41" s="96">
        <f t="shared" si="4"/>
        <v>58552.05</v>
      </c>
      <c r="F41" s="14">
        <f t="shared" si="5"/>
        <v>142476664.78999981</v>
      </c>
      <c r="G41" s="14">
        <f t="shared" si="6"/>
        <v>118754934.83999981</v>
      </c>
      <c r="H41" s="14"/>
      <c r="I41" s="16"/>
    </row>
    <row r="42" spans="1:9" x14ac:dyDescent="0.25">
      <c r="A42" s="54">
        <v>41894</v>
      </c>
      <c r="B42" s="1">
        <f t="shared" si="1"/>
        <v>1</v>
      </c>
      <c r="C42" s="14">
        <f t="shared" si="2"/>
        <v>23780282</v>
      </c>
      <c r="D42" s="95">
        <f t="shared" si="3"/>
        <v>23731478.600000001</v>
      </c>
      <c r="E42" s="96">
        <f t="shared" si="4"/>
        <v>48803.4</v>
      </c>
      <c r="F42" s="14">
        <f t="shared" si="5"/>
        <v>118754934.83999981</v>
      </c>
      <c r="G42" s="14">
        <f t="shared" si="6"/>
        <v>95023456.239999801</v>
      </c>
      <c r="H42" s="14"/>
      <c r="I42" s="16"/>
    </row>
    <row r="43" spans="1:9" x14ac:dyDescent="0.25">
      <c r="A43" s="54">
        <v>41895</v>
      </c>
      <c r="B43" s="1">
        <f t="shared" si="1"/>
        <v>1</v>
      </c>
      <c r="C43" s="14">
        <f t="shared" si="2"/>
        <v>23780282</v>
      </c>
      <c r="D43" s="95">
        <f t="shared" si="3"/>
        <v>23741231.260000002</v>
      </c>
      <c r="E43" s="96">
        <f t="shared" si="4"/>
        <v>39050.74</v>
      </c>
      <c r="F43" s="14">
        <f t="shared" si="5"/>
        <v>95023456.239999801</v>
      </c>
      <c r="G43" s="14">
        <f t="shared" si="6"/>
        <v>71282224.979999796</v>
      </c>
      <c r="H43" s="14"/>
      <c r="I43" s="16"/>
    </row>
    <row r="44" spans="1:9" x14ac:dyDescent="0.25">
      <c r="A44" s="54">
        <v>41896</v>
      </c>
      <c r="B44" s="1">
        <f t="shared" si="1"/>
        <v>1</v>
      </c>
      <c r="C44" s="14">
        <f t="shared" si="2"/>
        <v>23780282</v>
      </c>
      <c r="D44" s="95">
        <f t="shared" si="3"/>
        <v>23750987.93</v>
      </c>
      <c r="E44" s="96">
        <f t="shared" si="4"/>
        <v>29294.07</v>
      </c>
      <c r="F44" s="14">
        <f t="shared" si="5"/>
        <v>71282224.979999796</v>
      </c>
      <c r="G44" s="14">
        <f t="shared" si="6"/>
        <v>47531237.049999796</v>
      </c>
      <c r="H44" s="14"/>
      <c r="I44" s="16"/>
    </row>
    <row r="45" spans="1:9" x14ac:dyDescent="0.25">
      <c r="A45" s="54">
        <v>41897</v>
      </c>
      <c r="B45" s="1">
        <f t="shared" si="1"/>
        <v>1</v>
      </c>
      <c r="C45" s="14">
        <f t="shared" si="2"/>
        <v>23780282</v>
      </c>
      <c r="D45" s="95">
        <f t="shared" si="3"/>
        <v>23760748.609999999</v>
      </c>
      <c r="E45" s="96">
        <f t="shared" si="4"/>
        <v>19533.39</v>
      </c>
      <c r="F45" s="14">
        <f t="shared" si="5"/>
        <v>47531237.049999796</v>
      </c>
      <c r="G45" s="14">
        <f t="shared" si="6"/>
        <v>23770488.439999796</v>
      </c>
      <c r="H45" s="14"/>
      <c r="I45" s="16"/>
    </row>
    <row r="46" spans="1:9" x14ac:dyDescent="0.25">
      <c r="A46" s="54">
        <v>41898</v>
      </c>
      <c r="B46" s="1">
        <f t="shared" si="1"/>
        <v>1</v>
      </c>
      <c r="C46" s="14">
        <f t="shared" si="2"/>
        <v>23780282</v>
      </c>
      <c r="D46" s="95">
        <f t="shared" si="3"/>
        <v>23770488.440000001</v>
      </c>
      <c r="E46" s="96">
        <v>9793.56</v>
      </c>
      <c r="F46" s="14">
        <f t="shared" ref="F46" si="9">G45</f>
        <v>23770488.439999796</v>
      </c>
      <c r="G46" s="14">
        <f t="shared" ref="G46" si="10">F46-D46</f>
        <v>-2.0489096641540527E-7</v>
      </c>
      <c r="H46" s="114"/>
      <c r="I46" s="115"/>
    </row>
    <row r="47" spans="1:9" x14ac:dyDescent="0.25">
      <c r="A47" s="70">
        <v>41883</v>
      </c>
      <c r="B47" s="98">
        <f>_xlfn.DAYS(A31,A30)</f>
        <v>1</v>
      </c>
      <c r="C47" s="99">
        <f t="shared" si="2"/>
        <v>23780282</v>
      </c>
      <c r="D47" s="100">
        <f>C31-E31</f>
        <v>23624463.370000001</v>
      </c>
      <c r="E47" s="101">
        <f>ROUND(F31*$B$2*B31/365,2)</f>
        <v>155818.63</v>
      </c>
      <c r="F47" s="99">
        <f>G30</f>
        <v>379158668.36999983</v>
      </c>
      <c r="G47" s="99">
        <f t="shared" ref="G47:G61" si="11">F47-D47</f>
        <v>355534204.99999982</v>
      </c>
    </row>
    <row r="48" spans="1:9" x14ac:dyDescent="0.25">
      <c r="A48" s="54">
        <v>41884</v>
      </c>
      <c r="B48" s="1">
        <f t="shared" si="1"/>
        <v>1</v>
      </c>
      <c r="C48" s="14">
        <f>$H$1</f>
        <v>23405719</v>
      </c>
      <c r="D48" s="95">
        <f t="shared" si="3"/>
        <v>23261910.420000002</v>
      </c>
      <c r="E48" s="96">
        <f t="shared" ref="E48:E61" si="12">ROUND(F48*$B$2*B48/365,2)</f>
        <v>143808.57999999999</v>
      </c>
      <c r="F48" s="14">
        <f>G47-J1</f>
        <v>349934204.99999982</v>
      </c>
      <c r="G48" s="14">
        <f t="shared" si="11"/>
        <v>326672294.5799998</v>
      </c>
    </row>
    <row r="49" spans="1:7" x14ac:dyDescent="0.25">
      <c r="A49" s="54">
        <v>41885</v>
      </c>
      <c r="B49" s="1">
        <f t="shared" si="1"/>
        <v>1</v>
      </c>
      <c r="C49" s="14">
        <f t="shared" ref="C49:C62" si="13">$H$1</f>
        <v>23405719</v>
      </c>
      <c r="D49" s="95">
        <f t="shared" si="3"/>
        <v>23271470.109999999</v>
      </c>
      <c r="E49" s="96">
        <f t="shared" si="12"/>
        <v>134248.89000000001</v>
      </c>
      <c r="F49" s="14">
        <f t="shared" ref="F49:F61" si="14">G48</f>
        <v>326672294.5799998</v>
      </c>
      <c r="G49" s="14">
        <f t="shared" si="11"/>
        <v>303400824.46999979</v>
      </c>
    </row>
    <row r="50" spans="1:7" x14ac:dyDescent="0.25">
      <c r="A50" s="54">
        <v>41886</v>
      </c>
      <c r="B50" s="1">
        <f t="shared" si="1"/>
        <v>1</v>
      </c>
      <c r="C50" s="14">
        <f t="shared" si="13"/>
        <v>23405719</v>
      </c>
      <c r="D50" s="95">
        <f t="shared" si="3"/>
        <v>23281033.73</v>
      </c>
      <c r="E50" s="96">
        <f t="shared" si="12"/>
        <v>124685.27</v>
      </c>
      <c r="F50" s="14">
        <f t="shared" si="14"/>
        <v>303400824.46999979</v>
      </c>
      <c r="G50" s="14">
        <f t="shared" si="11"/>
        <v>280119790.73999977</v>
      </c>
    </row>
    <row r="51" spans="1:7" x14ac:dyDescent="0.25">
      <c r="A51" s="54">
        <v>41887</v>
      </c>
      <c r="B51" s="1">
        <f t="shared" si="1"/>
        <v>1</v>
      </c>
      <c r="C51" s="14">
        <f t="shared" si="13"/>
        <v>23405719</v>
      </c>
      <c r="D51" s="95">
        <f t="shared" si="3"/>
        <v>23290601.280000001</v>
      </c>
      <c r="E51" s="96">
        <f t="shared" si="12"/>
        <v>115117.72</v>
      </c>
      <c r="F51" s="14">
        <f t="shared" si="14"/>
        <v>280119790.73999977</v>
      </c>
      <c r="G51" s="14">
        <f t="shared" si="11"/>
        <v>256829189.45999977</v>
      </c>
    </row>
    <row r="52" spans="1:7" x14ac:dyDescent="0.25">
      <c r="A52" s="54">
        <v>41888</v>
      </c>
      <c r="B52" s="1">
        <f t="shared" si="1"/>
        <v>1</v>
      </c>
      <c r="C52" s="14">
        <f t="shared" si="13"/>
        <v>23405719</v>
      </c>
      <c r="D52" s="95">
        <f t="shared" si="3"/>
        <v>23300172.760000002</v>
      </c>
      <c r="E52" s="96">
        <f t="shared" si="12"/>
        <v>105546.24000000001</v>
      </c>
      <c r="F52" s="14">
        <f t="shared" si="14"/>
        <v>256829189.45999977</v>
      </c>
      <c r="G52" s="14">
        <f t="shared" si="11"/>
        <v>233529016.69999978</v>
      </c>
    </row>
    <row r="53" spans="1:7" x14ac:dyDescent="0.25">
      <c r="A53" s="54">
        <v>41889</v>
      </c>
      <c r="B53" s="1">
        <f t="shared" si="1"/>
        <v>1</v>
      </c>
      <c r="C53" s="14">
        <f t="shared" si="13"/>
        <v>23405719</v>
      </c>
      <c r="D53" s="95">
        <f t="shared" si="3"/>
        <v>23309748.170000002</v>
      </c>
      <c r="E53" s="96">
        <f t="shared" si="12"/>
        <v>95970.83</v>
      </c>
      <c r="F53" s="14">
        <f t="shared" si="14"/>
        <v>233529016.69999978</v>
      </c>
      <c r="G53" s="14">
        <f t="shared" si="11"/>
        <v>210219268.52999979</v>
      </c>
    </row>
    <row r="54" spans="1:7" x14ac:dyDescent="0.25">
      <c r="A54" s="54">
        <v>41890</v>
      </c>
      <c r="B54" s="1">
        <f t="shared" si="1"/>
        <v>1</v>
      </c>
      <c r="C54" s="14">
        <f t="shared" si="13"/>
        <v>23405719</v>
      </c>
      <c r="D54" s="95">
        <f t="shared" si="3"/>
        <v>23319327.52</v>
      </c>
      <c r="E54" s="96">
        <f t="shared" si="12"/>
        <v>86391.48</v>
      </c>
      <c r="F54" s="14">
        <f t="shared" si="14"/>
        <v>210219268.52999979</v>
      </c>
      <c r="G54" s="14">
        <f t="shared" si="11"/>
        <v>186899941.00999978</v>
      </c>
    </row>
    <row r="55" spans="1:7" x14ac:dyDescent="0.25">
      <c r="A55" s="54">
        <v>41891</v>
      </c>
      <c r="B55" s="1">
        <f t="shared" si="1"/>
        <v>1</v>
      </c>
      <c r="C55" s="14">
        <f t="shared" si="13"/>
        <v>23405719</v>
      </c>
      <c r="D55" s="95">
        <f t="shared" si="3"/>
        <v>23328910.809999999</v>
      </c>
      <c r="E55" s="96">
        <f t="shared" si="12"/>
        <v>76808.19</v>
      </c>
      <c r="F55" s="14">
        <f t="shared" si="14"/>
        <v>186899941.00999978</v>
      </c>
      <c r="G55" s="14">
        <f t="shared" si="11"/>
        <v>163571030.19999978</v>
      </c>
    </row>
    <row r="56" spans="1:7" x14ac:dyDescent="0.25">
      <c r="A56" s="54">
        <v>41892</v>
      </c>
      <c r="B56" s="1">
        <f t="shared" si="1"/>
        <v>1</v>
      </c>
      <c r="C56" s="14">
        <f t="shared" si="13"/>
        <v>23405719</v>
      </c>
      <c r="D56" s="95">
        <f t="shared" si="3"/>
        <v>23338498.030000001</v>
      </c>
      <c r="E56" s="96">
        <f t="shared" si="12"/>
        <v>67220.97</v>
      </c>
      <c r="F56" s="14">
        <f t="shared" si="14"/>
        <v>163571030.19999978</v>
      </c>
      <c r="G56" s="14">
        <f t="shared" si="11"/>
        <v>140232532.16999978</v>
      </c>
    </row>
    <row r="57" spans="1:7" x14ac:dyDescent="0.25">
      <c r="A57" s="54">
        <v>41893</v>
      </c>
      <c r="B57" s="1">
        <f t="shared" si="1"/>
        <v>1</v>
      </c>
      <c r="C57" s="14">
        <f t="shared" si="13"/>
        <v>23405719</v>
      </c>
      <c r="D57" s="95">
        <f t="shared" si="3"/>
        <v>23348089.190000001</v>
      </c>
      <c r="E57" s="96">
        <f t="shared" si="12"/>
        <v>57629.81</v>
      </c>
      <c r="F57" s="14">
        <f t="shared" si="14"/>
        <v>140232532.16999978</v>
      </c>
      <c r="G57" s="14">
        <f t="shared" si="11"/>
        <v>116884442.97999978</v>
      </c>
    </row>
    <row r="58" spans="1:7" x14ac:dyDescent="0.25">
      <c r="A58" s="54">
        <v>41894</v>
      </c>
      <c r="B58" s="1">
        <f t="shared" si="1"/>
        <v>1</v>
      </c>
      <c r="C58" s="14">
        <f t="shared" si="13"/>
        <v>23405719</v>
      </c>
      <c r="D58" s="95">
        <f t="shared" si="3"/>
        <v>23357684.300000001</v>
      </c>
      <c r="E58" s="96">
        <f t="shared" si="12"/>
        <v>48034.7</v>
      </c>
      <c r="F58" s="14">
        <f t="shared" si="14"/>
        <v>116884442.97999978</v>
      </c>
      <c r="G58" s="14">
        <f t="shared" si="11"/>
        <v>93526758.679999784</v>
      </c>
    </row>
    <row r="59" spans="1:7" x14ac:dyDescent="0.25">
      <c r="A59" s="54">
        <v>41895</v>
      </c>
      <c r="B59" s="1">
        <f t="shared" si="1"/>
        <v>1</v>
      </c>
      <c r="C59" s="14">
        <f t="shared" si="13"/>
        <v>23405719</v>
      </c>
      <c r="D59" s="95">
        <f t="shared" si="3"/>
        <v>23367283.350000001</v>
      </c>
      <c r="E59" s="96">
        <f t="shared" si="12"/>
        <v>38435.65</v>
      </c>
      <c r="F59" s="14">
        <f t="shared" si="14"/>
        <v>93526758.679999784</v>
      </c>
      <c r="G59" s="14">
        <f t="shared" si="11"/>
        <v>70159475.329999775</v>
      </c>
    </row>
    <row r="60" spans="1:7" x14ac:dyDescent="0.25">
      <c r="A60" s="54">
        <v>41896</v>
      </c>
      <c r="B60" s="1">
        <f t="shared" si="1"/>
        <v>1</v>
      </c>
      <c r="C60" s="14">
        <f t="shared" si="13"/>
        <v>23405719</v>
      </c>
      <c r="D60" s="95">
        <f t="shared" si="3"/>
        <v>23376886.34</v>
      </c>
      <c r="E60" s="96">
        <f t="shared" si="12"/>
        <v>28832.66</v>
      </c>
      <c r="F60" s="14">
        <f t="shared" si="14"/>
        <v>70159475.329999775</v>
      </c>
      <c r="G60" s="14">
        <f t="shared" si="11"/>
        <v>46782588.989999771</v>
      </c>
    </row>
    <row r="61" spans="1:7" x14ac:dyDescent="0.25">
      <c r="A61" s="54">
        <v>41897</v>
      </c>
      <c r="B61" s="1">
        <f t="shared" si="1"/>
        <v>1</v>
      </c>
      <c r="C61" s="14">
        <f t="shared" si="13"/>
        <v>23405719</v>
      </c>
      <c r="D61" s="95">
        <f t="shared" si="3"/>
        <v>23386493.280000001</v>
      </c>
      <c r="E61" s="96">
        <f t="shared" si="12"/>
        <v>19225.72</v>
      </c>
      <c r="F61" s="14">
        <f t="shared" si="14"/>
        <v>46782588.989999771</v>
      </c>
      <c r="G61" s="14">
        <f t="shared" si="11"/>
        <v>23396095.70999977</v>
      </c>
    </row>
    <row r="62" spans="1:7" x14ac:dyDescent="0.25">
      <c r="A62" s="54">
        <v>41898</v>
      </c>
      <c r="B62" s="1">
        <f t="shared" si="1"/>
        <v>1</v>
      </c>
      <c r="C62" s="14">
        <f t="shared" si="13"/>
        <v>23405719</v>
      </c>
      <c r="D62" s="95">
        <f t="shared" si="3"/>
        <v>23396095.70999977</v>
      </c>
      <c r="E62" s="96">
        <v>9623.290000231862</v>
      </c>
      <c r="F62" s="14">
        <f t="shared" ref="F62" si="15">G61</f>
        <v>23396095.70999977</v>
      </c>
      <c r="G62" s="14">
        <f t="shared" ref="G62" si="16">F62-D62</f>
        <v>0</v>
      </c>
    </row>
  </sheetData>
  <pageMargins left="0.7" right="0.7" top="0.75" bottom="0.75" header="0.3" footer="0.3"/>
  <pageSetup orientation="portrait" r:id="rId1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4F353-8CBC-4A6F-B310-AE9A2A54248F}">
  <dimension ref="A1:R2"/>
  <sheetViews>
    <sheetView workbookViewId="0">
      <selection activeCell="C2" sqref="C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6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29</v>
      </c>
      <c r="J2" s="8" t="s">
        <v>42</v>
      </c>
      <c r="K2" s="8" t="s">
        <v>25</v>
      </c>
      <c r="L2" s="8" t="s">
        <v>326</v>
      </c>
      <c r="M2" s="8" t="s">
        <v>27</v>
      </c>
      <c r="N2" s="20" t="s">
        <v>29</v>
      </c>
      <c r="O2" s="20" t="s">
        <v>206</v>
      </c>
      <c r="P2" s="20" t="s">
        <v>21</v>
      </c>
      <c r="Q2" s="20" t="s">
        <v>79</v>
      </c>
      <c r="R2" s="8" t="s">
        <v>328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6451F7-7325-428F-9187-C716BB5A75DF}">
  <dimension ref="A1:J61"/>
  <sheetViews>
    <sheetView zoomScaleNormal="100" workbookViewId="0">
      <pane ySplit="3" topLeftCell="A53" activePane="bottomLeft" state="frozen"/>
      <selection activeCell="C2" sqref="C2"/>
      <selection pane="bottomLeft" activeCell="C2" sqref="C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5703125" bestFit="1" customWidth="1"/>
    <col min="5" max="5" width="16.5703125" bestFit="1" customWidth="1"/>
    <col min="6" max="6" width="16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10.570312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ROUNDUP(24316.5073855909,0)</f>
        <v>24317</v>
      </c>
      <c r="E1" s="73" t="s">
        <v>147</v>
      </c>
      <c r="F1" s="20" t="s">
        <v>206</v>
      </c>
      <c r="G1" s="73" t="s">
        <v>150</v>
      </c>
      <c r="H1" s="79">
        <f>ROUNDUP(24342.2320010273,0)</f>
        <v>24343</v>
      </c>
      <c r="I1" s="73" t="s">
        <v>175</v>
      </c>
      <c r="J1" s="116">
        <v>0.2</v>
      </c>
    </row>
    <row r="2" spans="1:10" x14ac:dyDescent="0.25">
      <c r="A2" s="17" t="s">
        <v>34</v>
      </c>
      <c r="B2" s="18">
        <v>0.15</v>
      </c>
    </row>
    <row r="3" spans="1:10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_xlfn.DAYS(A4,B1)</f>
        <v>31</v>
      </c>
      <c r="C4" s="14">
        <f t="shared" ref="C4:C46" si="0">$D$1</f>
        <v>24317</v>
      </c>
      <c r="D4" s="95">
        <f t="shared" ref="D4:D61" si="1">C4-E4</f>
        <v>11577.27</v>
      </c>
      <c r="E4" s="96">
        <f t="shared" ref="E4:E15" si="2">ROUND(F4*$B$2*B4/365,2)</f>
        <v>12739.73</v>
      </c>
      <c r="F4" s="14">
        <v>1000000</v>
      </c>
      <c r="G4" s="14">
        <f t="shared" ref="G4:G15" si="3">F4-D4</f>
        <v>988422.73</v>
      </c>
      <c r="H4" s="14">
        <f t="shared" ref="H4:H9" si="4">F4*$B$2*B4/365</f>
        <v>12739.726027397261</v>
      </c>
      <c r="I4" s="16">
        <f t="shared" ref="I4:I9" si="5">H4-E4</f>
        <v>-3.9726027389406227E-3</v>
      </c>
    </row>
    <row r="5" spans="1:10" x14ac:dyDescent="0.25">
      <c r="A5" s="54">
        <v>41888</v>
      </c>
      <c r="B5" s="1">
        <f t="shared" ref="B5:B61" si="6">_xlfn.DAYS(A5,A4)</f>
        <v>1</v>
      </c>
      <c r="C5" s="14">
        <f t="shared" si="0"/>
        <v>24317</v>
      </c>
      <c r="D5" s="95">
        <f t="shared" si="1"/>
        <v>23910.799999999999</v>
      </c>
      <c r="E5" s="96">
        <f t="shared" si="2"/>
        <v>406.2</v>
      </c>
      <c r="F5" s="14">
        <f t="shared" ref="F5:F15" si="7">G4</f>
        <v>988422.73</v>
      </c>
      <c r="G5" s="14">
        <f t="shared" si="3"/>
        <v>964511.92999999993</v>
      </c>
      <c r="H5" s="14">
        <f t="shared" si="4"/>
        <v>406.20112191780817</v>
      </c>
      <c r="I5" s="16">
        <f t="shared" si="5"/>
        <v>1.1219178081773862E-3</v>
      </c>
    </row>
    <row r="6" spans="1:10" x14ac:dyDescent="0.25">
      <c r="A6" s="54">
        <v>41889</v>
      </c>
      <c r="B6" s="1">
        <f t="shared" si="6"/>
        <v>1</v>
      </c>
      <c r="C6" s="14">
        <f t="shared" si="0"/>
        <v>24317</v>
      </c>
      <c r="D6" s="95">
        <f t="shared" si="1"/>
        <v>23920.63</v>
      </c>
      <c r="E6" s="96">
        <f t="shared" si="2"/>
        <v>396.37</v>
      </c>
      <c r="F6" s="14">
        <f t="shared" si="7"/>
        <v>964511.92999999993</v>
      </c>
      <c r="G6" s="14">
        <f t="shared" si="3"/>
        <v>940591.29999999993</v>
      </c>
      <c r="H6" s="14">
        <f t="shared" si="4"/>
        <v>396.37476575342464</v>
      </c>
      <c r="I6" s="16">
        <f t="shared" si="5"/>
        <v>4.7657534246354771E-3</v>
      </c>
    </row>
    <row r="7" spans="1:10" x14ac:dyDescent="0.25">
      <c r="A7" s="54">
        <v>41890</v>
      </c>
      <c r="B7" s="1">
        <f t="shared" si="6"/>
        <v>1</v>
      </c>
      <c r="C7" s="14">
        <f t="shared" si="0"/>
        <v>24317</v>
      </c>
      <c r="D7" s="95">
        <f t="shared" si="1"/>
        <v>23930.46</v>
      </c>
      <c r="E7" s="96">
        <f t="shared" si="2"/>
        <v>386.54</v>
      </c>
      <c r="F7" s="14">
        <f t="shared" si="7"/>
        <v>940591.29999999993</v>
      </c>
      <c r="G7" s="14">
        <f t="shared" si="3"/>
        <v>916660.84</v>
      </c>
      <c r="H7" s="14">
        <f t="shared" si="4"/>
        <v>386.54436986301363</v>
      </c>
      <c r="I7" s="16">
        <f t="shared" si="5"/>
        <v>4.3698630136077554E-3</v>
      </c>
    </row>
    <row r="8" spans="1:10" x14ac:dyDescent="0.25">
      <c r="A8" s="54">
        <v>41891</v>
      </c>
      <c r="B8" s="1">
        <f t="shared" si="6"/>
        <v>1</v>
      </c>
      <c r="C8" s="14">
        <f t="shared" si="0"/>
        <v>24317</v>
      </c>
      <c r="D8" s="95">
        <f t="shared" si="1"/>
        <v>23940.29</v>
      </c>
      <c r="E8" s="96">
        <f t="shared" si="2"/>
        <v>376.71</v>
      </c>
      <c r="F8" s="14">
        <f t="shared" si="7"/>
        <v>916660.84</v>
      </c>
      <c r="G8" s="14">
        <f t="shared" si="3"/>
        <v>892720.54999999993</v>
      </c>
      <c r="H8" s="14">
        <f t="shared" si="4"/>
        <v>376.7099342465753</v>
      </c>
      <c r="I8" s="16">
        <f t="shared" si="5"/>
        <v>-6.5753424678405281E-5</v>
      </c>
    </row>
    <row r="9" spans="1:10" x14ac:dyDescent="0.25">
      <c r="A9" s="54">
        <v>41892</v>
      </c>
      <c r="B9" s="1">
        <f t="shared" si="6"/>
        <v>1</v>
      </c>
      <c r="C9" s="14">
        <f t="shared" si="0"/>
        <v>24317</v>
      </c>
      <c r="D9" s="95">
        <f t="shared" si="1"/>
        <v>23950.13</v>
      </c>
      <c r="E9" s="96">
        <f t="shared" si="2"/>
        <v>366.87</v>
      </c>
      <c r="F9" s="14">
        <f t="shared" si="7"/>
        <v>892720.54999999993</v>
      </c>
      <c r="G9" s="14">
        <f t="shared" si="3"/>
        <v>868770.41999999993</v>
      </c>
      <c r="H9" s="99">
        <f t="shared" si="4"/>
        <v>366.87145890410955</v>
      </c>
      <c r="I9" s="112">
        <f t="shared" si="5"/>
        <v>1.4589041095405264E-3</v>
      </c>
    </row>
    <row r="10" spans="1:10" x14ac:dyDescent="0.25">
      <c r="A10" s="54">
        <v>41893</v>
      </c>
      <c r="B10" s="1">
        <f t="shared" si="6"/>
        <v>1</v>
      </c>
      <c r="C10" s="14">
        <f t="shared" si="0"/>
        <v>24317</v>
      </c>
      <c r="D10" s="95">
        <f t="shared" si="1"/>
        <v>23959.97</v>
      </c>
      <c r="E10" s="96">
        <f t="shared" si="2"/>
        <v>357.03</v>
      </c>
      <c r="F10" s="14">
        <f t="shared" si="7"/>
        <v>868770.41999999993</v>
      </c>
      <c r="G10" s="14">
        <f t="shared" si="3"/>
        <v>844810.45</v>
      </c>
      <c r="H10" s="14"/>
      <c r="I10" s="16"/>
    </row>
    <row r="11" spans="1:10" x14ac:dyDescent="0.25">
      <c r="A11" s="54">
        <v>41894</v>
      </c>
      <c r="B11" s="1">
        <f t="shared" si="6"/>
        <v>1</v>
      </c>
      <c r="C11" s="14">
        <f t="shared" si="0"/>
        <v>24317</v>
      </c>
      <c r="D11" s="95">
        <f t="shared" si="1"/>
        <v>23969.82</v>
      </c>
      <c r="E11" s="96">
        <f t="shared" si="2"/>
        <v>347.18</v>
      </c>
      <c r="F11" s="14">
        <f t="shared" si="7"/>
        <v>844810.45</v>
      </c>
      <c r="G11" s="14">
        <f t="shared" si="3"/>
        <v>820840.63</v>
      </c>
      <c r="H11" s="14"/>
      <c r="I11" s="16"/>
    </row>
    <row r="12" spans="1:10" x14ac:dyDescent="0.25">
      <c r="A12" s="54">
        <v>41895</v>
      </c>
      <c r="B12" s="1">
        <f t="shared" si="6"/>
        <v>1</v>
      </c>
      <c r="C12" s="14">
        <f t="shared" si="0"/>
        <v>24317</v>
      </c>
      <c r="D12" s="95">
        <f t="shared" si="1"/>
        <v>23979.67</v>
      </c>
      <c r="E12" s="96">
        <f t="shared" si="2"/>
        <v>337.33</v>
      </c>
      <c r="F12" s="14">
        <f t="shared" si="7"/>
        <v>820840.63</v>
      </c>
      <c r="G12" s="14">
        <f t="shared" si="3"/>
        <v>796860.96</v>
      </c>
      <c r="H12" s="14"/>
      <c r="I12" s="16"/>
    </row>
    <row r="13" spans="1:10" x14ac:dyDescent="0.25">
      <c r="A13" s="54">
        <v>41896</v>
      </c>
      <c r="B13" s="1">
        <f t="shared" si="6"/>
        <v>1</v>
      </c>
      <c r="C13" s="14">
        <f t="shared" si="0"/>
        <v>24317</v>
      </c>
      <c r="D13" s="95">
        <f t="shared" si="1"/>
        <v>23989.52</v>
      </c>
      <c r="E13" s="96">
        <f t="shared" si="2"/>
        <v>327.48</v>
      </c>
      <c r="F13" s="14">
        <f t="shared" si="7"/>
        <v>796860.96</v>
      </c>
      <c r="G13" s="14">
        <f t="shared" si="3"/>
        <v>772871.44</v>
      </c>
      <c r="H13" s="14"/>
      <c r="I13" s="16"/>
    </row>
    <row r="14" spans="1:10" x14ac:dyDescent="0.25">
      <c r="A14" s="54">
        <v>41897</v>
      </c>
      <c r="B14" s="1">
        <f t="shared" si="6"/>
        <v>1</v>
      </c>
      <c r="C14" s="14">
        <f t="shared" si="0"/>
        <v>24317</v>
      </c>
      <c r="D14" s="95">
        <f t="shared" si="1"/>
        <v>23999.38</v>
      </c>
      <c r="E14" s="96">
        <f t="shared" si="2"/>
        <v>317.62</v>
      </c>
      <c r="F14" s="14">
        <f t="shared" si="7"/>
        <v>772871.44</v>
      </c>
      <c r="G14" s="14">
        <f t="shared" si="3"/>
        <v>748872.05999999994</v>
      </c>
      <c r="H14" s="14"/>
      <c r="I14" s="16"/>
    </row>
    <row r="15" spans="1:10" x14ac:dyDescent="0.25">
      <c r="A15" s="54">
        <v>41898</v>
      </c>
      <c r="B15" s="1">
        <f t="shared" si="6"/>
        <v>1</v>
      </c>
      <c r="C15" s="14">
        <f t="shared" si="0"/>
        <v>24317</v>
      </c>
      <c r="D15" s="95">
        <f t="shared" si="1"/>
        <v>24009.24</v>
      </c>
      <c r="E15" s="96">
        <f t="shared" si="2"/>
        <v>307.76</v>
      </c>
      <c r="F15" s="14">
        <f t="shared" si="7"/>
        <v>748872.05999999994</v>
      </c>
      <c r="G15" s="14">
        <f t="shared" si="3"/>
        <v>724862.82</v>
      </c>
      <c r="H15" s="114"/>
      <c r="I15" s="115"/>
    </row>
    <row r="16" spans="1:10" x14ac:dyDescent="0.25">
      <c r="A16" s="54">
        <v>41899</v>
      </c>
      <c r="B16" s="1">
        <f t="shared" si="6"/>
        <v>1</v>
      </c>
      <c r="C16" s="14">
        <f t="shared" si="0"/>
        <v>24317</v>
      </c>
      <c r="D16" s="95">
        <f t="shared" si="1"/>
        <v>24019.11</v>
      </c>
      <c r="E16" s="96">
        <f t="shared" ref="E16:E44" si="8">ROUND(F16*$B$2*B16/365,2)</f>
        <v>297.89</v>
      </c>
      <c r="F16" s="14">
        <f t="shared" ref="F16:F45" si="9">G15</f>
        <v>724862.82</v>
      </c>
      <c r="G16" s="14">
        <f t="shared" ref="G16:G45" si="10">F16-D16</f>
        <v>700843.71</v>
      </c>
    </row>
    <row r="17" spans="1:7" x14ac:dyDescent="0.25">
      <c r="A17" s="54">
        <v>41900</v>
      </c>
      <c r="B17" s="1">
        <f t="shared" si="6"/>
        <v>1</v>
      </c>
      <c r="C17" s="14">
        <f t="shared" si="0"/>
        <v>24317</v>
      </c>
      <c r="D17" s="95">
        <f t="shared" si="1"/>
        <v>24028.98</v>
      </c>
      <c r="E17" s="96">
        <f t="shared" si="8"/>
        <v>288.02</v>
      </c>
      <c r="F17" s="14">
        <f t="shared" si="9"/>
        <v>700843.71</v>
      </c>
      <c r="G17" s="14">
        <f t="shared" si="10"/>
        <v>676814.73</v>
      </c>
    </row>
    <row r="18" spans="1:7" x14ac:dyDescent="0.25">
      <c r="A18" s="54">
        <v>41901</v>
      </c>
      <c r="B18" s="1">
        <f t="shared" si="6"/>
        <v>1</v>
      </c>
      <c r="C18" s="14">
        <f t="shared" si="0"/>
        <v>24317</v>
      </c>
      <c r="D18" s="95">
        <f t="shared" si="1"/>
        <v>24038.86</v>
      </c>
      <c r="E18" s="96">
        <f t="shared" si="8"/>
        <v>278.14</v>
      </c>
      <c r="F18" s="14">
        <f t="shared" si="9"/>
        <v>676814.73</v>
      </c>
      <c r="G18" s="14">
        <f t="shared" si="10"/>
        <v>652775.87</v>
      </c>
    </row>
    <row r="19" spans="1:7" x14ac:dyDescent="0.25">
      <c r="A19" s="54">
        <v>41902</v>
      </c>
      <c r="B19" s="1">
        <f t="shared" si="6"/>
        <v>1</v>
      </c>
      <c r="C19" s="14">
        <f t="shared" si="0"/>
        <v>24317</v>
      </c>
      <c r="D19" s="95">
        <f t="shared" si="1"/>
        <v>24048.74</v>
      </c>
      <c r="E19" s="96">
        <f t="shared" si="8"/>
        <v>268.26</v>
      </c>
      <c r="F19" s="14">
        <f t="shared" si="9"/>
        <v>652775.87</v>
      </c>
      <c r="G19" s="14">
        <f t="shared" si="10"/>
        <v>628727.13</v>
      </c>
    </row>
    <row r="20" spans="1:7" x14ac:dyDescent="0.25">
      <c r="A20" s="54">
        <v>41903</v>
      </c>
      <c r="B20" s="1">
        <f t="shared" si="6"/>
        <v>1</v>
      </c>
      <c r="C20" s="14">
        <f t="shared" si="0"/>
        <v>24317</v>
      </c>
      <c r="D20" s="95">
        <f t="shared" si="1"/>
        <v>24058.62</v>
      </c>
      <c r="E20" s="96">
        <f t="shared" si="8"/>
        <v>258.38</v>
      </c>
      <c r="F20" s="14">
        <f t="shared" si="9"/>
        <v>628727.13</v>
      </c>
      <c r="G20" s="14">
        <f t="shared" si="10"/>
        <v>604668.51</v>
      </c>
    </row>
    <row r="21" spans="1:7" x14ac:dyDescent="0.25">
      <c r="A21" s="54">
        <v>41904</v>
      </c>
      <c r="B21" s="1">
        <f t="shared" si="6"/>
        <v>1</v>
      </c>
      <c r="C21" s="14">
        <f t="shared" si="0"/>
        <v>24317</v>
      </c>
      <c r="D21" s="95">
        <f t="shared" si="1"/>
        <v>24068.51</v>
      </c>
      <c r="E21" s="96">
        <f t="shared" si="8"/>
        <v>248.49</v>
      </c>
      <c r="F21" s="14">
        <f t="shared" si="9"/>
        <v>604668.51</v>
      </c>
      <c r="G21" s="14">
        <f t="shared" si="10"/>
        <v>580600</v>
      </c>
    </row>
    <row r="22" spans="1:7" x14ac:dyDescent="0.25">
      <c r="A22" s="54">
        <v>41905</v>
      </c>
      <c r="B22" s="1">
        <f t="shared" si="6"/>
        <v>1</v>
      </c>
      <c r="C22" s="14">
        <f t="shared" si="0"/>
        <v>24317</v>
      </c>
      <c r="D22" s="95">
        <f t="shared" si="1"/>
        <v>24078.400000000001</v>
      </c>
      <c r="E22" s="96">
        <f t="shared" si="8"/>
        <v>238.6</v>
      </c>
      <c r="F22" s="14">
        <f t="shared" si="9"/>
        <v>580600</v>
      </c>
      <c r="G22" s="14">
        <f t="shared" si="10"/>
        <v>556521.6</v>
      </c>
    </row>
    <row r="23" spans="1:7" x14ac:dyDescent="0.25">
      <c r="A23" s="54">
        <v>41906</v>
      </c>
      <c r="B23" s="1">
        <f t="shared" si="6"/>
        <v>1</v>
      </c>
      <c r="C23" s="14">
        <f t="shared" si="0"/>
        <v>24317</v>
      </c>
      <c r="D23" s="95">
        <f t="shared" si="1"/>
        <v>24088.29</v>
      </c>
      <c r="E23" s="96">
        <f t="shared" si="8"/>
        <v>228.71</v>
      </c>
      <c r="F23" s="14">
        <f t="shared" si="9"/>
        <v>556521.6</v>
      </c>
      <c r="G23" s="14">
        <f t="shared" si="10"/>
        <v>532433.30999999994</v>
      </c>
    </row>
    <row r="24" spans="1:7" x14ac:dyDescent="0.25">
      <c r="A24" s="54">
        <v>41907</v>
      </c>
      <c r="B24" s="1">
        <f t="shared" si="6"/>
        <v>1</v>
      </c>
      <c r="C24" s="14">
        <f t="shared" si="0"/>
        <v>24317</v>
      </c>
      <c r="D24" s="95">
        <f t="shared" si="1"/>
        <v>24098.19</v>
      </c>
      <c r="E24" s="96">
        <f t="shared" si="8"/>
        <v>218.81</v>
      </c>
      <c r="F24" s="14">
        <f t="shared" si="9"/>
        <v>532433.30999999994</v>
      </c>
      <c r="G24" s="14">
        <f t="shared" si="10"/>
        <v>508335.11999999994</v>
      </c>
    </row>
    <row r="25" spans="1:7" x14ac:dyDescent="0.25">
      <c r="A25" s="54">
        <v>41908</v>
      </c>
      <c r="B25" s="1">
        <f t="shared" si="6"/>
        <v>1</v>
      </c>
      <c r="C25" s="14">
        <f t="shared" si="0"/>
        <v>24317</v>
      </c>
      <c r="D25" s="95">
        <f t="shared" si="1"/>
        <v>24108.1</v>
      </c>
      <c r="E25" s="96">
        <f t="shared" si="8"/>
        <v>208.9</v>
      </c>
      <c r="F25" s="14">
        <f t="shared" si="9"/>
        <v>508335.11999999994</v>
      </c>
      <c r="G25" s="14">
        <f t="shared" si="10"/>
        <v>484227.01999999996</v>
      </c>
    </row>
    <row r="26" spans="1:7" x14ac:dyDescent="0.25">
      <c r="A26" s="54">
        <v>41909</v>
      </c>
      <c r="B26" s="1">
        <f t="shared" si="6"/>
        <v>1</v>
      </c>
      <c r="C26" s="14">
        <f t="shared" si="0"/>
        <v>24317</v>
      </c>
      <c r="D26" s="95">
        <f t="shared" si="1"/>
        <v>24118</v>
      </c>
      <c r="E26" s="96">
        <f t="shared" si="8"/>
        <v>199</v>
      </c>
      <c r="F26" s="14">
        <f t="shared" si="9"/>
        <v>484227.01999999996</v>
      </c>
      <c r="G26" s="14">
        <f t="shared" si="10"/>
        <v>460109.01999999996</v>
      </c>
    </row>
    <row r="27" spans="1:7" x14ac:dyDescent="0.25">
      <c r="A27" s="54">
        <v>41910</v>
      </c>
      <c r="B27" s="1">
        <f t="shared" si="6"/>
        <v>1</v>
      </c>
      <c r="C27" s="14">
        <f t="shared" si="0"/>
        <v>24317</v>
      </c>
      <c r="D27" s="95">
        <f t="shared" si="1"/>
        <v>24127.91</v>
      </c>
      <c r="E27" s="96">
        <f t="shared" si="8"/>
        <v>189.09</v>
      </c>
      <c r="F27" s="14">
        <f t="shared" si="9"/>
        <v>460109.01999999996</v>
      </c>
      <c r="G27" s="14">
        <f t="shared" si="10"/>
        <v>435981.11</v>
      </c>
    </row>
    <row r="28" spans="1:7" x14ac:dyDescent="0.25">
      <c r="A28" s="54">
        <v>41911</v>
      </c>
      <c r="B28" s="1">
        <f t="shared" si="6"/>
        <v>1</v>
      </c>
      <c r="C28" s="14">
        <f t="shared" si="0"/>
        <v>24317</v>
      </c>
      <c r="D28" s="95">
        <f t="shared" si="1"/>
        <v>24137.83</v>
      </c>
      <c r="E28" s="96">
        <f t="shared" si="8"/>
        <v>179.17</v>
      </c>
      <c r="F28" s="14">
        <f t="shared" si="9"/>
        <v>435981.11</v>
      </c>
      <c r="G28" s="14">
        <f t="shared" si="10"/>
        <v>411843.27999999997</v>
      </c>
    </row>
    <row r="29" spans="1:7" x14ac:dyDescent="0.25">
      <c r="A29" s="54">
        <v>41912</v>
      </c>
      <c r="B29" s="1">
        <f t="shared" si="6"/>
        <v>1</v>
      </c>
      <c r="C29" s="14">
        <f t="shared" si="0"/>
        <v>24317</v>
      </c>
      <c r="D29" s="95">
        <f t="shared" si="1"/>
        <v>24147.75</v>
      </c>
      <c r="E29" s="96">
        <f t="shared" si="8"/>
        <v>169.25</v>
      </c>
      <c r="F29" s="14">
        <f t="shared" si="9"/>
        <v>411843.27999999997</v>
      </c>
      <c r="G29" s="14">
        <f t="shared" si="10"/>
        <v>387695.52999999997</v>
      </c>
    </row>
    <row r="30" spans="1:7" x14ac:dyDescent="0.25">
      <c r="A30" s="54">
        <v>41913</v>
      </c>
      <c r="B30" s="1">
        <f t="shared" si="6"/>
        <v>1</v>
      </c>
      <c r="C30" s="14">
        <f t="shared" si="0"/>
        <v>24317</v>
      </c>
      <c r="D30" s="95">
        <f t="shared" si="1"/>
        <v>24157.67</v>
      </c>
      <c r="E30" s="96">
        <f t="shared" si="8"/>
        <v>159.33000000000001</v>
      </c>
      <c r="F30" s="14">
        <f t="shared" si="9"/>
        <v>387695.52999999997</v>
      </c>
      <c r="G30" s="14">
        <f t="shared" si="10"/>
        <v>363537.86</v>
      </c>
    </row>
    <row r="31" spans="1:7" x14ac:dyDescent="0.25">
      <c r="A31" s="54">
        <v>41914</v>
      </c>
      <c r="B31" s="1">
        <f t="shared" si="6"/>
        <v>1</v>
      </c>
      <c r="C31" s="14">
        <f t="shared" si="0"/>
        <v>24317</v>
      </c>
      <c r="D31" s="95">
        <f t="shared" si="1"/>
        <v>24167.599999999999</v>
      </c>
      <c r="E31" s="96">
        <f t="shared" si="8"/>
        <v>149.4</v>
      </c>
      <c r="F31" s="14">
        <f t="shared" si="9"/>
        <v>363537.86</v>
      </c>
      <c r="G31" s="14">
        <f t="shared" si="10"/>
        <v>339370.26</v>
      </c>
    </row>
    <row r="32" spans="1:7" x14ac:dyDescent="0.25">
      <c r="A32" s="54">
        <v>41915</v>
      </c>
      <c r="B32" s="1">
        <f t="shared" si="6"/>
        <v>1</v>
      </c>
      <c r="C32" s="14">
        <f t="shared" si="0"/>
        <v>24317</v>
      </c>
      <c r="D32" s="95">
        <f t="shared" si="1"/>
        <v>24177.53</v>
      </c>
      <c r="E32" s="96">
        <f t="shared" si="8"/>
        <v>139.47</v>
      </c>
      <c r="F32" s="14">
        <f t="shared" si="9"/>
        <v>339370.26</v>
      </c>
      <c r="G32" s="14">
        <f t="shared" si="10"/>
        <v>315192.73</v>
      </c>
    </row>
    <row r="33" spans="1:7" x14ac:dyDescent="0.25">
      <c r="A33" s="54">
        <v>41916</v>
      </c>
      <c r="B33" s="1">
        <f t="shared" si="6"/>
        <v>1</v>
      </c>
      <c r="C33" s="14">
        <f t="shared" si="0"/>
        <v>24317</v>
      </c>
      <c r="D33" s="95">
        <f t="shared" si="1"/>
        <v>24187.47</v>
      </c>
      <c r="E33" s="96">
        <f t="shared" si="8"/>
        <v>129.53</v>
      </c>
      <c r="F33" s="14">
        <f t="shared" si="9"/>
        <v>315192.73</v>
      </c>
      <c r="G33" s="14">
        <f t="shared" si="10"/>
        <v>291005.26</v>
      </c>
    </row>
    <row r="34" spans="1:7" x14ac:dyDescent="0.25">
      <c r="A34" s="54">
        <v>41917</v>
      </c>
      <c r="B34" s="1">
        <f t="shared" si="6"/>
        <v>1</v>
      </c>
      <c r="C34" s="14">
        <f t="shared" si="0"/>
        <v>24317</v>
      </c>
      <c r="D34" s="95">
        <f t="shared" si="1"/>
        <v>24197.41</v>
      </c>
      <c r="E34" s="96">
        <f t="shared" si="8"/>
        <v>119.59</v>
      </c>
      <c r="F34" s="14">
        <f t="shared" si="9"/>
        <v>291005.26</v>
      </c>
      <c r="G34" s="14">
        <f t="shared" si="10"/>
        <v>266807.85000000003</v>
      </c>
    </row>
    <row r="35" spans="1:7" x14ac:dyDescent="0.25">
      <c r="A35" s="54">
        <v>41918</v>
      </c>
      <c r="B35" s="1">
        <f t="shared" si="6"/>
        <v>1</v>
      </c>
      <c r="C35" s="14">
        <f t="shared" si="0"/>
        <v>24317</v>
      </c>
      <c r="D35" s="95">
        <f t="shared" si="1"/>
        <v>24207.35</v>
      </c>
      <c r="E35" s="96">
        <f t="shared" si="8"/>
        <v>109.65</v>
      </c>
      <c r="F35" s="14">
        <f t="shared" si="9"/>
        <v>266807.85000000003</v>
      </c>
      <c r="G35" s="14">
        <f t="shared" si="10"/>
        <v>242600.50000000003</v>
      </c>
    </row>
    <row r="36" spans="1:7" x14ac:dyDescent="0.25">
      <c r="A36" s="54">
        <v>41919</v>
      </c>
      <c r="B36" s="1">
        <f t="shared" si="6"/>
        <v>1</v>
      </c>
      <c r="C36" s="14">
        <f t="shared" si="0"/>
        <v>24317</v>
      </c>
      <c r="D36" s="95">
        <f t="shared" si="1"/>
        <v>24217.3</v>
      </c>
      <c r="E36" s="96">
        <f t="shared" si="8"/>
        <v>99.7</v>
      </c>
      <c r="F36" s="14">
        <f t="shared" si="9"/>
        <v>242600.50000000003</v>
      </c>
      <c r="G36" s="14">
        <f t="shared" si="10"/>
        <v>218383.20000000004</v>
      </c>
    </row>
    <row r="37" spans="1:7" x14ac:dyDescent="0.25">
      <c r="A37" s="54">
        <v>41920</v>
      </c>
      <c r="B37" s="1">
        <f t="shared" si="6"/>
        <v>1</v>
      </c>
      <c r="C37" s="14">
        <f t="shared" si="0"/>
        <v>24317</v>
      </c>
      <c r="D37" s="95">
        <f t="shared" si="1"/>
        <v>24227.25</v>
      </c>
      <c r="E37" s="96">
        <f t="shared" si="8"/>
        <v>89.75</v>
      </c>
      <c r="F37" s="14">
        <f t="shared" si="9"/>
        <v>218383.20000000004</v>
      </c>
      <c r="G37" s="14">
        <f t="shared" si="10"/>
        <v>194155.95000000004</v>
      </c>
    </row>
    <row r="38" spans="1:7" x14ac:dyDescent="0.25">
      <c r="A38" s="54">
        <v>41921</v>
      </c>
      <c r="B38" s="1">
        <f t="shared" si="6"/>
        <v>1</v>
      </c>
      <c r="C38" s="14">
        <f t="shared" si="0"/>
        <v>24317</v>
      </c>
      <c r="D38" s="95">
        <f t="shared" si="1"/>
        <v>24237.21</v>
      </c>
      <c r="E38" s="96">
        <f t="shared" si="8"/>
        <v>79.790000000000006</v>
      </c>
      <c r="F38" s="14">
        <f t="shared" si="9"/>
        <v>194155.95000000004</v>
      </c>
      <c r="G38" s="14">
        <f t="shared" si="10"/>
        <v>169918.74000000005</v>
      </c>
    </row>
    <row r="39" spans="1:7" x14ac:dyDescent="0.25">
      <c r="A39" s="54">
        <v>41922</v>
      </c>
      <c r="B39" s="1">
        <f t="shared" si="6"/>
        <v>1</v>
      </c>
      <c r="C39" s="14">
        <f t="shared" si="0"/>
        <v>24317</v>
      </c>
      <c r="D39" s="95">
        <f t="shared" si="1"/>
        <v>24247.17</v>
      </c>
      <c r="E39" s="96">
        <f t="shared" si="8"/>
        <v>69.83</v>
      </c>
      <c r="F39" s="14">
        <f t="shared" si="9"/>
        <v>169918.74000000005</v>
      </c>
      <c r="G39" s="14">
        <f t="shared" si="10"/>
        <v>145671.57000000007</v>
      </c>
    </row>
    <row r="40" spans="1:7" x14ac:dyDescent="0.25">
      <c r="A40" s="54">
        <v>41923</v>
      </c>
      <c r="B40" s="1">
        <f t="shared" si="6"/>
        <v>1</v>
      </c>
      <c r="C40" s="14">
        <f t="shared" si="0"/>
        <v>24317</v>
      </c>
      <c r="D40" s="95">
        <f t="shared" si="1"/>
        <v>24257.13</v>
      </c>
      <c r="E40" s="96">
        <f t="shared" si="8"/>
        <v>59.87</v>
      </c>
      <c r="F40" s="14">
        <f t="shared" si="9"/>
        <v>145671.57000000007</v>
      </c>
      <c r="G40" s="14">
        <f t="shared" si="10"/>
        <v>121414.44000000006</v>
      </c>
    </row>
    <row r="41" spans="1:7" x14ac:dyDescent="0.25">
      <c r="A41" s="54">
        <v>41924</v>
      </c>
      <c r="B41" s="1">
        <f t="shared" si="6"/>
        <v>1</v>
      </c>
      <c r="C41" s="14">
        <f t="shared" si="0"/>
        <v>24317</v>
      </c>
      <c r="D41" s="95">
        <f t="shared" si="1"/>
        <v>24267.1</v>
      </c>
      <c r="E41" s="96">
        <f t="shared" si="8"/>
        <v>49.9</v>
      </c>
      <c r="F41" s="14">
        <f t="shared" si="9"/>
        <v>121414.44000000006</v>
      </c>
      <c r="G41" s="14">
        <f t="shared" si="10"/>
        <v>97147.340000000055</v>
      </c>
    </row>
    <row r="42" spans="1:7" x14ac:dyDescent="0.25">
      <c r="A42" s="54">
        <v>41925</v>
      </c>
      <c r="B42" s="1">
        <f t="shared" si="6"/>
        <v>1</v>
      </c>
      <c r="C42" s="14">
        <f t="shared" si="0"/>
        <v>24317</v>
      </c>
      <c r="D42" s="95">
        <f t="shared" si="1"/>
        <v>24277.08</v>
      </c>
      <c r="E42" s="96">
        <f t="shared" si="8"/>
        <v>39.92</v>
      </c>
      <c r="F42" s="14">
        <f t="shared" si="9"/>
        <v>97147.340000000055</v>
      </c>
      <c r="G42" s="14">
        <f t="shared" si="10"/>
        <v>72870.260000000053</v>
      </c>
    </row>
    <row r="43" spans="1:7" x14ac:dyDescent="0.25">
      <c r="A43" s="54">
        <v>41926</v>
      </c>
      <c r="B43" s="1">
        <f t="shared" si="6"/>
        <v>1</v>
      </c>
      <c r="C43" s="14">
        <f t="shared" si="0"/>
        <v>24317</v>
      </c>
      <c r="D43" s="95">
        <f t="shared" si="1"/>
        <v>24287.05</v>
      </c>
      <c r="E43" s="96">
        <f t="shared" si="8"/>
        <v>29.95</v>
      </c>
      <c r="F43" s="14">
        <f t="shared" si="9"/>
        <v>72870.260000000053</v>
      </c>
      <c r="G43" s="14">
        <f t="shared" si="10"/>
        <v>48583.21000000005</v>
      </c>
    </row>
    <row r="44" spans="1:7" x14ac:dyDescent="0.25">
      <c r="A44" s="54">
        <v>41927</v>
      </c>
      <c r="B44" s="1">
        <f t="shared" si="6"/>
        <v>1</v>
      </c>
      <c r="C44" s="14">
        <f t="shared" si="0"/>
        <v>24317</v>
      </c>
      <c r="D44" s="95">
        <f t="shared" si="1"/>
        <v>24297.03</v>
      </c>
      <c r="E44" s="96">
        <f t="shared" si="8"/>
        <v>19.97</v>
      </c>
      <c r="F44" s="14">
        <f t="shared" si="9"/>
        <v>48583.21000000005</v>
      </c>
      <c r="G44" s="14">
        <f t="shared" si="10"/>
        <v>24286.180000000051</v>
      </c>
    </row>
    <row r="45" spans="1:7" x14ac:dyDescent="0.25">
      <c r="A45" s="54">
        <v>41928</v>
      </c>
      <c r="B45" s="1">
        <f t="shared" si="6"/>
        <v>1</v>
      </c>
      <c r="C45" s="14">
        <f t="shared" si="0"/>
        <v>24317</v>
      </c>
      <c r="D45" s="95">
        <f t="shared" si="1"/>
        <v>24286.180000000051</v>
      </c>
      <c r="E45" s="96">
        <v>30.819999999949214</v>
      </c>
      <c r="F45" s="14">
        <f t="shared" si="9"/>
        <v>24286.180000000051</v>
      </c>
      <c r="G45" s="14">
        <f t="shared" si="10"/>
        <v>0</v>
      </c>
    </row>
    <row r="46" spans="1:7" x14ac:dyDescent="0.25">
      <c r="A46" s="70">
        <v>41913</v>
      </c>
      <c r="B46" s="98">
        <f>_xlfn.DAYS(A31,A30)</f>
        <v>1</v>
      </c>
      <c r="C46" s="99">
        <f t="shared" si="0"/>
        <v>24317</v>
      </c>
      <c r="D46" s="100">
        <f>C30-E30</f>
        <v>24157.67</v>
      </c>
      <c r="E46" s="101">
        <f>ROUND(F30*$B$2*B30/365,2)</f>
        <v>159.33000000000001</v>
      </c>
      <c r="F46" s="99">
        <f>G29</f>
        <v>387695.52999999997</v>
      </c>
      <c r="G46" s="14">
        <f t="shared" ref="G46:G61" si="11">F46-D46</f>
        <v>363537.86</v>
      </c>
    </row>
    <row r="47" spans="1:7" x14ac:dyDescent="0.25">
      <c r="A47" s="54">
        <v>41914</v>
      </c>
      <c r="B47" s="1">
        <f t="shared" si="6"/>
        <v>1</v>
      </c>
      <c r="C47" s="14">
        <f>$H$1</f>
        <v>24343</v>
      </c>
      <c r="D47" s="95">
        <f t="shared" si="1"/>
        <v>24143.8</v>
      </c>
      <c r="E47" s="96">
        <f>ROUND(F47*$J$1*B47/365,2)</f>
        <v>199.2</v>
      </c>
      <c r="F47" s="14">
        <f t="shared" ref="F47:F61" si="12">G46</f>
        <v>363537.86</v>
      </c>
      <c r="G47" s="14">
        <f t="shared" si="11"/>
        <v>339394.06</v>
      </c>
    </row>
    <row r="48" spans="1:7" x14ac:dyDescent="0.25">
      <c r="A48" s="54">
        <v>41915</v>
      </c>
      <c r="B48" s="1">
        <f t="shared" si="6"/>
        <v>1</v>
      </c>
      <c r="C48" s="14">
        <f t="shared" ref="C48:C61" si="13">$H$1</f>
        <v>24343</v>
      </c>
      <c r="D48" s="95">
        <f t="shared" si="1"/>
        <v>24157.03</v>
      </c>
      <c r="E48" s="96">
        <f t="shared" ref="E48:E60" si="14">ROUND(F48*$J$1*B48/365,2)</f>
        <v>185.97</v>
      </c>
      <c r="F48" s="14">
        <f t="shared" si="12"/>
        <v>339394.06</v>
      </c>
      <c r="G48" s="14">
        <f t="shared" si="11"/>
        <v>315237.03000000003</v>
      </c>
    </row>
    <row r="49" spans="1:7" x14ac:dyDescent="0.25">
      <c r="A49" s="54">
        <v>41916</v>
      </c>
      <c r="B49" s="1">
        <f t="shared" si="6"/>
        <v>1</v>
      </c>
      <c r="C49" s="14">
        <f t="shared" si="13"/>
        <v>24343</v>
      </c>
      <c r="D49" s="95">
        <f t="shared" si="1"/>
        <v>24170.27</v>
      </c>
      <c r="E49" s="96">
        <f t="shared" si="14"/>
        <v>172.73</v>
      </c>
      <c r="F49" s="14">
        <f t="shared" si="12"/>
        <v>315237.03000000003</v>
      </c>
      <c r="G49" s="14">
        <f t="shared" si="11"/>
        <v>291066.76</v>
      </c>
    </row>
    <row r="50" spans="1:7" x14ac:dyDescent="0.25">
      <c r="A50" s="54">
        <v>41917</v>
      </c>
      <c r="B50" s="1">
        <f t="shared" si="6"/>
        <v>1</v>
      </c>
      <c r="C50" s="14">
        <f t="shared" si="13"/>
        <v>24343</v>
      </c>
      <c r="D50" s="95">
        <f t="shared" si="1"/>
        <v>24183.51</v>
      </c>
      <c r="E50" s="96">
        <f t="shared" si="14"/>
        <v>159.49</v>
      </c>
      <c r="F50" s="14">
        <f t="shared" si="12"/>
        <v>291066.76</v>
      </c>
      <c r="G50" s="14">
        <f t="shared" si="11"/>
        <v>266883.25</v>
      </c>
    </row>
    <row r="51" spans="1:7" x14ac:dyDescent="0.25">
      <c r="A51" s="54">
        <v>41918</v>
      </c>
      <c r="B51" s="1">
        <f t="shared" si="6"/>
        <v>1</v>
      </c>
      <c r="C51" s="14">
        <f t="shared" si="13"/>
        <v>24343</v>
      </c>
      <c r="D51" s="95">
        <f t="shared" si="1"/>
        <v>24196.76</v>
      </c>
      <c r="E51" s="96">
        <f t="shared" si="14"/>
        <v>146.24</v>
      </c>
      <c r="F51" s="14">
        <f t="shared" si="12"/>
        <v>266883.25</v>
      </c>
      <c r="G51" s="14">
        <f t="shared" si="11"/>
        <v>242686.49</v>
      </c>
    </row>
    <row r="52" spans="1:7" x14ac:dyDescent="0.25">
      <c r="A52" s="54">
        <v>41919</v>
      </c>
      <c r="B52" s="1">
        <f t="shared" si="6"/>
        <v>1</v>
      </c>
      <c r="C52" s="14">
        <f t="shared" si="13"/>
        <v>24343</v>
      </c>
      <c r="D52" s="95">
        <f t="shared" si="1"/>
        <v>24210.02</v>
      </c>
      <c r="E52" s="96">
        <f t="shared" si="14"/>
        <v>132.97999999999999</v>
      </c>
      <c r="F52" s="14">
        <f t="shared" si="12"/>
        <v>242686.49</v>
      </c>
      <c r="G52" s="14">
        <f t="shared" si="11"/>
        <v>218476.47</v>
      </c>
    </row>
    <row r="53" spans="1:7" x14ac:dyDescent="0.25">
      <c r="A53" s="54">
        <v>41920</v>
      </c>
      <c r="B53" s="1">
        <f t="shared" si="6"/>
        <v>1</v>
      </c>
      <c r="C53" s="14">
        <f t="shared" si="13"/>
        <v>24343</v>
      </c>
      <c r="D53" s="95">
        <f t="shared" si="1"/>
        <v>24223.29</v>
      </c>
      <c r="E53" s="96">
        <f t="shared" si="14"/>
        <v>119.71</v>
      </c>
      <c r="F53" s="14">
        <f t="shared" si="12"/>
        <v>218476.47</v>
      </c>
      <c r="G53" s="14">
        <f t="shared" si="11"/>
        <v>194253.18</v>
      </c>
    </row>
    <row r="54" spans="1:7" x14ac:dyDescent="0.25">
      <c r="A54" s="54">
        <v>41921</v>
      </c>
      <c r="B54" s="1">
        <f t="shared" si="6"/>
        <v>1</v>
      </c>
      <c r="C54" s="14">
        <f t="shared" si="13"/>
        <v>24343</v>
      </c>
      <c r="D54" s="95">
        <f t="shared" si="1"/>
        <v>24236.560000000001</v>
      </c>
      <c r="E54" s="96">
        <f t="shared" si="14"/>
        <v>106.44</v>
      </c>
      <c r="F54" s="14">
        <f t="shared" si="12"/>
        <v>194253.18</v>
      </c>
      <c r="G54" s="14">
        <f t="shared" si="11"/>
        <v>170016.62</v>
      </c>
    </row>
    <row r="55" spans="1:7" x14ac:dyDescent="0.25">
      <c r="A55" s="54">
        <v>41922</v>
      </c>
      <c r="B55" s="1">
        <f t="shared" si="6"/>
        <v>1</v>
      </c>
      <c r="C55" s="14">
        <f t="shared" si="13"/>
        <v>24343</v>
      </c>
      <c r="D55" s="95">
        <f t="shared" si="1"/>
        <v>24249.84</v>
      </c>
      <c r="E55" s="96">
        <f t="shared" si="14"/>
        <v>93.16</v>
      </c>
      <c r="F55" s="14">
        <f t="shared" si="12"/>
        <v>170016.62</v>
      </c>
      <c r="G55" s="14">
        <f t="shared" si="11"/>
        <v>145766.78</v>
      </c>
    </row>
    <row r="56" spans="1:7" x14ac:dyDescent="0.25">
      <c r="A56" s="54">
        <v>41923</v>
      </c>
      <c r="B56" s="1">
        <f t="shared" si="6"/>
        <v>1</v>
      </c>
      <c r="C56" s="14">
        <f t="shared" si="13"/>
        <v>24343</v>
      </c>
      <c r="D56" s="95">
        <f t="shared" si="1"/>
        <v>24263.13</v>
      </c>
      <c r="E56" s="96">
        <f t="shared" si="14"/>
        <v>79.87</v>
      </c>
      <c r="F56" s="14">
        <f t="shared" si="12"/>
        <v>145766.78</v>
      </c>
      <c r="G56" s="14">
        <f t="shared" si="11"/>
        <v>121503.65</v>
      </c>
    </row>
    <row r="57" spans="1:7" x14ac:dyDescent="0.25">
      <c r="A57" s="54">
        <v>41924</v>
      </c>
      <c r="B57" s="1">
        <f t="shared" si="6"/>
        <v>1</v>
      </c>
      <c r="C57" s="14">
        <f t="shared" si="13"/>
        <v>24343</v>
      </c>
      <c r="D57" s="95">
        <f t="shared" si="1"/>
        <v>24276.42</v>
      </c>
      <c r="E57" s="96">
        <f t="shared" si="14"/>
        <v>66.58</v>
      </c>
      <c r="F57" s="14">
        <f t="shared" si="12"/>
        <v>121503.65</v>
      </c>
      <c r="G57" s="14">
        <f t="shared" si="11"/>
        <v>97227.23</v>
      </c>
    </row>
    <row r="58" spans="1:7" x14ac:dyDescent="0.25">
      <c r="A58" s="54">
        <v>41925</v>
      </c>
      <c r="B58" s="1">
        <f t="shared" si="6"/>
        <v>1</v>
      </c>
      <c r="C58" s="14">
        <f t="shared" si="13"/>
        <v>24343</v>
      </c>
      <c r="D58" s="95">
        <f t="shared" si="1"/>
        <v>24289.72</v>
      </c>
      <c r="E58" s="96">
        <f t="shared" si="14"/>
        <v>53.28</v>
      </c>
      <c r="F58" s="14">
        <f t="shared" si="12"/>
        <v>97227.23</v>
      </c>
      <c r="G58" s="14">
        <f t="shared" si="11"/>
        <v>72937.509999999995</v>
      </c>
    </row>
    <row r="59" spans="1:7" x14ac:dyDescent="0.25">
      <c r="A59" s="54">
        <v>41926</v>
      </c>
      <c r="B59" s="1">
        <f t="shared" si="6"/>
        <v>1</v>
      </c>
      <c r="C59" s="14">
        <f t="shared" si="13"/>
        <v>24343</v>
      </c>
      <c r="D59" s="95">
        <f t="shared" si="1"/>
        <v>24303.03</v>
      </c>
      <c r="E59" s="96">
        <f t="shared" si="14"/>
        <v>39.97</v>
      </c>
      <c r="F59" s="14">
        <f t="shared" si="12"/>
        <v>72937.509999999995</v>
      </c>
      <c r="G59" s="14">
        <f t="shared" si="11"/>
        <v>48634.479999999996</v>
      </c>
    </row>
    <row r="60" spans="1:7" x14ac:dyDescent="0.25">
      <c r="A60" s="54">
        <v>41927</v>
      </c>
      <c r="B60" s="1">
        <f t="shared" si="6"/>
        <v>1</v>
      </c>
      <c r="C60" s="14">
        <f t="shared" si="13"/>
        <v>24343</v>
      </c>
      <c r="D60" s="95">
        <f t="shared" si="1"/>
        <v>24316.35</v>
      </c>
      <c r="E60" s="96">
        <f t="shared" si="14"/>
        <v>26.65</v>
      </c>
      <c r="F60" s="14">
        <f t="shared" si="12"/>
        <v>48634.479999999996</v>
      </c>
      <c r="G60" s="14">
        <f t="shared" si="11"/>
        <v>24318.129999999997</v>
      </c>
    </row>
    <row r="61" spans="1:7" x14ac:dyDescent="0.25">
      <c r="A61" s="54">
        <v>41928</v>
      </c>
      <c r="B61" s="1">
        <f t="shared" si="6"/>
        <v>1</v>
      </c>
      <c r="C61" s="14">
        <f t="shared" si="13"/>
        <v>24343</v>
      </c>
      <c r="D61" s="95">
        <f t="shared" si="1"/>
        <v>24318.129999999997</v>
      </c>
      <c r="E61" s="96">
        <v>24.870000000000871</v>
      </c>
      <c r="F61" s="14">
        <f t="shared" si="12"/>
        <v>24318.129999999997</v>
      </c>
      <c r="G61" s="14">
        <f t="shared" si="11"/>
        <v>0</v>
      </c>
    </row>
  </sheetData>
  <pageMargins left="0.7" right="0.7" top="0.75" bottom="0.75" header="0.3" footer="0.3"/>
  <pageSetup orientation="portrait" r:id="rId1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A5DCDA-AC87-4E92-BD15-38218A6FBAE2}">
  <dimension ref="A1:R2"/>
  <sheetViews>
    <sheetView workbookViewId="0">
      <selection activeCell="R2" sqref="R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6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29</v>
      </c>
      <c r="J2" s="8" t="s">
        <v>42</v>
      </c>
      <c r="K2" s="8" t="s">
        <v>25</v>
      </c>
      <c r="L2" s="8" t="s">
        <v>326</v>
      </c>
      <c r="M2" s="8" t="s">
        <v>27</v>
      </c>
      <c r="N2" s="20" t="s">
        <v>29</v>
      </c>
      <c r="O2" s="20" t="s">
        <v>206</v>
      </c>
      <c r="P2" s="20" t="s">
        <v>21</v>
      </c>
      <c r="Q2" s="20" t="s">
        <v>84</v>
      </c>
      <c r="R2" s="8" t="s">
        <v>330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47F189-C784-44BB-B2EB-0C75A0D47822}">
  <dimension ref="A1:J61"/>
  <sheetViews>
    <sheetView zoomScaleNormal="100" workbookViewId="0">
      <pane ySplit="3" topLeftCell="A53" activePane="bottomLeft" state="frozen"/>
      <selection activeCell="R2" sqref="R2"/>
      <selection pane="bottomLeft" activeCell="R2" sqref="R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5703125" bestFit="1" customWidth="1"/>
    <col min="5" max="5" width="16.5703125" bestFit="1" customWidth="1"/>
    <col min="6" max="6" width="16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10.570312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ROUNDUP(24316.5073855909,0)</f>
        <v>24317</v>
      </c>
      <c r="E1" s="73" t="s">
        <v>147</v>
      </c>
      <c r="F1" s="20" t="s">
        <v>206</v>
      </c>
      <c r="G1" s="73" t="s">
        <v>150</v>
      </c>
      <c r="H1" s="79">
        <f>ROUNDUP(24289.0106672849,0)</f>
        <v>24290</v>
      </c>
      <c r="I1" s="73" t="s">
        <v>175</v>
      </c>
      <c r="J1" s="116">
        <v>0.1</v>
      </c>
    </row>
    <row r="2" spans="1:10" x14ac:dyDescent="0.25">
      <c r="A2" s="17" t="s">
        <v>34</v>
      </c>
      <c r="B2" s="18">
        <v>0.15</v>
      </c>
    </row>
    <row r="3" spans="1:10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_xlfn.DAYS(A4,B1)</f>
        <v>31</v>
      </c>
      <c r="C4" s="14">
        <f t="shared" ref="C4:C46" si="0">$D$1</f>
        <v>24317</v>
      </c>
      <c r="D4" s="95">
        <f t="shared" ref="D4:D61" si="1">C4-E4</f>
        <v>11577.27</v>
      </c>
      <c r="E4" s="96">
        <f t="shared" ref="E4:E44" si="2">ROUND(F4*$B$2*B4/365,2)</f>
        <v>12739.73</v>
      </c>
      <c r="F4" s="14">
        <v>1000000</v>
      </c>
      <c r="G4" s="14">
        <f t="shared" ref="G4:G61" si="3">F4-D4</f>
        <v>988422.73</v>
      </c>
      <c r="H4" s="14">
        <f t="shared" ref="H4:H9" si="4">F4*$B$2*B4/365</f>
        <v>12739.726027397261</v>
      </c>
      <c r="I4" s="16">
        <f t="shared" ref="I4:I9" si="5">H4-E4</f>
        <v>-3.9726027389406227E-3</v>
      </c>
    </row>
    <row r="5" spans="1:10" x14ac:dyDescent="0.25">
      <c r="A5" s="54">
        <v>41888</v>
      </c>
      <c r="B5" s="1">
        <f t="shared" ref="B5:B61" si="6">_xlfn.DAYS(A5,A4)</f>
        <v>1</v>
      </c>
      <c r="C5" s="14">
        <f t="shared" si="0"/>
        <v>24317</v>
      </c>
      <c r="D5" s="95">
        <f t="shared" si="1"/>
        <v>23910.799999999999</v>
      </c>
      <c r="E5" s="96">
        <f t="shared" si="2"/>
        <v>406.2</v>
      </c>
      <c r="F5" s="14">
        <f t="shared" ref="F5:F45" si="7">G4</f>
        <v>988422.73</v>
      </c>
      <c r="G5" s="14">
        <f t="shared" si="3"/>
        <v>964511.92999999993</v>
      </c>
      <c r="H5" s="14">
        <f t="shared" si="4"/>
        <v>406.20112191780817</v>
      </c>
      <c r="I5" s="16">
        <f t="shared" si="5"/>
        <v>1.1219178081773862E-3</v>
      </c>
    </row>
    <row r="6" spans="1:10" x14ac:dyDescent="0.25">
      <c r="A6" s="54">
        <v>41889</v>
      </c>
      <c r="B6" s="1">
        <f t="shared" si="6"/>
        <v>1</v>
      </c>
      <c r="C6" s="14">
        <f t="shared" si="0"/>
        <v>24317</v>
      </c>
      <c r="D6" s="95">
        <f t="shared" si="1"/>
        <v>23920.63</v>
      </c>
      <c r="E6" s="96">
        <f t="shared" si="2"/>
        <v>396.37</v>
      </c>
      <c r="F6" s="14">
        <f t="shared" si="7"/>
        <v>964511.92999999993</v>
      </c>
      <c r="G6" s="14">
        <f t="shared" si="3"/>
        <v>940591.29999999993</v>
      </c>
      <c r="H6" s="14">
        <f t="shared" si="4"/>
        <v>396.37476575342464</v>
      </c>
      <c r="I6" s="16">
        <f t="shared" si="5"/>
        <v>4.7657534246354771E-3</v>
      </c>
    </row>
    <row r="7" spans="1:10" x14ac:dyDescent="0.25">
      <c r="A7" s="54">
        <v>41890</v>
      </c>
      <c r="B7" s="1">
        <f t="shared" si="6"/>
        <v>1</v>
      </c>
      <c r="C7" s="14">
        <f t="shared" si="0"/>
        <v>24317</v>
      </c>
      <c r="D7" s="95">
        <f t="shared" si="1"/>
        <v>23930.46</v>
      </c>
      <c r="E7" s="96">
        <f t="shared" si="2"/>
        <v>386.54</v>
      </c>
      <c r="F7" s="14">
        <f t="shared" si="7"/>
        <v>940591.29999999993</v>
      </c>
      <c r="G7" s="14">
        <f t="shared" si="3"/>
        <v>916660.84</v>
      </c>
      <c r="H7" s="14">
        <f t="shared" si="4"/>
        <v>386.54436986301363</v>
      </c>
      <c r="I7" s="16">
        <f t="shared" si="5"/>
        <v>4.3698630136077554E-3</v>
      </c>
    </row>
    <row r="8" spans="1:10" x14ac:dyDescent="0.25">
      <c r="A8" s="54">
        <v>41891</v>
      </c>
      <c r="B8" s="1">
        <f t="shared" si="6"/>
        <v>1</v>
      </c>
      <c r="C8" s="14">
        <f t="shared" si="0"/>
        <v>24317</v>
      </c>
      <c r="D8" s="95">
        <f t="shared" si="1"/>
        <v>23940.29</v>
      </c>
      <c r="E8" s="96">
        <f t="shared" si="2"/>
        <v>376.71</v>
      </c>
      <c r="F8" s="14">
        <f t="shared" si="7"/>
        <v>916660.84</v>
      </c>
      <c r="G8" s="14">
        <f t="shared" si="3"/>
        <v>892720.54999999993</v>
      </c>
      <c r="H8" s="14">
        <f t="shared" si="4"/>
        <v>376.7099342465753</v>
      </c>
      <c r="I8" s="16">
        <f t="shared" si="5"/>
        <v>-6.5753424678405281E-5</v>
      </c>
    </row>
    <row r="9" spans="1:10" x14ac:dyDescent="0.25">
      <c r="A9" s="54">
        <v>41892</v>
      </c>
      <c r="B9" s="1">
        <f t="shared" si="6"/>
        <v>1</v>
      </c>
      <c r="C9" s="14">
        <f t="shared" si="0"/>
        <v>24317</v>
      </c>
      <c r="D9" s="95">
        <f t="shared" si="1"/>
        <v>23950.13</v>
      </c>
      <c r="E9" s="96">
        <f t="shared" si="2"/>
        <v>366.87</v>
      </c>
      <c r="F9" s="14">
        <f t="shared" si="7"/>
        <v>892720.54999999993</v>
      </c>
      <c r="G9" s="14">
        <f t="shared" si="3"/>
        <v>868770.41999999993</v>
      </c>
      <c r="H9" s="99">
        <f t="shared" si="4"/>
        <v>366.87145890410955</v>
      </c>
      <c r="I9" s="112">
        <f t="shared" si="5"/>
        <v>1.4589041095405264E-3</v>
      </c>
    </row>
    <row r="10" spans="1:10" x14ac:dyDescent="0.25">
      <c r="A10" s="54">
        <v>41893</v>
      </c>
      <c r="B10" s="1">
        <f t="shared" si="6"/>
        <v>1</v>
      </c>
      <c r="C10" s="14">
        <f t="shared" si="0"/>
        <v>24317</v>
      </c>
      <c r="D10" s="95">
        <f t="shared" si="1"/>
        <v>23959.97</v>
      </c>
      <c r="E10" s="96">
        <f t="shared" si="2"/>
        <v>357.03</v>
      </c>
      <c r="F10" s="14">
        <f t="shared" si="7"/>
        <v>868770.41999999993</v>
      </c>
      <c r="G10" s="14">
        <f t="shared" si="3"/>
        <v>844810.45</v>
      </c>
      <c r="H10" s="14"/>
      <c r="I10" s="16"/>
    </row>
    <row r="11" spans="1:10" x14ac:dyDescent="0.25">
      <c r="A11" s="54">
        <v>41894</v>
      </c>
      <c r="B11" s="1">
        <f t="shared" si="6"/>
        <v>1</v>
      </c>
      <c r="C11" s="14">
        <f t="shared" si="0"/>
        <v>24317</v>
      </c>
      <c r="D11" s="95">
        <f t="shared" si="1"/>
        <v>23969.82</v>
      </c>
      <c r="E11" s="96">
        <f t="shared" si="2"/>
        <v>347.18</v>
      </c>
      <c r="F11" s="14">
        <f t="shared" si="7"/>
        <v>844810.45</v>
      </c>
      <c r="G11" s="14">
        <f t="shared" si="3"/>
        <v>820840.63</v>
      </c>
      <c r="H11" s="14"/>
      <c r="I11" s="16"/>
    </row>
    <row r="12" spans="1:10" x14ac:dyDescent="0.25">
      <c r="A12" s="54">
        <v>41895</v>
      </c>
      <c r="B12" s="1">
        <f t="shared" si="6"/>
        <v>1</v>
      </c>
      <c r="C12" s="14">
        <f t="shared" si="0"/>
        <v>24317</v>
      </c>
      <c r="D12" s="95">
        <f t="shared" si="1"/>
        <v>23979.67</v>
      </c>
      <c r="E12" s="96">
        <f t="shared" si="2"/>
        <v>337.33</v>
      </c>
      <c r="F12" s="14">
        <f t="shared" si="7"/>
        <v>820840.63</v>
      </c>
      <c r="G12" s="14">
        <f t="shared" si="3"/>
        <v>796860.96</v>
      </c>
      <c r="H12" s="14"/>
      <c r="I12" s="16"/>
    </row>
    <row r="13" spans="1:10" x14ac:dyDescent="0.25">
      <c r="A13" s="54">
        <v>41896</v>
      </c>
      <c r="B13" s="1">
        <f t="shared" si="6"/>
        <v>1</v>
      </c>
      <c r="C13" s="14">
        <f t="shared" si="0"/>
        <v>24317</v>
      </c>
      <c r="D13" s="95">
        <f t="shared" si="1"/>
        <v>23989.52</v>
      </c>
      <c r="E13" s="96">
        <f t="shared" si="2"/>
        <v>327.48</v>
      </c>
      <c r="F13" s="14">
        <f t="shared" si="7"/>
        <v>796860.96</v>
      </c>
      <c r="G13" s="14">
        <f t="shared" si="3"/>
        <v>772871.44</v>
      </c>
      <c r="H13" s="14"/>
      <c r="I13" s="16"/>
    </row>
    <row r="14" spans="1:10" x14ac:dyDescent="0.25">
      <c r="A14" s="54">
        <v>41897</v>
      </c>
      <c r="B14" s="1">
        <f t="shared" si="6"/>
        <v>1</v>
      </c>
      <c r="C14" s="14">
        <f t="shared" si="0"/>
        <v>24317</v>
      </c>
      <c r="D14" s="95">
        <f t="shared" si="1"/>
        <v>23999.38</v>
      </c>
      <c r="E14" s="96">
        <f t="shared" si="2"/>
        <v>317.62</v>
      </c>
      <c r="F14" s="14">
        <f t="shared" si="7"/>
        <v>772871.44</v>
      </c>
      <c r="G14" s="14">
        <f t="shared" si="3"/>
        <v>748872.05999999994</v>
      </c>
      <c r="H14" s="14"/>
      <c r="I14" s="16"/>
    </row>
    <row r="15" spans="1:10" x14ac:dyDescent="0.25">
      <c r="A15" s="54">
        <v>41898</v>
      </c>
      <c r="B15" s="1">
        <f t="shared" si="6"/>
        <v>1</v>
      </c>
      <c r="C15" s="14">
        <f t="shared" si="0"/>
        <v>24317</v>
      </c>
      <c r="D15" s="95">
        <f t="shared" si="1"/>
        <v>24009.24</v>
      </c>
      <c r="E15" s="96">
        <f t="shared" si="2"/>
        <v>307.76</v>
      </c>
      <c r="F15" s="14">
        <f t="shared" si="7"/>
        <v>748872.05999999994</v>
      </c>
      <c r="G15" s="14">
        <f t="shared" si="3"/>
        <v>724862.82</v>
      </c>
      <c r="H15" s="114"/>
      <c r="I15" s="115"/>
    </row>
    <row r="16" spans="1:10" x14ac:dyDescent="0.25">
      <c r="A16" s="54">
        <v>41899</v>
      </c>
      <c r="B16" s="1">
        <f t="shared" si="6"/>
        <v>1</v>
      </c>
      <c r="C16" s="14">
        <f t="shared" si="0"/>
        <v>24317</v>
      </c>
      <c r="D16" s="95">
        <f t="shared" si="1"/>
        <v>24019.11</v>
      </c>
      <c r="E16" s="96">
        <f t="shared" si="2"/>
        <v>297.89</v>
      </c>
      <c r="F16" s="14">
        <f t="shared" si="7"/>
        <v>724862.82</v>
      </c>
      <c r="G16" s="14">
        <f t="shared" si="3"/>
        <v>700843.71</v>
      </c>
    </row>
    <row r="17" spans="1:7" x14ac:dyDescent="0.25">
      <c r="A17" s="54">
        <v>41900</v>
      </c>
      <c r="B17" s="1">
        <f t="shared" si="6"/>
        <v>1</v>
      </c>
      <c r="C17" s="14">
        <f t="shared" si="0"/>
        <v>24317</v>
      </c>
      <c r="D17" s="95">
        <f t="shared" si="1"/>
        <v>24028.98</v>
      </c>
      <c r="E17" s="96">
        <f t="shared" si="2"/>
        <v>288.02</v>
      </c>
      <c r="F17" s="14">
        <f t="shared" si="7"/>
        <v>700843.71</v>
      </c>
      <c r="G17" s="14">
        <f t="shared" si="3"/>
        <v>676814.73</v>
      </c>
    </row>
    <row r="18" spans="1:7" x14ac:dyDescent="0.25">
      <c r="A18" s="54">
        <v>41901</v>
      </c>
      <c r="B18" s="1">
        <f t="shared" si="6"/>
        <v>1</v>
      </c>
      <c r="C18" s="14">
        <f t="shared" si="0"/>
        <v>24317</v>
      </c>
      <c r="D18" s="95">
        <f t="shared" si="1"/>
        <v>24038.86</v>
      </c>
      <c r="E18" s="96">
        <f t="shared" si="2"/>
        <v>278.14</v>
      </c>
      <c r="F18" s="14">
        <f t="shared" si="7"/>
        <v>676814.73</v>
      </c>
      <c r="G18" s="14">
        <f t="shared" si="3"/>
        <v>652775.87</v>
      </c>
    </row>
    <row r="19" spans="1:7" x14ac:dyDescent="0.25">
      <c r="A19" s="54">
        <v>41902</v>
      </c>
      <c r="B19" s="1">
        <f t="shared" si="6"/>
        <v>1</v>
      </c>
      <c r="C19" s="14">
        <f t="shared" si="0"/>
        <v>24317</v>
      </c>
      <c r="D19" s="95">
        <f t="shared" si="1"/>
        <v>24048.74</v>
      </c>
      <c r="E19" s="96">
        <f t="shared" si="2"/>
        <v>268.26</v>
      </c>
      <c r="F19" s="14">
        <f t="shared" si="7"/>
        <v>652775.87</v>
      </c>
      <c r="G19" s="14">
        <f t="shared" si="3"/>
        <v>628727.13</v>
      </c>
    </row>
    <row r="20" spans="1:7" x14ac:dyDescent="0.25">
      <c r="A20" s="54">
        <v>41903</v>
      </c>
      <c r="B20" s="1">
        <f t="shared" si="6"/>
        <v>1</v>
      </c>
      <c r="C20" s="14">
        <f t="shared" si="0"/>
        <v>24317</v>
      </c>
      <c r="D20" s="95">
        <f t="shared" si="1"/>
        <v>24058.62</v>
      </c>
      <c r="E20" s="96">
        <f t="shared" si="2"/>
        <v>258.38</v>
      </c>
      <c r="F20" s="14">
        <f t="shared" si="7"/>
        <v>628727.13</v>
      </c>
      <c r="G20" s="14">
        <f t="shared" si="3"/>
        <v>604668.51</v>
      </c>
    </row>
    <row r="21" spans="1:7" x14ac:dyDescent="0.25">
      <c r="A21" s="54">
        <v>41904</v>
      </c>
      <c r="B21" s="1">
        <f t="shared" si="6"/>
        <v>1</v>
      </c>
      <c r="C21" s="14">
        <f t="shared" si="0"/>
        <v>24317</v>
      </c>
      <c r="D21" s="95">
        <f t="shared" si="1"/>
        <v>24068.51</v>
      </c>
      <c r="E21" s="96">
        <f t="shared" si="2"/>
        <v>248.49</v>
      </c>
      <c r="F21" s="14">
        <f t="shared" si="7"/>
        <v>604668.51</v>
      </c>
      <c r="G21" s="14">
        <f t="shared" si="3"/>
        <v>580600</v>
      </c>
    </row>
    <row r="22" spans="1:7" x14ac:dyDescent="0.25">
      <c r="A22" s="54">
        <v>41905</v>
      </c>
      <c r="B22" s="1">
        <f t="shared" si="6"/>
        <v>1</v>
      </c>
      <c r="C22" s="14">
        <f t="shared" si="0"/>
        <v>24317</v>
      </c>
      <c r="D22" s="95">
        <f t="shared" si="1"/>
        <v>24078.400000000001</v>
      </c>
      <c r="E22" s="96">
        <f t="shared" si="2"/>
        <v>238.6</v>
      </c>
      <c r="F22" s="14">
        <f t="shared" si="7"/>
        <v>580600</v>
      </c>
      <c r="G22" s="14">
        <f t="shared" si="3"/>
        <v>556521.6</v>
      </c>
    </row>
    <row r="23" spans="1:7" x14ac:dyDescent="0.25">
      <c r="A23" s="54">
        <v>41906</v>
      </c>
      <c r="B23" s="1">
        <f t="shared" si="6"/>
        <v>1</v>
      </c>
      <c r="C23" s="14">
        <f t="shared" si="0"/>
        <v>24317</v>
      </c>
      <c r="D23" s="95">
        <f t="shared" si="1"/>
        <v>24088.29</v>
      </c>
      <c r="E23" s="96">
        <f t="shared" si="2"/>
        <v>228.71</v>
      </c>
      <c r="F23" s="14">
        <f t="shared" si="7"/>
        <v>556521.6</v>
      </c>
      <c r="G23" s="14">
        <f t="shared" si="3"/>
        <v>532433.30999999994</v>
      </c>
    </row>
    <row r="24" spans="1:7" x14ac:dyDescent="0.25">
      <c r="A24" s="54">
        <v>41907</v>
      </c>
      <c r="B24" s="1">
        <f t="shared" si="6"/>
        <v>1</v>
      </c>
      <c r="C24" s="14">
        <f t="shared" si="0"/>
        <v>24317</v>
      </c>
      <c r="D24" s="95">
        <f t="shared" si="1"/>
        <v>24098.19</v>
      </c>
      <c r="E24" s="96">
        <f t="shared" si="2"/>
        <v>218.81</v>
      </c>
      <c r="F24" s="14">
        <f t="shared" si="7"/>
        <v>532433.30999999994</v>
      </c>
      <c r="G24" s="14">
        <f t="shared" si="3"/>
        <v>508335.11999999994</v>
      </c>
    </row>
    <row r="25" spans="1:7" x14ac:dyDescent="0.25">
      <c r="A25" s="54">
        <v>41908</v>
      </c>
      <c r="B25" s="1">
        <f t="shared" si="6"/>
        <v>1</v>
      </c>
      <c r="C25" s="14">
        <f t="shared" si="0"/>
        <v>24317</v>
      </c>
      <c r="D25" s="95">
        <f t="shared" si="1"/>
        <v>24108.1</v>
      </c>
      <c r="E25" s="96">
        <f t="shared" si="2"/>
        <v>208.9</v>
      </c>
      <c r="F25" s="14">
        <f t="shared" si="7"/>
        <v>508335.11999999994</v>
      </c>
      <c r="G25" s="14">
        <f t="shared" si="3"/>
        <v>484227.01999999996</v>
      </c>
    </row>
    <row r="26" spans="1:7" x14ac:dyDescent="0.25">
      <c r="A26" s="54">
        <v>41909</v>
      </c>
      <c r="B26" s="1">
        <f t="shared" si="6"/>
        <v>1</v>
      </c>
      <c r="C26" s="14">
        <f t="shared" si="0"/>
        <v>24317</v>
      </c>
      <c r="D26" s="95">
        <f t="shared" si="1"/>
        <v>24118</v>
      </c>
      <c r="E26" s="96">
        <f t="shared" si="2"/>
        <v>199</v>
      </c>
      <c r="F26" s="14">
        <f t="shared" si="7"/>
        <v>484227.01999999996</v>
      </c>
      <c r="G26" s="14">
        <f t="shared" si="3"/>
        <v>460109.01999999996</v>
      </c>
    </row>
    <row r="27" spans="1:7" x14ac:dyDescent="0.25">
      <c r="A27" s="54">
        <v>41910</v>
      </c>
      <c r="B27" s="1">
        <f t="shared" si="6"/>
        <v>1</v>
      </c>
      <c r="C27" s="14">
        <f t="shared" si="0"/>
        <v>24317</v>
      </c>
      <c r="D27" s="95">
        <f t="shared" si="1"/>
        <v>24127.91</v>
      </c>
      <c r="E27" s="96">
        <f t="shared" si="2"/>
        <v>189.09</v>
      </c>
      <c r="F27" s="14">
        <f t="shared" si="7"/>
        <v>460109.01999999996</v>
      </c>
      <c r="G27" s="14">
        <f t="shared" si="3"/>
        <v>435981.11</v>
      </c>
    </row>
    <row r="28" spans="1:7" x14ac:dyDescent="0.25">
      <c r="A28" s="54">
        <v>41911</v>
      </c>
      <c r="B28" s="1">
        <f t="shared" si="6"/>
        <v>1</v>
      </c>
      <c r="C28" s="14">
        <f t="shared" si="0"/>
        <v>24317</v>
      </c>
      <c r="D28" s="95">
        <f t="shared" si="1"/>
        <v>24137.83</v>
      </c>
      <c r="E28" s="96">
        <f t="shared" si="2"/>
        <v>179.17</v>
      </c>
      <c r="F28" s="14">
        <f t="shared" si="7"/>
        <v>435981.11</v>
      </c>
      <c r="G28" s="14">
        <f t="shared" si="3"/>
        <v>411843.27999999997</v>
      </c>
    </row>
    <row r="29" spans="1:7" x14ac:dyDescent="0.25">
      <c r="A29" s="54">
        <v>41912</v>
      </c>
      <c r="B29" s="1">
        <f t="shared" si="6"/>
        <v>1</v>
      </c>
      <c r="C29" s="14">
        <f t="shared" si="0"/>
        <v>24317</v>
      </c>
      <c r="D29" s="95">
        <f t="shared" si="1"/>
        <v>24147.75</v>
      </c>
      <c r="E29" s="96">
        <f t="shared" si="2"/>
        <v>169.25</v>
      </c>
      <c r="F29" s="14">
        <f t="shared" si="7"/>
        <v>411843.27999999997</v>
      </c>
      <c r="G29" s="14">
        <f t="shared" si="3"/>
        <v>387695.52999999997</v>
      </c>
    </row>
    <row r="30" spans="1:7" x14ac:dyDescent="0.25">
      <c r="A30" s="54">
        <v>41913</v>
      </c>
      <c r="B30" s="1">
        <f t="shared" si="6"/>
        <v>1</v>
      </c>
      <c r="C30" s="14">
        <f t="shared" si="0"/>
        <v>24317</v>
      </c>
      <c r="D30" s="95">
        <f t="shared" si="1"/>
        <v>24157.67</v>
      </c>
      <c r="E30" s="96">
        <f t="shared" si="2"/>
        <v>159.33000000000001</v>
      </c>
      <c r="F30" s="14">
        <f t="shared" si="7"/>
        <v>387695.52999999997</v>
      </c>
      <c r="G30" s="14">
        <f t="shared" si="3"/>
        <v>363537.86</v>
      </c>
    </row>
    <row r="31" spans="1:7" x14ac:dyDescent="0.25">
      <c r="A31" s="54">
        <v>41914</v>
      </c>
      <c r="B31" s="1">
        <f t="shared" si="6"/>
        <v>1</v>
      </c>
      <c r="C31" s="14">
        <f t="shared" si="0"/>
        <v>24317</v>
      </c>
      <c r="D31" s="95">
        <f t="shared" si="1"/>
        <v>24167.599999999999</v>
      </c>
      <c r="E31" s="96">
        <f t="shared" si="2"/>
        <v>149.4</v>
      </c>
      <c r="F31" s="14">
        <f t="shared" si="7"/>
        <v>363537.86</v>
      </c>
      <c r="G31" s="14">
        <f t="shared" si="3"/>
        <v>339370.26</v>
      </c>
    </row>
    <row r="32" spans="1:7" x14ac:dyDescent="0.25">
      <c r="A32" s="54">
        <v>41915</v>
      </c>
      <c r="B32" s="1">
        <f t="shared" si="6"/>
        <v>1</v>
      </c>
      <c r="C32" s="14">
        <f t="shared" si="0"/>
        <v>24317</v>
      </c>
      <c r="D32" s="95">
        <f t="shared" si="1"/>
        <v>24177.53</v>
      </c>
      <c r="E32" s="96">
        <f t="shared" si="2"/>
        <v>139.47</v>
      </c>
      <c r="F32" s="14">
        <f t="shared" si="7"/>
        <v>339370.26</v>
      </c>
      <c r="G32" s="14">
        <f t="shared" si="3"/>
        <v>315192.73</v>
      </c>
    </row>
    <row r="33" spans="1:7" x14ac:dyDescent="0.25">
      <c r="A33" s="54">
        <v>41916</v>
      </c>
      <c r="B33" s="1">
        <f t="shared" si="6"/>
        <v>1</v>
      </c>
      <c r="C33" s="14">
        <f t="shared" si="0"/>
        <v>24317</v>
      </c>
      <c r="D33" s="95">
        <f t="shared" si="1"/>
        <v>24187.47</v>
      </c>
      <c r="E33" s="96">
        <f t="shared" si="2"/>
        <v>129.53</v>
      </c>
      <c r="F33" s="14">
        <f t="shared" si="7"/>
        <v>315192.73</v>
      </c>
      <c r="G33" s="14">
        <f t="shared" si="3"/>
        <v>291005.26</v>
      </c>
    </row>
    <row r="34" spans="1:7" x14ac:dyDescent="0.25">
      <c r="A34" s="54">
        <v>41917</v>
      </c>
      <c r="B34" s="1">
        <f t="shared" si="6"/>
        <v>1</v>
      </c>
      <c r="C34" s="14">
        <f t="shared" si="0"/>
        <v>24317</v>
      </c>
      <c r="D34" s="95">
        <f t="shared" si="1"/>
        <v>24197.41</v>
      </c>
      <c r="E34" s="96">
        <f t="shared" si="2"/>
        <v>119.59</v>
      </c>
      <c r="F34" s="14">
        <f t="shared" si="7"/>
        <v>291005.26</v>
      </c>
      <c r="G34" s="14">
        <f t="shared" si="3"/>
        <v>266807.85000000003</v>
      </c>
    </row>
    <row r="35" spans="1:7" x14ac:dyDescent="0.25">
      <c r="A35" s="54">
        <v>41918</v>
      </c>
      <c r="B35" s="1">
        <f t="shared" si="6"/>
        <v>1</v>
      </c>
      <c r="C35" s="14">
        <f t="shared" si="0"/>
        <v>24317</v>
      </c>
      <c r="D35" s="95">
        <f t="shared" si="1"/>
        <v>24207.35</v>
      </c>
      <c r="E35" s="96">
        <f t="shared" si="2"/>
        <v>109.65</v>
      </c>
      <c r="F35" s="14">
        <f t="shared" si="7"/>
        <v>266807.85000000003</v>
      </c>
      <c r="G35" s="14">
        <f t="shared" si="3"/>
        <v>242600.50000000003</v>
      </c>
    </row>
    <row r="36" spans="1:7" x14ac:dyDescent="0.25">
      <c r="A36" s="54">
        <v>41919</v>
      </c>
      <c r="B36" s="1">
        <f t="shared" si="6"/>
        <v>1</v>
      </c>
      <c r="C36" s="14">
        <f t="shared" si="0"/>
        <v>24317</v>
      </c>
      <c r="D36" s="95">
        <f t="shared" si="1"/>
        <v>24217.3</v>
      </c>
      <c r="E36" s="96">
        <f t="shared" si="2"/>
        <v>99.7</v>
      </c>
      <c r="F36" s="14">
        <f t="shared" si="7"/>
        <v>242600.50000000003</v>
      </c>
      <c r="G36" s="14">
        <f t="shared" si="3"/>
        <v>218383.20000000004</v>
      </c>
    </row>
    <row r="37" spans="1:7" x14ac:dyDescent="0.25">
      <c r="A37" s="54">
        <v>41920</v>
      </c>
      <c r="B37" s="1">
        <f t="shared" si="6"/>
        <v>1</v>
      </c>
      <c r="C37" s="14">
        <f t="shared" si="0"/>
        <v>24317</v>
      </c>
      <c r="D37" s="95">
        <f t="shared" si="1"/>
        <v>24227.25</v>
      </c>
      <c r="E37" s="96">
        <f t="shared" si="2"/>
        <v>89.75</v>
      </c>
      <c r="F37" s="14">
        <f t="shared" si="7"/>
        <v>218383.20000000004</v>
      </c>
      <c r="G37" s="14">
        <f t="shared" si="3"/>
        <v>194155.95000000004</v>
      </c>
    </row>
    <row r="38" spans="1:7" x14ac:dyDescent="0.25">
      <c r="A38" s="54">
        <v>41921</v>
      </c>
      <c r="B38" s="1">
        <f t="shared" si="6"/>
        <v>1</v>
      </c>
      <c r="C38" s="14">
        <f t="shared" si="0"/>
        <v>24317</v>
      </c>
      <c r="D38" s="95">
        <f t="shared" si="1"/>
        <v>24237.21</v>
      </c>
      <c r="E38" s="96">
        <f t="shared" si="2"/>
        <v>79.790000000000006</v>
      </c>
      <c r="F38" s="14">
        <f t="shared" si="7"/>
        <v>194155.95000000004</v>
      </c>
      <c r="G38" s="14">
        <f t="shared" si="3"/>
        <v>169918.74000000005</v>
      </c>
    </row>
    <row r="39" spans="1:7" x14ac:dyDescent="0.25">
      <c r="A39" s="54">
        <v>41922</v>
      </c>
      <c r="B39" s="1">
        <f t="shared" si="6"/>
        <v>1</v>
      </c>
      <c r="C39" s="14">
        <f t="shared" si="0"/>
        <v>24317</v>
      </c>
      <c r="D39" s="95">
        <f t="shared" si="1"/>
        <v>24247.17</v>
      </c>
      <c r="E39" s="96">
        <f t="shared" si="2"/>
        <v>69.83</v>
      </c>
      <c r="F39" s="14">
        <f t="shared" si="7"/>
        <v>169918.74000000005</v>
      </c>
      <c r="G39" s="14">
        <f t="shared" si="3"/>
        <v>145671.57000000007</v>
      </c>
    </row>
    <row r="40" spans="1:7" x14ac:dyDescent="0.25">
      <c r="A40" s="54">
        <v>41923</v>
      </c>
      <c r="B40" s="1">
        <f t="shared" si="6"/>
        <v>1</v>
      </c>
      <c r="C40" s="14">
        <f t="shared" si="0"/>
        <v>24317</v>
      </c>
      <c r="D40" s="95">
        <f t="shared" si="1"/>
        <v>24257.13</v>
      </c>
      <c r="E40" s="96">
        <f t="shared" si="2"/>
        <v>59.87</v>
      </c>
      <c r="F40" s="14">
        <f t="shared" si="7"/>
        <v>145671.57000000007</v>
      </c>
      <c r="G40" s="14">
        <f t="shared" si="3"/>
        <v>121414.44000000006</v>
      </c>
    </row>
    <row r="41" spans="1:7" x14ac:dyDescent="0.25">
      <c r="A41" s="54">
        <v>41924</v>
      </c>
      <c r="B41" s="1">
        <f t="shared" si="6"/>
        <v>1</v>
      </c>
      <c r="C41" s="14">
        <f t="shared" si="0"/>
        <v>24317</v>
      </c>
      <c r="D41" s="95">
        <f t="shared" si="1"/>
        <v>24267.1</v>
      </c>
      <c r="E41" s="96">
        <f t="shared" si="2"/>
        <v>49.9</v>
      </c>
      <c r="F41" s="14">
        <f t="shared" si="7"/>
        <v>121414.44000000006</v>
      </c>
      <c r="G41" s="14">
        <f t="shared" si="3"/>
        <v>97147.340000000055</v>
      </c>
    </row>
    <row r="42" spans="1:7" x14ac:dyDescent="0.25">
      <c r="A42" s="54">
        <v>41925</v>
      </c>
      <c r="B42" s="1">
        <f t="shared" si="6"/>
        <v>1</v>
      </c>
      <c r="C42" s="14">
        <f t="shared" si="0"/>
        <v>24317</v>
      </c>
      <c r="D42" s="95">
        <f t="shared" si="1"/>
        <v>24277.08</v>
      </c>
      <c r="E42" s="96">
        <f t="shared" si="2"/>
        <v>39.92</v>
      </c>
      <c r="F42" s="14">
        <f t="shared" si="7"/>
        <v>97147.340000000055</v>
      </c>
      <c r="G42" s="14">
        <f t="shared" si="3"/>
        <v>72870.260000000053</v>
      </c>
    </row>
    <row r="43" spans="1:7" x14ac:dyDescent="0.25">
      <c r="A43" s="54">
        <v>41926</v>
      </c>
      <c r="B43" s="1">
        <f t="shared" si="6"/>
        <v>1</v>
      </c>
      <c r="C43" s="14">
        <f t="shared" si="0"/>
        <v>24317</v>
      </c>
      <c r="D43" s="95">
        <f t="shared" si="1"/>
        <v>24287.05</v>
      </c>
      <c r="E43" s="96">
        <f t="shared" si="2"/>
        <v>29.95</v>
      </c>
      <c r="F43" s="14">
        <f t="shared" si="7"/>
        <v>72870.260000000053</v>
      </c>
      <c r="G43" s="14">
        <f t="shared" si="3"/>
        <v>48583.21000000005</v>
      </c>
    </row>
    <row r="44" spans="1:7" x14ac:dyDescent="0.25">
      <c r="A44" s="54">
        <v>41927</v>
      </c>
      <c r="B44" s="1">
        <f t="shared" si="6"/>
        <v>1</v>
      </c>
      <c r="C44" s="14">
        <f t="shared" si="0"/>
        <v>24317</v>
      </c>
      <c r="D44" s="95">
        <f t="shared" si="1"/>
        <v>24297.03</v>
      </c>
      <c r="E44" s="96">
        <f t="shared" si="2"/>
        <v>19.97</v>
      </c>
      <c r="F44" s="14">
        <f t="shared" si="7"/>
        <v>48583.21000000005</v>
      </c>
      <c r="G44" s="14">
        <f t="shared" si="3"/>
        <v>24286.180000000051</v>
      </c>
    </row>
    <row r="45" spans="1:7" x14ac:dyDescent="0.25">
      <c r="A45" s="54">
        <v>41928</v>
      </c>
      <c r="B45" s="1">
        <f t="shared" si="6"/>
        <v>1</v>
      </c>
      <c r="C45" s="14">
        <f t="shared" si="0"/>
        <v>24317</v>
      </c>
      <c r="D45" s="95">
        <f t="shared" si="1"/>
        <v>24286.180000000051</v>
      </c>
      <c r="E45" s="96">
        <v>30.819999999949214</v>
      </c>
      <c r="F45" s="14">
        <f t="shared" si="7"/>
        <v>24286.180000000051</v>
      </c>
      <c r="G45" s="14">
        <f t="shared" si="3"/>
        <v>0</v>
      </c>
    </row>
    <row r="46" spans="1:7" x14ac:dyDescent="0.25">
      <c r="A46" s="70">
        <v>41913</v>
      </c>
      <c r="B46" s="98">
        <f>_xlfn.DAYS(A31,A30)</f>
        <v>1</v>
      </c>
      <c r="C46" s="99">
        <f t="shared" si="0"/>
        <v>24317</v>
      </c>
      <c r="D46" s="100">
        <f>C30-E30</f>
        <v>24157.67</v>
      </c>
      <c r="E46" s="101">
        <f>ROUND(F30*$B$2*B30/365,2)</f>
        <v>159.33000000000001</v>
      </c>
      <c r="F46" s="99">
        <f>G29</f>
        <v>387695.52999999997</v>
      </c>
      <c r="G46" s="14">
        <f t="shared" si="3"/>
        <v>363537.86</v>
      </c>
    </row>
    <row r="47" spans="1:7" x14ac:dyDescent="0.25">
      <c r="A47" s="54">
        <v>41914</v>
      </c>
      <c r="B47" s="1">
        <f t="shared" si="6"/>
        <v>1</v>
      </c>
      <c r="C47" s="14">
        <f>$H$1</f>
        <v>24290</v>
      </c>
      <c r="D47" s="95">
        <f t="shared" si="1"/>
        <v>24190.400000000001</v>
      </c>
      <c r="E47" s="96">
        <f>ROUND(F47*$J$1*B47/365,2)</f>
        <v>99.6</v>
      </c>
      <c r="F47" s="14">
        <f t="shared" ref="F47:F61" si="8">G46</f>
        <v>363537.86</v>
      </c>
      <c r="G47" s="14">
        <f t="shared" si="3"/>
        <v>339347.45999999996</v>
      </c>
    </row>
    <row r="48" spans="1:7" x14ac:dyDescent="0.25">
      <c r="A48" s="54">
        <v>41915</v>
      </c>
      <c r="B48" s="1">
        <f t="shared" si="6"/>
        <v>1</v>
      </c>
      <c r="C48" s="14">
        <f t="shared" ref="C48:C61" si="9">$H$1</f>
        <v>24290</v>
      </c>
      <c r="D48" s="95">
        <f t="shared" si="1"/>
        <v>24197.03</v>
      </c>
      <c r="E48" s="96">
        <f t="shared" ref="E48:E60" si="10">ROUND(F48*$J$1*B48/365,2)</f>
        <v>92.97</v>
      </c>
      <c r="F48" s="14">
        <f t="shared" si="8"/>
        <v>339347.45999999996</v>
      </c>
      <c r="G48" s="14">
        <f t="shared" si="3"/>
        <v>315150.42999999993</v>
      </c>
    </row>
    <row r="49" spans="1:7" x14ac:dyDescent="0.25">
      <c r="A49" s="54">
        <v>41916</v>
      </c>
      <c r="B49" s="1">
        <f t="shared" si="6"/>
        <v>1</v>
      </c>
      <c r="C49" s="14">
        <f t="shared" si="9"/>
        <v>24290</v>
      </c>
      <c r="D49" s="95">
        <f t="shared" si="1"/>
        <v>24203.66</v>
      </c>
      <c r="E49" s="96">
        <f t="shared" si="10"/>
        <v>86.34</v>
      </c>
      <c r="F49" s="14">
        <f t="shared" si="8"/>
        <v>315150.42999999993</v>
      </c>
      <c r="G49" s="14">
        <f t="shared" si="3"/>
        <v>290946.76999999996</v>
      </c>
    </row>
    <row r="50" spans="1:7" x14ac:dyDescent="0.25">
      <c r="A50" s="54">
        <v>41917</v>
      </c>
      <c r="B50" s="1">
        <f t="shared" si="6"/>
        <v>1</v>
      </c>
      <c r="C50" s="14">
        <f t="shared" si="9"/>
        <v>24290</v>
      </c>
      <c r="D50" s="95">
        <f t="shared" si="1"/>
        <v>24210.29</v>
      </c>
      <c r="E50" s="96">
        <f t="shared" si="10"/>
        <v>79.709999999999994</v>
      </c>
      <c r="F50" s="14">
        <f t="shared" si="8"/>
        <v>290946.76999999996</v>
      </c>
      <c r="G50" s="14">
        <f t="shared" si="3"/>
        <v>266736.48</v>
      </c>
    </row>
    <row r="51" spans="1:7" x14ac:dyDescent="0.25">
      <c r="A51" s="54">
        <v>41918</v>
      </c>
      <c r="B51" s="1">
        <f t="shared" si="6"/>
        <v>1</v>
      </c>
      <c r="C51" s="14">
        <f t="shared" si="9"/>
        <v>24290</v>
      </c>
      <c r="D51" s="95">
        <f t="shared" si="1"/>
        <v>24216.92</v>
      </c>
      <c r="E51" s="96">
        <f t="shared" si="10"/>
        <v>73.08</v>
      </c>
      <c r="F51" s="14">
        <f t="shared" si="8"/>
        <v>266736.48</v>
      </c>
      <c r="G51" s="14">
        <f t="shared" si="3"/>
        <v>242519.56</v>
      </c>
    </row>
    <row r="52" spans="1:7" x14ac:dyDescent="0.25">
      <c r="A52" s="54">
        <v>41919</v>
      </c>
      <c r="B52" s="1">
        <f t="shared" si="6"/>
        <v>1</v>
      </c>
      <c r="C52" s="14">
        <f t="shared" si="9"/>
        <v>24290</v>
      </c>
      <c r="D52" s="95">
        <f t="shared" si="1"/>
        <v>24223.56</v>
      </c>
      <c r="E52" s="96">
        <f t="shared" si="10"/>
        <v>66.44</v>
      </c>
      <c r="F52" s="14">
        <f t="shared" si="8"/>
        <v>242519.56</v>
      </c>
      <c r="G52" s="14">
        <f t="shared" si="3"/>
        <v>218296</v>
      </c>
    </row>
    <row r="53" spans="1:7" x14ac:dyDescent="0.25">
      <c r="A53" s="54">
        <v>41920</v>
      </c>
      <c r="B53" s="1">
        <f t="shared" si="6"/>
        <v>1</v>
      </c>
      <c r="C53" s="14">
        <f t="shared" si="9"/>
        <v>24290</v>
      </c>
      <c r="D53" s="95">
        <f t="shared" si="1"/>
        <v>24230.19</v>
      </c>
      <c r="E53" s="96">
        <f t="shared" si="10"/>
        <v>59.81</v>
      </c>
      <c r="F53" s="14">
        <f t="shared" si="8"/>
        <v>218296</v>
      </c>
      <c r="G53" s="14">
        <f t="shared" si="3"/>
        <v>194065.81</v>
      </c>
    </row>
    <row r="54" spans="1:7" x14ac:dyDescent="0.25">
      <c r="A54" s="54">
        <v>41921</v>
      </c>
      <c r="B54" s="1">
        <f t="shared" si="6"/>
        <v>1</v>
      </c>
      <c r="C54" s="14">
        <f t="shared" si="9"/>
        <v>24290</v>
      </c>
      <c r="D54" s="95">
        <f t="shared" si="1"/>
        <v>24236.83</v>
      </c>
      <c r="E54" s="96">
        <f t="shared" si="10"/>
        <v>53.17</v>
      </c>
      <c r="F54" s="14">
        <f t="shared" si="8"/>
        <v>194065.81</v>
      </c>
      <c r="G54" s="14">
        <f t="shared" si="3"/>
        <v>169828.97999999998</v>
      </c>
    </row>
    <row r="55" spans="1:7" x14ac:dyDescent="0.25">
      <c r="A55" s="54">
        <v>41922</v>
      </c>
      <c r="B55" s="1">
        <f t="shared" si="6"/>
        <v>1</v>
      </c>
      <c r="C55" s="14">
        <f t="shared" si="9"/>
        <v>24290</v>
      </c>
      <c r="D55" s="95">
        <f t="shared" si="1"/>
        <v>24243.47</v>
      </c>
      <c r="E55" s="96">
        <f t="shared" si="10"/>
        <v>46.53</v>
      </c>
      <c r="F55" s="14">
        <f t="shared" si="8"/>
        <v>169828.97999999998</v>
      </c>
      <c r="G55" s="14">
        <f t="shared" si="3"/>
        <v>145585.50999999998</v>
      </c>
    </row>
    <row r="56" spans="1:7" x14ac:dyDescent="0.25">
      <c r="A56" s="54">
        <v>41923</v>
      </c>
      <c r="B56" s="1">
        <f t="shared" si="6"/>
        <v>1</v>
      </c>
      <c r="C56" s="14">
        <f t="shared" si="9"/>
        <v>24290</v>
      </c>
      <c r="D56" s="95">
        <f t="shared" si="1"/>
        <v>24250.11</v>
      </c>
      <c r="E56" s="96">
        <f t="shared" si="10"/>
        <v>39.89</v>
      </c>
      <c r="F56" s="14">
        <f t="shared" si="8"/>
        <v>145585.50999999998</v>
      </c>
      <c r="G56" s="14">
        <f t="shared" si="3"/>
        <v>121335.39999999998</v>
      </c>
    </row>
    <row r="57" spans="1:7" x14ac:dyDescent="0.25">
      <c r="A57" s="54">
        <v>41924</v>
      </c>
      <c r="B57" s="1">
        <f t="shared" si="6"/>
        <v>1</v>
      </c>
      <c r="C57" s="14">
        <f t="shared" si="9"/>
        <v>24290</v>
      </c>
      <c r="D57" s="95">
        <f t="shared" si="1"/>
        <v>24256.76</v>
      </c>
      <c r="E57" s="96">
        <f t="shared" si="10"/>
        <v>33.24</v>
      </c>
      <c r="F57" s="14">
        <f t="shared" si="8"/>
        <v>121335.39999999998</v>
      </c>
      <c r="G57" s="14">
        <f t="shared" si="3"/>
        <v>97078.639999999985</v>
      </c>
    </row>
    <row r="58" spans="1:7" x14ac:dyDescent="0.25">
      <c r="A58" s="54">
        <v>41925</v>
      </c>
      <c r="B58" s="1">
        <f t="shared" si="6"/>
        <v>1</v>
      </c>
      <c r="C58" s="14">
        <f t="shared" si="9"/>
        <v>24290</v>
      </c>
      <c r="D58" s="95">
        <f t="shared" si="1"/>
        <v>24263.4</v>
      </c>
      <c r="E58" s="96">
        <f t="shared" si="10"/>
        <v>26.6</v>
      </c>
      <c r="F58" s="14">
        <f t="shared" si="8"/>
        <v>97078.639999999985</v>
      </c>
      <c r="G58" s="14">
        <f t="shared" si="3"/>
        <v>72815.239999999991</v>
      </c>
    </row>
    <row r="59" spans="1:7" x14ac:dyDescent="0.25">
      <c r="A59" s="54">
        <v>41926</v>
      </c>
      <c r="B59" s="1">
        <f t="shared" si="6"/>
        <v>1</v>
      </c>
      <c r="C59" s="14">
        <f t="shared" si="9"/>
        <v>24290</v>
      </c>
      <c r="D59" s="95">
        <f t="shared" si="1"/>
        <v>24270.05</v>
      </c>
      <c r="E59" s="96">
        <f t="shared" si="10"/>
        <v>19.95</v>
      </c>
      <c r="F59" s="14">
        <f t="shared" si="8"/>
        <v>72815.239999999991</v>
      </c>
      <c r="G59" s="14">
        <f t="shared" si="3"/>
        <v>48545.189999999988</v>
      </c>
    </row>
    <row r="60" spans="1:7" x14ac:dyDescent="0.25">
      <c r="A60" s="54">
        <v>41927</v>
      </c>
      <c r="B60" s="1">
        <f t="shared" si="6"/>
        <v>1</v>
      </c>
      <c r="C60" s="14">
        <f t="shared" si="9"/>
        <v>24290</v>
      </c>
      <c r="D60" s="95">
        <f t="shared" si="1"/>
        <v>24276.7</v>
      </c>
      <c r="E60" s="96">
        <f t="shared" si="10"/>
        <v>13.3</v>
      </c>
      <c r="F60" s="14">
        <f t="shared" si="8"/>
        <v>48545.189999999988</v>
      </c>
      <c r="G60" s="14">
        <f t="shared" si="3"/>
        <v>24268.489999999987</v>
      </c>
    </row>
    <row r="61" spans="1:7" x14ac:dyDescent="0.25">
      <c r="A61" s="54">
        <v>41928</v>
      </c>
      <c r="B61" s="1">
        <f t="shared" si="6"/>
        <v>1</v>
      </c>
      <c r="C61" s="14">
        <f t="shared" si="9"/>
        <v>24290</v>
      </c>
      <c r="D61" s="95">
        <f t="shared" si="1"/>
        <v>24268.489999999987</v>
      </c>
      <c r="E61" s="96">
        <v>21.510000000011495</v>
      </c>
      <c r="F61" s="14">
        <f t="shared" si="8"/>
        <v>24268.489999999987</v>
      </c>
      <c r="G61" s="14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7B58C2-4F93-4FE3-A485-DE9B4D007AE1}">
  <dimension ref="A1:R2"/>
  <sheetViews>
    <sheetView workbookViewId="0">
      <selection activeCell="Q2" sqref="Q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6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29</v>
      </c>
      <c r="J2" s="8" t="s">
        <v>42</v>
      </c>
      <c r="K2" s="8" t="s">
        <v>25</v>
      </c>
      <c r="L2" s="8" t="s">
        <v>326</v>
      </c>
      <c r="M2" s="8" t="s">
        <v>27</v>
      </c>
      <c r="N2" s="20" t="s">
        <v>29</v>
      </c>
      <c r="O2" s="20" t="s">
        <v>206</v>
      </c>
      <c r="P2" s="20" t="s">
        <v>104</v>
      </c>
      <c r="Q2" s="20" t="s">
        <v>13</v>
      </c>
      <c r="R2" s="8" t="s">
        <v>329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C47460-F309-47B3-8FD3-9C97341AAA43}">
  <dimension ref="A1:J55"/>
  <sheetViews>
    <sheetView zoomScaleNormal="100" workbookViewId="0">
      <pane ySplit="3" topLeftCell="A46" activePane="bottomLeft" state="frozen"/>
      <selection activeCell="Q2" sqref="Q2"/>
      <selection pane="bottomLeft" activeCell="Q2" sqref="Q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5703125" bestFit="1" customWidth="1"/>
    <col min="5" max="5" width="16.5703125" bestFit="1" customWidth="1"/>
    <col min="6" max="6" width="16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10.570312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ROUNDUP(24316.5073855909,0)</f>
        <v>24317</v>
      </c>
      <c r="E1" s="73" t="s">
        <v>147</v>
      </c>
      <c r="F1" s="20" t="s">
        <v>206</v>
      </c>
      <c r="G1" s="73" t="s">
        <v>150</v>
      </c>
      <c r="H1" s="79">
        <f>ROUNDUP(40476.1422100944,0)</f>
        <v>40477</v>
      </c>
      <c r="I1" s="73" t="s">
        <v>331</v>
      </c>
      <c r="J1" s="117">
        <v>36</v>
      </c>
    </row>
    <row r="2" spans="1:10" x14ac:dyDescent="0.25">
      <c r="A2" s="17" t="s">
        <v>34</v>
      </c>
      <c r="B2" s="18">
        <v>0.15</v>
      </c>
    </row>
    <row r="3" spans="1:10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_xlfn.DAYS(A4,B1)</f>
        <v>31</v>
      </c>
      <c r="C4" s="14">
        <f t="shared" ref="C4:C46" si="0">$D$1</f>
        <v>24317</v>
      </c>
      <c r="D4" s="95">
        <f t="shared" ref="D4:D55" si="1">C4-E4</f>
        <v>11577.27</v>
      </c>
      <c r="E4" s="96">
        <f t="shared" ref="E4:E44" si="2">ROUND(F4*$B$2*B4/365,2)</f>
        <v>12739.73</v>
      </c>
      <c r="F4" s="14">
        <v>1000000</v>
      </c>
      <c r="G4" s="14">
        <f t="shared" ref="G4:G55" si="3">F4-D4</f>
        <v>988422.73</v>
      </c>
      <c r="H4" s="14">
        <f t="shared" ref="H4:H9" si="4">F4*$B$2*B4/365</f>
        <v>12739.726027397261</v>
      </c>
      <c r="I4" s="16">
        <f t="shared" ref="I4:I9" si="5">H4-E4</f>
        <v>-3.9726027389406227E-3</v>
      </c>
    </row>
    <row r="5" spans="1:10" x14ac:dyDescent="0.25">
      <c r="A5" s="54">
        <v>41888</v>
      </c>
      <c r="B5" s="1">
        <f t="shared" ref="B5:B55" si="6">_xlfn.DAYS(A5,A4)</f>
        <v>1</v>
      </c>
      <c r="C5" s="14">
        <f t="shared" si="0"/>
        <v>24317</v>
      </c>
      <c r="D5" s="95">
        <f t="shared" si="1"/>
        <v>23910.799999999999</v>
      </c>
      <c r="E5" s="96">
        <f t="shared" si="2"/>
        <v>406.2</v>
      </c>
      <c r="F5" s="14">
        <f t="shared" ref="F5:F45" si="7">G4</f>
        <v>988422.73</v>
      </c>
      <c r="G5" s="14">
        <f t="shared" si="3"/>
        <v>964511.92999999993</v>
      </c>
      <c r="H5" s="14">
        <f t="shared" si="4"/>
        <v>406.20112191780817</v>
      </c>
      <c r="I5" s="16">
        <f t="shared" si="5"/>
        <v>1.1219178081773862E-3</v>
      </c>
    </row>
    <row r="6" spans="1:10" x14ac:dyDescent="0.25">
      <c r="A6" s="54">
        <v>41889</v>
      </c>
      <c r="B6" s="1">
        <f t="shared" si="6"/>
        <v>1</v>
      </c>
      <c r="C6" s="14">
        <f t="shared" si="0"/>
        <v>24317</v>
      </c>
      <c r="D6" s="95">
        <f t="shared" si="1"/>
        <v>23920.63</v>
      </c>
      <c r="E6" s="96">
        <f t="shared" si="2"/>
        <v>396.37</v>
      </c>
      <c r="F6" s="14">
        <f t="shared" si="7"/>
        <v>964511.92999999993</v>
      </c>
      <c r="G6" s="14">
        <f t="shared" si="3"/>
        <v>940591.29999999993</v>
      </c>
      <c r="H6" s="14">
        <f t="shared" si="4"/>
        <v>396.37476575342464</v>
      </c>
      <c r="I6" s="16">
        <f t="shared" si="5"/>
        <v>4.7657534246354771E-3</v>
      </c>
    </row>
    <row r="7" spans="1:10" x14ac:dyDescent="0.25">
      <c r="A7" s="54">
        <v>41890</v>
      </c>
      <c r="B7" s="1">
        <f t="shared" si="6"/>
        <v>1</v>
      </c>
      <c r="C7" s="14">
        <f t="shared" si="0"/>
        <v>24317</v>
      </c>
      <c r="D7" s="95">
        <f t="shared" si="1"/>
        <v>23930.46</v>
      </c>
      <c r="E7" s="96">
        <f t="shared" si="2"/>
        <v>386.54</v>
      </c>
      <c r="F7" s="14">
        <f t="shared" si="7"/>
        <v>940591.29999999993</v>
      </c>
      <c r="G7" s="14">
        <f t="shared" si="3"/>
        <v>916660.84</v>
      </c>
      <c r="H7" s="14">
        <f t="shared" si="4"/>
        <v>386.54436986301363</v>
      </c>
      <c r="I7" s="16">
        <f t="shared" si="5"/>
        <v>4.3698630136077554E-3</v>
      </c>
    </row>
    <row r="8" spans="1:10" x14ac:dyDescent="0.25">
      <c r="A8" s="54">
        <v>41891</v>
      </c>
      <c r="B8" s="1">
        <f t="shared" si="6"/>
        <v>1</v>
      </c>
      <c r="C8" s="14">
        <f t="shared" si="0"/>
        <v>24317</v>
      </c>
      <c r="D8" s="95">
        <f t="shared" si="1"/>
        <v>23940.29</v>
      </c>
      <c r="E8" s="96">
        <f t="shared" si="2"/>
        <v>376.71</v>
      </c>
      <c r="F8" s="14">
        <f t="shared" si="7"/>
        <v>916660.84</v>
      </c>
      <c r="G8" s="14">
        <f t="shared" si="3"/>
        <v>892720.54999999993</v>
      </c>
      <c r="H8" s="14">
        <f t="shared" si="4"/>
        <v>376.7099342465753</v>
      </c>
      <c r="I8" s="16">
        <f t="shared" si="5"/>
        <v>-6.5753424678405281E-5</v>
      </c>
    </row>
    <row r="9" spans="1:10" x14ac:dyDescent="0.25">
      <c r="A9" s="54">
        <v>41892</v>
      </c>
      <c r="B9" s="1">
        <f t="shared" si="6"/>
        <v>1</v>
      </c>
      <c r="C9" s="14">
        <f t="shared" si="0"/>
        <v>24317</v>
      </c>
      <c r="D9" s="95">
        <f t="shared" si="1"/>
        <v>23950.13</v>
      </c>
      <c r="E9" s="96">
        <f t="shared" si="2"/>
        <v>366.87</v>
      </c>
      <c r="F9" s="14">
        <f t="shared" si="7"/>
        <v>892720.54999999993</v>
      </c>
      <c r="G9" s="14">
        <f t="shared" si="3"/>
        <v>868770.41999999993</v>
      </c>
      <c r="H9" s="99">
        <f t="shared" si="4"/>
        <v>366.87145890410955</v>
      </c>
      <c r="I9" s="112">
        <f t="shared" si="5"/>
        <v>1.4589041095405264E-3</v>
      </c>
    </row>
    <row r="10" spans="1:10" x14ac:dyDescent="0.25">
      <c r="A10" s="54">
        <v>41893</v>
      </c>
      <c r="B10" s="1">
        <f t="shared" si="6"/>
        <v>1</v>
      </c>
      <c r="C10" s="14">
        <f t="shared" si="0"/>
        <v>24317</v>
      </c>
      <c r="D10" s="95">
        <f t="shared" si="1"/>
        <v>23959.97</v>
      </c>
      <c r="E10" s="96">
        <f t="shared" si="2"/>
        <v>357.03</v>
      </c>
      <c r="F10" s="14">
        <f t="shared" si="7"/>
        <v>868770.41999999993</v>
      </c>
      <c r="G10" s="14">
        <f t="shared" si="3"/>
        <v>844810.45</v>
      </c>
      <c r="H10" s="14"/>
      <c r="I10" s="16"/>
    </row>
    <row r="11" spans="1:10" x14ac:dyDescent="0.25">
      <c r="A11" s="54">
        <v>41894</v>
      </c>
      <c r="B11" s="1">
        <f t="shared" si="6"/>
        <v>1</v>
      </c>
      <c r="C11" s="14">
        <f t="shared" si="0"/>
        <v>24317</v>
      </c>
      <c r="D11" s="95">
        <f t="shared" si="1"/>
        <v>23969.82</v>
      </c>
      <c r="E11" s="96">
        <f t="shared" si="2"/>
        <v>347.18</v>
      </c>
      <c r="F11" s="14">
        <f t="shared" si="7"/>
        <v>844810.45</v>
      </c>
      <c r="G11" s="14">
        <f t="shared" si="3"/>
        <v>820840.63</v>
      </c>
      <c r="H11" s="14"/>
      <c r="I11" s="16"/>
    </row>
    <row r="12" spans="1:10" x14ac:dyDescent="0.25">
      <c r="A12" s="54">
        <v>41895</v>
      </c>
      <c r="B12" s="1">
        <f t="shared" si="6"/>
        <v>1</v>
      </c>
      <c r="C12" s="14">
        <f t="shared" si="0"/>
        <v>24317</v>
      </c>
      <c r="D12" s="95">
        <f t="shared" si="1"/>
        <v>23979.67</v>
      </c>
      <c r="E12" s="96">
        <f t="shared" si="2"/>
        <v>337.33</v>
      </c>
      <c r="F12" s="14">
        <f t="shared" si="7"/>
        <v>820840.63</v>
      </c>
      <c r="G12" s="14">
        <f t="shared" si="3"/>
        <v>796860.96</v>
      </c>
      <c r="H12" s="14"/>
      <c r="I12" s="16"/>
    </row>
    <row r="13" spans="1:10" x14ac:dyDescent="0.25">
      <c r="A13" s="54">
        <v>41896</v>
      </c>
      <c r="B13" s="1">
        <f t="shared" si="6"/>
        <v>1</v>
      </c>
      <c r="C13" s="14">
        <f t="shared" si="0"/>
        <v>24317</v>
      </c>
      <c r="D13" s="95">
        <f t="shared" si="1"/>
        <v>23989.52</v>
      </c>
      <c r="E13" s="96">
        <f t="shared" si="2"/>
        <v>327.48</v>
      </c>
      <c r="F13" s="14">
        <f t="shared" si="7"/>
        <v>796860.96</v>
      </c>
      <c r="G13" s="14">
        <f t="shared" si="3"/>
        <v>772871.44</v>
      </c>
      <c r="H13" s="14"/>
      <c r="I13" s="16"/>
    </row>
    <row r="14" spans="1:10" x14ac:dyDescent="0.25">
      <c r="A14" s="54">
        <v>41897</v>
      </c>
      <c r="B14" s="1">
        <f t="shared" si="6"/>
        <v>1</v>
      </c>
      <c r="C14" s="14">
        <f t="shared" si="0"/>
        <v>24317</v>
      </c>
      <c r="D14" s="95">
        <f t="shared" si="1"/>
        <v>23999.38</v>
      </c>
      <c r="E14" s="96">
        <f t="shared" si="2"/>
        <v>317.62</v>
      </c>
      <c r="F14" s="14">
        <f t="shared" si="7"/>
        <v>772871.44</v>
      </c>
      <c r="G14" s="14">
        <f t="shared" si="3"/>
        <v>748872.05999999994</v>
      </c>
      <c r="H14" s="14"/>
      <c r="I14" s="16"/>
    </row>
    <row r="15" spans="1:10" x14ac:dyDescent="0.25">
      <c r="A15" s="54">
        <v>41898</v>
      </c>
      <c r="B15" s="1">
        <f t="shared" si="6"/>
        <v>1</v>
      </c>
      <c r="C15" s="14">
        <f t="shared" si="0"/>
        <v>24317</v>
      </c>
      <c r="D15" s="95">
        <f t="shared" si="1"/>
        <v>24009.24</v>
      </c>
      <c r="E15" s="96">
        <f t="shared" si="2"/>
        <v>307.76</v>
      </c>
      <c r="F15" s="14">
        <f t="shared" si="7"/>
        <v>748872.05999999994</v>
      </c>
      <c r="G15" s="14">
        <f t="shared" si="3"/>
        <v>724862.82</v>
      </c>
      <c r="H15" s="114"/>
      <c r="I15" s="115"/>
    </row>
    <row r="16" spans="1:10" x14ac:dyDescent="0.25">
      <c r="A16" s="54">
        <v>41899</v>
      </c>
      <c r="B16" s="1">
        <f t="shared" si="6"/>
        <v>1</v>
      </c>
      <c r="C16" s="14">
        <f t="shared" si="0"/>
        <v>24317</v>
      </c>
      <c r="D16" s="95">
        <f t="shared" si="1"/>
        <v>24019.11</v>
      </c>
      <c r="E16" s="96">
        <f t="shared" si="2"/>
        <v>297.89</v>
      </c>
      <c r="F16" s="14">
        <f t="shared" si="7"/>
        <v>724862.82</v>
      </c>
      <c r="G16" s="14">
        <f t="shared" si="3"/>
        <v>700843.71</v>
      </c>
    </row>
    <row r="17" spans="1:7" x14ac:dyDescent="0.25">
      <c r="A17" s="54">
        <v>41900</v>
      </c>
      <c r="B17" s="1">
        <f t="shared" si="6"/>
        <v>1</v>
      </c>
      <c r="C17" s="14">
        <f t="shared" si="0"/>
        <v>24317</v>
      </c>
      <c r="D17" s="95">
        <f t="shared" si="1"/>
        <v>24028.98</v>
      </c>
      <c r="E17" s="96">
        <f t="shared" si="2"/>
        <v>288.02</v>
      </c>
      <c r="F17" s="14">
        <f t="shared" si="7"/>
        <v>700843.71</v>
      </c>
      <c r="G17" s="14">
        <f t="shared" si="3"/>
        <v>676814.73</v>
      </c>
    </row>
    <row r="18" spans="1:7" x14ac:dyDescent="0.25">
      <c r="A18" s="54">
        <v>41901</v>
      </c>
      <c r="B18" s="1">
        <f t="shared" si="6"/>
        <v>1</v>
      </c>
      <c r="C18" s="14">
        <f t="shared" si="0"/>
        <v>24317</v>
      </c>
      <c r="D18" s="95">
        <f t="shared" si="1"/>
        <v>24038.86</v>
      </c>
      <c r="E18" s="96">
        <f t="shared" si="2"/>
        <v>278.14</v>
      </c>
      <c r="F18" s="14">
        <f t="shared" si="7"/>
        <v>676814.73</v>
      </c>
      <c r="G18" s="14">
        <f t="shared" si="3"/>
        <v>652775.87</v>
      </c>
    </row>
    <row r="19" spans="1:7" x14ac:dyDescent="0.25">
      <c r="A19" s="54">
        <v>41902</v>
      </c>
      <c r="B19" s="1">
        <f t="shared" si="6"/>
        <v>1</v>
      </c>
      <c r="C19" s="14">
        <f t="shared" si="0"/>
        <v>24317</v>
      </c>
      <c r="D19" s="95">
        <f t="shared" si="1"/>
        <v>24048.74</v>
      </c>
      <c r="E19" s="96">
        <f t="shared" si="2"/>
        <v>268.26</v>
      </c>
      <c r="F19" s="14">
        <f t="shared" si="7"/>
        <v>652775.87</v>
      </c>
      <c r="G19" s="14">
        <f t="shared" si="3"/>
        <v>628727.13</v>
      </c>
    </row>
    <row r="20" spans="1:7" x14ac:dyDescent="0.25">
      <c r="A20" s="54">
        <v>41903</v>
      </c>
      <c r="B20" s="1">
        <f t="shared" si="6"/>
        <v>1</v>
      </c>
      <c r="C20" s="14">
        <f t="shared" si="0"/>
        <v>24317</v>
      </c>
      <c r="D20" s="95">
        <f t="shared" si="1"/>
        <v>24058.62</v>
      </c>
      <c r="E20" s="96">
        <f t="shared" si="2"/>
        <v>258.38</v>
      </c>
      <c r="F20" s="14">
        <f t="shared" si="7"/>
        <v>628727.13</v>
      </c>
      <c r="G20" s="14">
        <f t="shared" si="3"/>
        <v>604668.51</v>
      </c>
    </row>
    <row r="21" spans="1:7" x14ac:dyDescent="0.25">
      <c r="A21" s="54">
        <v>41904</v>
      </c>
      <c r="B21" s="1">
        <f t="shared" si="6"/>
        <v>1</v>
      </c>
      <c r="C21" s="14">
        <f t="shared" si="0"/>
        <v>24317</v>
      </c>
      <c r="D21" s="95">
        <f t="shared" si="1"/>
        <v>24068.51</v>
      </c>
      <c r="E21" s="96">
        <f t="shared" si="2"/>
        <v>248.49</v>
      </c>
      <c r="F21" s="14">
        <f t="shared" si="7"/>
        <v>604668.51</v>
      </c>
      <c r="G21" s="14">
        <f t="shared" si="3"/>
        <v>580600</v>
      </c>
    </row>
    <row r="22" spans="1:7" x14ac:dyDescent="0.25">
      <c r="A22" s="54">
        <v>41905</v>
      </c>
      <c r="B22" s="1">
        <f t="shared" si="6"/>
        <v>1</v>
      </c>
      <c r="C22" s="14">
        <f t="shared" si="0"/>
        <v>24317</v>
      </c>
      <c r="D22" s="95">
        <f t="shared" si="1"/>
        <v>24078.400000000001</v>
      </c>
      <c r="E22" s="96">
        <f t="shared" si="2"/>
        <v>238.6</v>
      </c>
      <c r="F22" s="14">
        <f t="shared" si="7"/>
        <v>580600</v>
      </c>
      <c r="G22" s="14">
        <f t="shared" si="3"/>
        <v>556521.6</v>
      </c>
    </row>
    <row r="23" spans="1:7" x14ac:dyDescent="0.25">
      <c r="A23" s="54">
        <v>41906</v>
      </c>
      <c r="B23" s="1">
        <f t="shared" si="6"/>
        <v>1</v>
      </c>
      <c r="C23" s="14">
        <f t="shared" si="0"/>
        <v>24317</v>
      </c>
      <c r="D23" s="95">
        <f t="shared" si="1"/>
        <v>24088.29</v>
      </c>
      <c r="E23" s="96">
        <f t="shared" si="2"/>
        <v>228.71</v>
      </c>
      <c r="F23" s="14">
        <f t="shared" si="7"/>
        <v>556521.6</v>
      </c>
      <c r="G23" s="14">
        <f t="shared" si="3"/>
        <v>532433.30999999994</v>
      </c>
    </row>
    <row r="24" spans="1:7" x14ac:dyDescent="0.25">
      <c r="A24" s="54">
        <v>41907</v>
      </c>
      <c r="B24" s="1">
        <f t="shared" si="6"/>
        <v>1</v>
      </c>
      <c r="C24" s="14">
        <f t="shared" si="0"/>
        <v>24317</v>
      </c>
      <c r="D24" s="95">
        <f t="shared" si="1"/>
        <v>24098.19</v>
      </c>
      <c r="E24" s="96">
        <f t="shared" si="2"/>
        <v>218.81</v>
      </c>
      <c r="F24" s="14">
        <f t="shared" si="7"/>
        <v>532433.30999999994</v>
      </c>
      <c r="G24" s="14">
        <f t="shared" si="3"/>
        <v>508335.11999999994</v>
      </c>
    </row>
    <row r="25" spans="1:7" x14ac:dyDescent="0.25">
      <c r="A25" s="54">
        <v>41908</v>
      </c>
      <c r="B25" s="1">
        <f t="shared" si="6"/>
        <v>1</v>
      </c>
      <c r="C25" s="14">
        <f t="shared" si="0"/>
        <v>24317</v>
      </c>
      <c r="D25" s="95">
        <f t="shared" si="1"/>
        <v>24108.1</v>
      </c>
      <c r="E25" s="96">
        <f t="shared" si="2"/>
        <v>208.9</v>
      </c>
      <c r="F25" s="14">
        <f t="shared" si="7"/>
        <v>508335.11999999994</v>
      </c>
      <c r="G25" s="14">
        <f t="shared" si="3"/>
        <v>484227.01999999996</v>
      </c>
    </row>
    <row r="26" spans="1:7" x14ac:dyDescent="0.25">
      <c r="A26" s="54">
        <v>41909</v>
      </c>
      <c r="B26" s="1">
        <f t="shared" si="6"/>
        <v>1</v>
      </c>
      <c r="C26" s="14">
        <f t="shared" si="0"/>
        <v>24317</v>
      </c>
      <c r="D26" s="95">
        <f t="shared" si="1"/>
        <v>24118</v>
      </c>
      <c r="E26" s="96">
        <f t="shared" si="2"/>
        <v>199</v>
      </c>
      <c r="F26" s="14">
        <f t="shared" si="7"/>
        <v>484227.01999999996</v>
      </c>
      <c r="G26" s="14">
        <f t="shared" si="3"/>
        <v>460109.01999999996</v>
      </c>
    </row>
    <row r="27" spans="1:7" x14ac:dyDescent="0.25">
      <c r="A27" s="54">
        <v>41910</v>
      </c>
      <c r="B27" s="1">
        <f t="shared" si="6"/>
        <v>1</v>
      </c>
      <c r="C27" s="14">
        <f t="shared" si="0"/>
        <v>24317</v>
      </c>
      <c r="D27" s="95">
        <f t="shared" si="1"/>
        <v>24127.91</v>
      </c>
      <c r="E27" s="96">
        <f t="shared" si="2"/>
        <v>189.09</v>
      </c>
      <c r="F27" s="14">
        <f t="shared" si="7"/>
        <v>460109.01999999996</v>
      </c>
      <c r="G27" s="14">
        <f t="shared" si="3"/>
        <v>435981.11</v>
      </c>
    </row>
    <row r="28" spans="1:7" x14ac:dyDescent="0.25">
      <c r="A28" s="54">
        <v>41911</v>
      </c>
      <c r="B28" s="1">
        <f t="shared" si="6"/>
        <v>1</v>
      </c>
      <c r="C28" s="14">
        <f t="shared" si="0"/>
        <v>24317</v>
      </c>
      <c r="D28" s="95">
        <f t="shared" si="1"/>
        <v>24137.83</v>
      </c>
      <c r="E28" s="96">
        <f t="shared" si="2"/>
        <v>179.17</v>
      </c>
      <c r="F28" s="14">
        <f t="shared" si="7"/>
        <v>435981.11</v>
      </c>
      <c r="G28" s="14">
        <f t="shared" si="3"/>
        <v>411843.27999999997</v>
      </c>
    </row>
    <row r="29" spans="1:7" x14ac:dyDescent="0.25">
      <c r="A29" s="54">
        <v>41912</v>
      </c>
      <c r="B29" s="1">
        <f t="shared" si="6"/>
        <v>1</v>
      </c>
      <c r="C29" s="14">
        <f t="shared" si="0"/>
        <v>24317</v>
      </c>
      <c r="D29" s="95">
        <f t="shared" si="1"/>
        <v>24147.75</v>
      </c>
      <c r="E29" s="96">
        <f t="shared" si="2"/>
        <v>169.25</v>
      </c>
      <c r="F29" s="14">
        <f t="shared" si="7"/>
        <v>411843.27999999997</v>
      </c>
      <c r="G29" s="14">
        <f t="shared" si="3"/>
        <v>387695.52999999997</v>
      </c>
    </row>
    <row r="30" spans="1:7" x14ac:dyDescent="0.25">
      <c r="A30" s="54">
        <v>41913</v>
      </c>
      <c r="B30" s="1">
        <f t="shared" si="6"/>
        <v>1</v>
      </c>
      <c r="C30" s="14">
        <f t="shared" si="0"/>
        <v>24317</v>
      </c>
      <c r="D30" s="95">
        <f t="shared" si="1"/>
        <v>24157.67</v>
      </c>
      <c r="E30" s="96">
        <f t="shared" si="2"/>
        <v>159.33000000000001</v>
      </c>
      <c r="F30" s="14">
        <f t="shared" si="7"/>
        <v>387695.52999999997</v>
      </c>
      <c r="G30" s="14">
        <f t="shared" si="3"/>
        <v>363537.86</v>
      </c>
    </row>
    <row r="31" spans="1:7" x14ac:dyDescent="0.25">
      <c r="A31" s="54">
        <v>41914</v>
      </c>
      <c r="B31" s="1">
        <f t="shared" si="6"/>
        <v>1</v>
      </c>
      <c r="C31" s="14">
        <f t="shared" si="0"/>
        <v>24317</v>
      </c>
      <c r="D31" s="95">
        <f t="shared" si="1"/>
        <v>24167.599999999999</v>
      </c>
      <c r="E31" s="96">
        <f t="shared" si="2"/>
        <v>149.4</v>
      </c>
      <c r="F31" s="14">
        <f t="shared" si="7"/>
        <v>363537.86</v>
      </c>
      <c r="G31" s="14">
        <f t="shared" si="3"/>
        <v>339370.26</v>
      </c>
    </row>
    <row r="32" spans="1:7" x14ac:dyDescent="0.25">
      <c r="A32" s="54">
        <v>41915</v>
      </c>
      <c r="B32" s="1">
        <f t="shared" si="6"/>
        <v>1</v>
      </c>
      <c r="C32" s="14">
        <f t="shared" si="0"/>
        <v>24317</v>
      </c>
      <c r="D32" s="95">
        <f t="shared" si="1"/>
        <v>24177.53</v>
      </c>
      <c r="E32" s="96">
        <f t="shared" si="2"/>
        <v>139.47</v>
      </c>
      <c r="F32" s="14">
        <f t="shared" si="7"/>
        <v>339370.26</v>
      </c>
      <c r="G32" s="14">
        <f t="shared" si="3"/>
        <v>315192.73</v>
      </c>
    </row>
    <row r="33" spans="1:7" x14ac:dyDescent="0.25">
      <c r="A33" s="54">
        <v>41916</v>
      </c>
      <c r="B33" s="1">
        <f t="shared" si="6"/>
        <v>1</v>
      </c>
      <c r="C33" s="14">
        <f t="shared" si="0"/>
        <v>24317</v>
      </c>
      <c r="D33" s="95">
        <f t="shared" si="1"/>
        <v>24187.47</v>
      </c>
      <c r="E33" s="96">
        <f t="shared" si="2"/>
        <v>129.53</v>
      </c>
      <c r="F33" s="14">
        <f t="shared" si="7"/>
        <v>315192.73</v>
      </c>
      <c r="G33" s="14">
        <f t="shared" si="3"/>
        <v>291005.26</v>
      </c>
    </row>
    <row r="34" spans="1:7" x14ac:dyDescent="0.25">
      <c r="A34" s="54">
        <v>41917</v>
      </c>
      <c r="B34" s="1">
        <f t="shared" si="6"/>
        <v>1</v>
      </c>
      <c r="C34" s="14">
        <f t="shared" si="0"/>
        <v>24317</v>
      </c>
      <c r="D34" s="95">
        <f t="shared" si="1"/>
        <v>24197.41</v>
      </c>
      <c r="E34" s="96">
        <f t="shared" si="2"/>
        <v>119.59</v>
      </c>
      <c r="F34" s="14">
        <f t="shared" si="7"/>
        <v>291005.26</v>
      </c>
      <c r="G34" s="14">
        <f t="shared" si="3"/>
        <v>266807.85000000003</v>
      </c>
    </row>
    <row r="35" spans="1:7" x14ac:dyDescent="0.25">
      <c r="A35" s="54">
        <v>41918</v>
      </c>
      <c r="B35" s="1">
        <f t="shared" si="6"/>
        <v>1</v>
      </c>
      <c r="C35" s="14">
        <f t="shared" si="0"/>
        <v>24317</v>
      </c>
      <c r="D35" s="95">
        <f t="shared" si="1"/>
        <v>24207.35</v>
      </c>
      <c r="E35" s="96">
        <f t="shared" si="2"/>
        <v>109.65</v>
      </c>
      <c r="F35" s="14">
        <f t="shared" si="7"/>
        <v>266807.85000000003</v>
      </c>
      <c r="G35" s="14">
        <f t="shared" si="3"/>
        <v>242600.50000000003</v>
      </c>
    </row>
    <row r="36" spans="1:7" x14ac:dyDescent="0.25">
      <c r="A36" s="54">
        <v>41919</v>
      </c>
      <c r="B36" s="1">
        <f t="shared" si="6"/>
        <v>1</v>
      </c>
      <c r="C36" s="14">
        <f t="shared" si="0"/>
        <v>24317</v>
      </c>
      <c r="D36" s="95">
        <f t="shared" si="1"/>
        <v>24217.3</v>
      </c>
      <c r="E36" s="96">
        <f t="shared" si="2"/>
        <v>99.7</v>
      </c>
      <c r="F36" s="14">
        <f t="shared" si="7"/>
        <v>242600.50000000003</v>
      </c>
      <c r="G36" s="14">
        <f t="shared" si="3"/>
        <v>218383.20000000004</v>
      </c>
    </row>
    <row r="37" spans="1:7" x14ac:dyDescent="0.25">
      <c r="A37" s="54">
        <v>41920</v>
      </c>
      <c r="B37" s="1">
        <f t="shared" si="6"/>
        <v>1</v>
      </c>
      <c r="C37" s="14">
        <f t="shared" si="0"/>
        <v>24317</v>
      </c>
      <c r="D37" s="95">
        <f t="shared" si="1"/>
        <v>24227.25</v>
      </c>
      <c r="E37" s="96">
        <f t="shared" si="2"/>
        <v>89.75</v>
      </c>
      <c r="F37" s="14">
        <f t="shared" si="7"/>
        <v>218383.20000000004</v>
      </c>
      <c r="G37" s="14">
        <f t="shared" si="3"/>
        <v>194155.95000000004</v>
      </c>
    </row>
    <row r="38" spans="1:7" x14ac:dyDescent="0.25">
      <c r="A38" s="54">
        <v>41921</v>
      </c>
      <c r="B38" s="1">
        <f t="shared" si="6"/>
        <v>1</v>
      </c>
      <c r="C38" s="14">
        <f t="shared" si="0"/>
        <v>24317</v>
      </c>
      <c r="D38" s="95">
        <f t="shared" si="1"/>
        <v>24237.21</v>
      </c>
      <c r="E38" s="96">
        <f t="shared" si="2"/>
        <v>79.790000000000006</v>
      </c>
      <c r="F38" s="14">
        <f t="shared" si="7"/>
        <v>194155.95000000004</v>
      </c>
      <c r="G38" s="14">
        <f t="shared" si="3"/>
        <v>169918.74000000005</v>
      </c>
    </row>
    <row r="39" spans="1:7" x14ac:dyDescent="0.25">
      <c r="A39" s="54">
        <v>41922</v>
      </c>
      <c r="B39" s="1">
        <f t="shared" si="6"/>
        <v>1</v>
      </c>
      <c r="C39" s="14">
        <f t="shared" si="0"/>
        <v>24317</v>
      </c>
      <c r="D39" s="95">
        <f t="shared" si="1"/>
        <v>24247.17</v>
      </c>
      <c r="E39" s="96">
        <f t="shared" si="2"/>
        <v>69.83</v>
      </c>
      <c r="F39" s="14">
        <f t="shared" si="7"/>
        <v>169918.74000000005</v>
      </c>
      <c r="G39" s="14">
        <f t="shared" si="3"/>
        <v>145671.57000000007</v>
      </c>
    </row>
    <row r="40" spans="1:7" x14ac:dyDescent="0.25">
      <c r="A40" s="54">
        <v>41923</v>
      </c>
      <c r="B40" s="1">
        <f t="shared" si="6"/>
        <v>1</v>
      </c>
      <c r="C40" s="14">
        <f t="shared" si="0"/>
        <v>24317</v>
      </c>
      <c r="D40" s="95">
        <f t="shared" si="1"/>
        <v>24257.13</v>
      </c>
      <c r="E40" s="96">
        <f t="shared" si="2"/>
        <v>59.87</v>
      </c>
      <c r="F40" s="14">
        <f t="shared" si="7"/>
        <v>145671.57000000007</v>
      </c>
      <c r="G40" s="14">
        <f t="shared" si="3"/>
        <v>121414.44000000006</v>
      </c>
    </row>
    <row r="41" spans="1:7" x14ac:dyDescent="0.25">
      <c r="A41" s="54">
        <v>41924</v>
      </c>
      <c r="B41" s="1">
        <f t="shared" si="6"/>
        <v>1</v>
      </c>
      <c r="C41" s="14">
        <f t="shared" si="0"/>
        <v>24317</v>
      </c>
      <c r="D41" s="95">
        <f t="shared" si="1"/>
        <v>24267.1</v>
      </c>
      <c r="E41" s="96">
        <f t="shared" si="2"/>
        <v>49.9</v>
      </c>
      <c r="F41" s="14">
        <f t="shared" si="7"/>
        <v>121414.44000000006</v>
      </c>
      <c r="G41" s="14">
        <f t="shared" si="3"/>
        <v>97147.340000000055</v>
      </c>
    </row>
    <row r="42" spans="1:7" x14ac:dyDescent="0.25">
      <c r="A42" s="54">
        <v>41925</v>
      </c>
      <c r="B42" s="1">
        <f t="shared" si="6"/>
        <v>1</v>
      </c>
      <c r="C42" s="14">
        <f t="shared" si="0"/>
        <v>24317</v>
      </c>
      <c r="D42" s="95">
        <f t="shared" si="1"/>
        <v>24277.08</v>
      </c>
      <c r="E42" s="96">
        <f t="shared" si="2"/>
        <v>39.92</v>
      </c>
      <c r="F42" s="14">
        <f t="shared" si="7"/>
        <v>97147.340000000055</v>
      </c>
      <c r="G42" s="14">
        <f t="shared" si="3"/>
        <v>72870.260000000053</v>
      </c>
    </row>
    <row r="43" spans="1:7" x14ac:dyDescent="0.25">
      <c r="A43" s="54">
        <v>41926</v>
      </c>
      <c r="B43" s="1">
        <f t="shared" si="6"/>
        <v>1</v>
      </c>
      <c r="C43" s="14">
        <f t="shared" si="0"/>
        <v>24317</v>
      </c>
      <c r="D43" s="95">
        <f t="shared" si="1"/>
        <v>24287.05</v>
      </c>
      <c r="E43" s="96">
        <f t="shared" si="2"/>
        <v>29.95</v>
      </c>
      <c r="F43" s="14">
        <f t="shared" si="7"/>
        <v>72870.260000000053</v>
      </c>
      <c r="G43" s="14">
        <f t="shared" si="3"/>
        <v>48583.21000000005</v>
      </c>
    </row>
    <row r="44" spans="1:7" x14ac:dyDescent="0.25">
      <c r="A44" s="54">
        <v>41927</v>
      </c>
      <c r="B44" s="1">
        <f t="shared" si="6"/>
        <v>1</v>
      </c>
      <c r="C44" s="14">
        <f t="shared" si="0"/>
        <v>24317</v>
      </c>
      <c r="D44" s="95">
        <f t="shared" si="1"/>
        <v>24297.03</v>
      </c>
      <c r="E44" s="96">
        <f t="shared" si="2"/>
        <v>19.97</v>
      </c>
      <c r="F44" s="14">
        <f t="shared" si="7"/>
        <v>48583.21000000005</v>
      </c>
      <c r="G44" s="14">
        <f t="shared" si="3"/>
        <v>24286.180000000051</v>
      </c>
    </row>
    <row r="45" spans="1:7" x14ac:dyDescent="0.25">
      <c r="A45" s="54">
        <v>41928</v>
      </c>
      <c r="B45" s="1">
        <f t="shared" si="6"/>
        <v>1</v>
      </c>
      <c r="C45" s="14">
        <f t="shared" si="0"/>
        <v>24317</v>
      </c>
      <c r="D45" s="95">
        <f t="shared" si="1"/>
        <v>24286.180000000051</v>
      </c>
      <c r="E45" s="96">
        <v>30.819999999949214</v>
      </c>
      <c r="F45" s="14">
        <f t="shared" si="7"/>
        <v>24286.180000000051</v>
      </c>
      <c r="G45" s="14">
        <f t="shared" si="3"/>
        <v>0</v>
      </c>
    </row>
    <row r="46" spans="1:7" x14ac:dyDescent="0.25">
      <c r="A46" s="70">
        <v>41913</v>
      </c>
      <c r="B46" s="98">
        <f>_xlfn.DAYS(A31,A30)</f>
        <v>1</v>
      </c>
      <c r="C46" s="99">
        <f t="shared" si="0"/>
        <v>24317</v>
      </c>
      <c r="D46" s="100">
        <f>C30-E30</f>
        <v>24157.67</v>
      </c>
      <c r="E46" s="101">
        <f>ROUND(F30*$B$2*B30/365,2)</f>
        <v>159.33000000000001</v>
      </c>
      <c r="F46" s="99">
        <f>G29</f>
        <v>387695.52999999997</v>
      </c>
      <c r="G46" s="14">
        <f t="shared" si="3"/>
        <v>363537.86</v>
      </c>
    </row>
    <row r="47" spans="1:7" x14ac:dyDescent="0.25">
      <c r="A47" s="54">
        <v>41914</v>
      </c>
      <c r="B47" s="1">
        <f t="shared" si="6"/>
        <v>1</v>
      </c>
      <c r="C47" s="14">
        <f>$H$1</f>
        <v>40477</v>
      </c>
      <c r="D47" s="95">
        <f t="shared" si="1"/>
        <v>40327.599999999999</v>
      </c>
      <c r="E47" s="96">
        <f>ROUND(F47*$B$2*B47/365,2)</f>
        <v>149.4</v>
      </c>
      <c r="F47" s="14">
        <f t="shared" ref="F47:F55" si="8">G46</f>
        <v>363537.86</v>
      </c>
      <c r="G47" s="14">
        <f t="shared" si="3"/>
        <v>323210.26</v>
      </c>
    </row>
    <row r="48" spans="1:7" x14ac:dyDescent="0.25">
      <c r="A48" s="54">
        <v>41915</v>
      </c>
      <c r="B48" s="1">
        <f t="shared" si="6"/>
        <v>1</v>
      </c>
      <c r="C48" s="14">
        <f t="shared" ref="C48:C55" si="9">$H$1</f>
        <v>40477</v>
      </c>
      <c r="D48" s="95">
        <f t="shared" si="1"/>
        <v>40344.17</v>
      </c>
      <c r="E48" s="96">
        <f t="shared" ref="E48:E54" si="10">ROUND(F48*$B$2*B48/365,2)</f>
        <v>132.83000000000001</v>
      </c>
      <c r="F48" s="14">
        <f t="shared" si="8"/>
        <v>323210.26</v>
      </c>
      <c r="G48" s="14">
        <f t="shared" si="3"/>
        <v>282866.09000000003</v>
      </c>
    </row>
    <row r="49" spans="1:7" x14ac:dyDescent="0.25">
      <c r="A49" s="54">
        <v>41916</v>
      </c>
      <c r="B49" s="1">
        <f t="shared" si="6"/>
        <v>1</v>
      </c>
      <c r="C49" s="14">
        <f t="shared" si="9"/>
        <v>40477</v>
      </c>
      <c r="D49" s="95">
        <f t="shared" si="1"/>
        <v>40360.75</v>
      </c>
      <c r="E49" s="96">
        <f t="shared" si="10"/>
        <v>116.25</v>
      </c>
      <c r="F49" s="14">
        <f t="shared" si="8"/>
        <v>282866.09000000003</v>
      </c>
      <c r="G49" s="14">
        <f t="shared" si="3"/>
        <v>242505.34000000003</v>
      </c>
    </row>
    <row r="50" spans="1:7" x14ac:dyDescent="0.25">
      <c r="A50" s="54">
        <v>41917</v>
      </c>
      <c r="B50" s="1">
        <f t="shared" si="6"/>
        <v>1</v>
      </c>
      <c r="C50" s="14">
        <f t="shared" si="9"/>
        <v>40477</v>
      </c>
      <c r="D50" s="95">
        <f t="shared" si="1"/>
        <v>40377.339999999997</v>
      </c>
      <c r="E50" s="96">
        <f t="shared" si="10"/>
        <v>99.66</v>
      </c>
      <c r="F50" s="14">
        <f t="shared" si="8"/>
        <v>242505.34000000003</v>
      </c>
      <c r="G50" s="14">
        <f t="shared" si="3"/>
        <v>202128.00000000003</v>
      </c>
    </row>
    <row r="51" spans="1:7" x14ac:dyDescent="0.25">
      <c r="A51" s="54">
        <v>41918</v>
      </c>
      <c r="B51" s="1">
        <f t="shared" si="6"/>
        <v>1</v>
      </c>
      <c r="C51" s="14">
        <f t="shared" si="9"/>
        <v>40477</v>
      </c>
      <c r="D51" s="95">
        <f t="shared" si="1"/>
        <v>40393.93</v>
      </c>
      <c r="E51" s="96">
        <f t="shared" si="10"/>
        <v>83.07</v>
      </c>
      <c r="F51" s="14">
        <f t="shared" si="8"/>
        <v>202128.00000000003</v>
      </c>
      <c r="G51" s="14">
        <f t="shared" si="3"/>
        <v>161734.07000000004</v>
      </c>
    </row>
    <row r="52" spans="1:7" x14ac:dyDescent="0.25">
      <c r="A52" s="54">
        <v>41919</v>
      </c>
      <c r="B52" s="1">
        <f t="shared" si="6"/>
        <v>1</v>
      </c>
      <c r="C52" s="14">
        <f t="shared" si="9"/>
        <v>40477</v>
      </c>
      <c r="D52" s="95">
        <f t="shared" si="1"/>
        <v>40410.53</v>
      </c>
      <c r="E52" s="96">
        <f t="shared" si="10"/>
        <v>66.47</v>
      </c>
      <c r="F52" s="14">
        <f t="shared" si="8"/>
        <v>161734.07000000004</v>
      </c>
      <c r="G52" s="14">
        <f t="shared" si="3"/>
        <v>121323.54000000004</v>
      </c>
    </row>
    <row r="53" spans="1:7" x14ac:dyDescent="0.25">
      <c r="A53" s="54">
        <v>41920</v>
      </c>
      <c r="B53" s="1">
        <f t="shared" si="6"/>
        <v>1</v>
      </c>
      <c r="C53" s="14">
        <f t="shared" si="9"/>
        <v>40477</v>
      </c>
      <c r="D53" s="95">
        <f t="shared" si="1"/>
        <v>40427.14</v>
      </c>
      <c r="E53" s="96">
        <f t="shared" si="10"/>
        <v>49.86</v>
      </c>
      <c r="F53" s="14">
        <f t="shared" si="8"/>
        <v>121323.54000000004</v>
      </c>
      <c r="G53" s="14">
        <f t="shared" si="3"/>
        <v>80896.400000000038</v>
      </c>
    </row>
    <row r="54" spans="1:7" x14ac:dyDescent="0.25">
      <c r="A54" s="54">
        <v>41921</v>
      </c>
      <c r="B54" s="1">
        <f t="shared" si="6"/>
        <v>1</v>
      </c>
      <c r="C54" s="14">
        <f t="shared" si="9"/>
        <v>40477</v>
      </c>
      <c r="D54" s="95">
        <f t="shared" si="1"/>
        <v>40443.75</v>
      </c>
      <c r="E54" s="96">
        <f t="shared" si="10"/>
        <v>33.25</v>
      </c>
      <c r="F54" s="14">
        <f t="shared" si="8"/>
        <v>80896.400000000038</v>
      </c>
      <c r="G54" s="14">
        <f t="shared" si="3"/>
        <v>40452.650000000038</v>
      </c>
    </row>
    <row r="55" spans="1:7" x14ac:dyDescent="0.25">
      <c r="A55" s="54">
        <v>41922</v>
      </c>
      <c r="B55" s="1">
        <f t="shared" si="6"/>
        <v>1</v>
      </c>
      <c r="C55" s="14">
        <f t="shared" si="9"/>
        <v>40477</v>
      </c>
      <c r="D55" s="95">
        <f t="shared" si="1"/>
        <v>40452.650000000038</v>
      </c>
      <c r="E55" s="96">
        <v>24.349999999959547</v>
      </c>
      <c r="F55" s="14">
        <f t="shared" si="8"/>
        <v>40452.650000000038</v>
      </c>
      <c r="G55" s="14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3CC8F-B7F6-44D5-852A-6A41BF87B5E1}">
  <dimension ref="A1:R2"/>
  <sheetViews>
    <sheetView workbookViewId="0">
      <selection activeCell="Q2" sqref="Q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93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29</v>
      </c>
      <c r="J2" s="8" t="s">
        <v>42</v>
      </c>
      <c r="K2" s="8" t="s">
        <v>25</v>
      </c>
      <c r="L2" s="8" t="s">
        <v>326</v>
      </c>
      <c r="M2" s="8" t="s">
        <v>27</v>
      </c>
      <c r="N2" s="20" t="s">
        <v>29</v>
      </c>
      <c r="O2" s="20" t="s">
        <v>206</v>
      </c>
      <c r="P2" s="20" t="s">
        <v>104</v>
      </c>
      <c r="Q2" s="20" t="s">
        <v>333</v>
      </c>
      <c r="R2" s="8" t="s">
        <v>332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0677A-BE1C-4673-8E9F-F6C935D97F89}">
  <dimension ref="A1:J69"/>
  <sheetViews>
    <sheetView zoomScaleNormal="100" workbookViewId="0">
      <pane ySplit="3" topLeftCell="A55" activePane="bottomLeft" state="frozen"/>
      <selection activeCell="Q2" sqref="Q2"/>
      <selection pane="bottomLeft" activeCell="Q2" sqref="Q2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5703125" bestFit="1" customWidth="1"/>
    <col min="5" max="5" width="16.5703125" bestFit="1" customWidth="1"/>
    <col min="6" max="6" width="16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10.570312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ROUNDUP(24316.5073855909,0)</f>
        <v>24317</v>
      </c>
      <c r="E1" s="73" t="s">
        <v>147</v>
      </c>
      <c r="F1" s="20" t="s">
        <v>206</v>
      </c>
      <c r="G1" s="73" t="s">
        <v>150</v>
      </c>
      <c r="H1" s="79">
        <f>ROUNDUP(15884.0591330229,0)</f>
        <v>15885</v>
      </c>
      <c r="I1" s="73" t="s">
        <v>331</v>
      </c>
      <c r="J1" s="117">
        <v>50</v>
      </c>
    </row>
    <row r="2" spans="1:10" x14ac:dyDescent="0.25">
      <c r="A2" s="17" t="s">
        <v>34</v>
      </c>
      <c r="B2" s="18">
        <v>0.15</v>
      </c>
    </row>
    <row r="3" spans="1:10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_xlfn.DAYS(A4,B1)</f>
        <v>31</v>
      </c>
      <c r="C4" s="14">
        <f t="shared" ref="C4:C46" si="0">$D$1</f>
        <v>24317</v>
      </c>
      <c r="D4" s="95">
        <f t="shared" ref="D4:D67" si="1">C4-E4</f>
        <v>11577.27</v>
      </c>
      <c r="E4" s="96">
        <f t="shared" ref="E4:E44" si="2">ROUND(F4*$B$2*B4/365,2)</f>
        <v>12739.73</v>
      </c>
      <c r="F4" s="14">
        <v>1000000</v>
      </c>
      <c r="G4" s="14">
        <f t="shared" ref="G4:G55" si="3">F4-D4</f>
        <v>988422.73</v>
      </c>
      <c r="H4" s="14">
        <f t="shared" ref="H4:H9" si="4">F4*$B$2*B4/365</f>
        <v>12739.726027397261</v>
      </c>
      <c r="I4" s="16">
        <f t="shared" ref="I4:I9" si="5">H4-E4</f>
        <v>-3.9726027389406227E-3</v>
      </c>
    </row>
    <row r="5" spans="1:10" x14ac:dyDescent="0.25">
      <c r="A5" s="54">
        <v>41888</v>
      </c>
      <c r="B5" s="1">
        <f t="shared" ref="B5:B68" si="6">_xlfn.DAYS(A5,A4)</f>
        <v>1</v>
      </c>
      <c r="C5" s="14">
        <f t="shared" si="0"/>
        <v>24317</v>
      </c>
      <c r="D5" s="95">
        <f t="shared" si="1"/>
        <v>23910.799999999999</v>
      </c>
      <c r="E5" s="96">
        <f t="shared" si="2"/>
        <v>406.2</v>
      </c>
      <c r="F5" s="14">
        <f t="shared" ref="F5:F45" si="7">G4</f>
        <v>988422.73</v>
      </c>
      <c r="G5" s="14">
        <f t="shared" si="3"/>
        <v>964511.92999999993</v>
      </c>
      <c r="H5" s="14">
        <f t="shared" si="4"/>
        <v>406.20112191780817</v>
      </c>
      <c r="I5" s="16">
        <f t="shared" si="5"/>
        <v>1.1219178081773862E-3</v>
      </c>
    </row>
    <row r="6" spans="1:10" x14ac:dyDescent="0.25">
      <c r="A6" s="54">
        <v>41889</v>
      </c>
      <c r="B6" s="1">
        <f t="shared" si="6"/>
        <v>1</v>
      </c>
      <c r="C6" s="14">
        <f t="shared" si="0"/>
        <v>24317</v>
      </c>
      <c r="D6" s="95">
        <f t="shared" si="1"/>
        <v>23920.63</v>
      </c>
      <c r="E6" s="96">
        <f t="shared" si="2"/>
        <v>396.37</v>
      </c>
      <c r="F6" s="14">
        <f t="shared" si="7"/>
        <v>964511.92999999993</v>
      </c>
      <c r="G6" s="14">
        <f t="shared" si="3"/>
        <v>940591.29999999993</v>
      </c>
      <c r="H6" s="14">
        <f t="shared" si="4"/>
        <v>396.37476575342464</v>
      </c>
      <c r="I6" s="16">
        <f t="shared" si="5"/>
        <v>4.7657534246354771E-3</v>
      </c>
    </row>
    <row r="7" spans="1:10" x14ac:dyDescent="0.25">
      <c r="A7" s="54">
        <v>41890</v>
      </c>
      <c r="B7" s="1">
        <f t="shared" si="6"/>
        <v>1</v>
      </c>
      <c r="C7" s="14">
        <f t="shared" si="0"/>
        <v>24317</v>
      </c>
      <c r="D7" s="95">
        <f t="shared" si="1"/>
        <v>23930.46</v>
      </c>
      <c r="E7" s="96">
        <f t="shared" si="2"/>
        <v>386.54</v>
      </c>
      <c r="F7" s="14">
        <f t="shared" si="7"/>
        <v>940591.29999999993</v>
      </c>
      <c r="G7" s="14">
        <f t="shared" si="3"/>
        <v>916660.84</v>
      </c>
      <c r="H7" s="14">
        <f t="shared" si="4"/>
        <v>386.54436986301363</v>
      </c>
      <c r="I7" s="16">
        <f t="shared" si="5"/>
        <v>4.3698630136077554E-3</v>
      </c>
    </row>
    <row r="8" spans="1:10" x14ac:dyDescent="0.25">
      <c r="A8" s="54">
        <v>41891</v>
      </c>
      <c r="B8" s="1">
        <f t="shared" si="6"/>
        <v>1</v>
      </c>
      <c r="C8" s="14">
        <f t="shared" si="0"/>
        <v>24317</v>
      </c>
      <c r="D8" s="95">
        <f t="shared" si="1"/>
        <v>23940.29</v>
      </c>
      <c r="E8" s="96">
        <f t="shared" si="2"/>
        <v>376.71</v>
      </c>
      <c r="F8" s="14">
        <f t="shared" si="7"/>
        <v>916660.84</v>
      </c>
      <c r="G8" s="14">
        <f t="shared" si="3"/>
        <v>892720.54999999993</v>
      </c>
      <c r="H8" s="14">
        <f t="shared" si="4"/>
        <v>376.7099342465753</v>
      </c>
      <c r="I8" s="16">
        <f t="shared" si="5"/>
        <v>-6.5753424678405281E-5</v>
      </c>
    </row>
    <row r="9" spans="1:10" x14ac:dyDescent="0.25">
      <c r="A9" s="54">
        <v>41892</v>
      </c>
      <c r="B9" s="1">
        <f t="shared" si="6"/>
        <v>1</v>
      </c>
      <c r="C9" s="14">
        <f t="shared" si="0"/>
        <v>24317</v>
      </c>
      <c r="D9" s="95">
        <f t="shared" si="1"/>
        <v>23950.13</v>
      </c>
      <c r="E9" s="96">
        <f t="shared" si="2"/>
        <v>366.87</v>
      </c>
      <c r="F9" s="14">
        <f t="shared" si="7"/>
        <v>892720.54999999993</v>
      </c>
      <c r="G9" s="14">
        <f t="shared" si="3"/>
        <v>868770.41999999993</v>
      </c>
      <c r="H9" s="99">
        <f t="shared" si="4"/>
        <v>366.87145890410955</v>
      </c>
      <c r="I9" s="112">
        <f t="shared" si="5"/>
        <v>1.4589041095405264E-3</v>
      </c>
    </row>
    <row r="10" spans="1:10" x14ac:dyDescent="0.25">
      <c r="A10" s="54">
        <v>41893</v>
      </c>
      <c r="B10" s="1">
        <f t="shared" si="6"/>
        <v>1</v>
      </c>
      <c r="C10" s="14">
        <f t="shared" si="0"/>
        <v>24317</v>
      </c>
      <c r="D10" s="95">
        <f t="shared" si="1"/>
        <v>23959.97</v>
      </c>
      <c r="E10" s="96">
        <f t="shared" si="2"/>
        <v>357.03</v>
      </c>
      <c r="F10" s="14">
        <f t="shared" si="7"/>
        <v>868770.41999999993</v>
      </c>
      <c r="G10" s="14">
        <f t="shared" si="3"/>
        <v>844810.45</v>
      </c>
      <c r="H10" s="14"/>
      <c r="I10" s="16"/>
    </row>
    <row r="11" spans="1:10" x14ac:dyDescent="0.25">
      <c r="A11" s="54">
        <v>41894</v>
      </c>
      <c r="B11" s="1">
        <f t="shared" si="6"/>
        <v>1</v>
      </c>
      <c r="C11" s="14">
        <f t="shared" si="0"/>
        <v>24317</v>
      </c>
      <c r="D11" s="95">
        <f t="shared" si="1"/>
        <v>23969.82</v>
      </c>
      <c r="E11" s="96">
        <f t="shared" si="2"/>
        <v>347.18</v>
      </c>
      <c r="F11" s="14">
        <f t="shared" si="7"/>
        <v>844810.45</v>
      </c>
      <c r="G11" s="14">
        <f t="shared" si="3"/>
        <v>820840.63</v>
      </c>
      <c r="H11" s="14"/>
      <c r="I11" s="16"/>
    </row>
    <row r="12" spans="1:10" x14ac:dyDescent="0.25">
      <c r="A12" s="54">
        <v>41895</v>
      </c>
      <c r="B12" s="1">
        <f t="shared" si="6"/>
        <v>1</v>
      </c>
      <c r="C12" s="14">
        <f t="shared" si="0"/>
        <v>24317</v>
      </c>
      <c r="D12" s="95">
        <f t="shared" si="1"/>
        <v>23979.67</v>
      </c>
      <c r="E12" s="96">
        <f t="shared" si="2"/>
        <v>337.33</v>
      </c>
      <c r="F12" s="14">
        <f t="shared" si="7"/>
        <v>820840.63</v>
      </c>
      <c r="G12" s="14">
        <f t="shared" si="3"/>
        <v>796860.96</v>
      </c>
      <c r="H12" s="14"/>
      <c r="I12" s="16"/>
    </row>
    <row r="13" spans="1:10" x14ac:dyDescent="0.25">
      <c r="A13" s="54">
        <v>41896</v>
      </c>
      <c r="B13" s="1">
        <f t="shared" si="6"/>
        <v>1</v>
      </c>
      <c r="C13" s="14">
        <f t="shared" si="0"/>
        <v>24317</v>
      </c>
      <c r="D13" s="95">
        <f t="shared" si="1"/>
        <v>23989.52</v>
      </c>
      <c r="E13" s="96">
        <f t="shared" si="2"/>
        <v>327.48</v>
      </c>
      <c r="F13" s="14">
        <f t="shared" si="7"/>
        <v>796860.96</v>
      </c>
      <c r="G13" s="14">
        <f t="shared" si="3"/>
        <v>772871.44</v>
      </c>
      <c r="H13" s="14"/>
      <c r="I13" s="16"/>
    </row>
    <row r="14" spans="1:10" x14ac:dyDescent="0.25">
      <c r="A14" s="54">
        <v>41897</v>
      </c>
      <c r="B14" s="1">
        <f t="shared" si="6"/>
        <v>1</v>
      </c>
      <c r="C14" s="14">
        <f t="shared" si="0"/>
        <v>24317</v>
      </c>
      <c r="D14" s="95">
        <f t="shared" si="1"/>
        <v>23999.38</v>
      </c>
      <c r="E14" s="96">
        <f t="shared" si="2"/>
        <v>317.62</v>
      </c>
      <c r="F14" s="14">
        <f t="shared" si="7"/>
        <v>772871.44</v>
      </c>
      <c r="G14" s="14">
        <f t="shared" si="3"/>
        <v>748872.05999999994</v>
      </c>
      <c r="H14" s="14"/>
      <c r="I14" s="16"/>
    </row>
    <row r="15" spans="1:10" x14ac:dyDescent="0.25">
      <c r="A15" s="54">
        <v>41898</v>
      </c>
      <c r="B15" s="1">
        <f t="shared" si="6"/>
        <v>1</v>
      </c>
      <c r="C15" s="14">
        <f t="shared" si="0"/>
        <v>24317</v>
      </c>
      <c r="D15" s="95">
        <f t="shared" si="1"/>
        <v>24009.24</v>
      </c>
      <c r="E15" s="96">
        <f t="shared" si="2"/>
        <v>307.76</v>
      </c>
      <c r="F15" s="14">
        <f t="shared" si="7"/>
        <v>748872.05999999994</v>
      </c>
      <c r="G15" s="14">
        <f t="shared" si="3"/>
        <v>724862.82</v>
      </c>
      <c r="H15" s="114"/>
      <c r="I15" s="115"/>
    </row>
    <row r="16" spans="1:10" x14ac:dyDescent="0.25">
      <c r="A16" s="54">
        <v>41899</v>
      </c>
      <c r="B16" s="1">
        <f t="shared" si="6"/>
        <v>1</v>
      </c>
      <c r="C16" s="14">
        <f t="shared" si="0"/>
        <v>24317</v>
      </c>
      <c r="D16" s="95">
        <f t="shared" si="1"/>
        <v>24019.11</v>
      </c>
      <c r="E16" s="96">
        <f t="shared" si="2"/>
        <v>297.89</v>
      </c>
      <c r="F16" s="14">
        <f t="shared" si="7"/>
        <v>724862.82</v>
      </c>
      <c r="G16" s="14">
        <f t="shared" si="3"/>
        <v>700843.71</v>
      </c>
    </row>
    <row r="17" spans="1:7" x14ac:dyDescent="0.25">
      <c r="A17" s="54">
        <v>41900</v>
      </c>
      <c r="B17" s="1">
        <f t="shared" si="6"/>
        <v>1</v>
      </c>
      <c r="C17" s="14">
        <f t="shared" si="0"/>
        <v>24317</v>
      </c>
      <c r="D17" s="95">
        <f t="shared" si="1"/>
        <v>24028.98</v>
      </c>
      <c r="E17" s="96">
        <f t="shared" si="2"/>
        <v>288.02</v>
      </c>
      <c r="F17" s="14">
        <f t="shared" si="7"/>
        <v>700843.71</v>
      </c>
      <c r="G17" s="14">
        <f t="shared" si="3"/>
        <v>676814.73</v>
      </c>
    </row>
    <row r="18" spans="1:7" x14ac:dyDescent="0.25">
      <c r="A18" s="54">
        <v>41901</v>
      </c>
      <c r="B18" s="1">
        <f t="shared" si="6"/>
        <v>1</v>
      </c>
      <c r="C18" s="14">
        <f t="shared" si="0"/>
        <v>24317</v>
      </c>
      <c r="D18" s="95">
        <f t="shared" si="1"/>
        <v>24038.86</v>
      </c>
      <c r="E18" s="96">
        <f t="shared" si="2"/>
        <v>278.14</v>
      </c>
      <c r="F18" s="14">
        <f t="shared" si="7"/>
        <v>676814.73</v>
      </c>
      <c r="G18" s="14">
        <f t="shared" si="3"/>
        <v>652775.87</v>
      </c>
    </row>
    <row r="19" spans="1:7" x14ac:dyDescent="0.25">
      <c r="A19" s="54">
        <v>41902</v>
      </c>
      <c r="B19" s="1">
        <f t="shared" si="6"/>
        <v>1</v>
      </c>
      <c r="C19" s="14">
        <f t="shared" si="0"/>
        <v>24317</v>
      </c>
      <c r="D19" s="95">
        <f t="shared" si="1"/>
        <v>24048.74</v>
      </c>
      <c r="E19" s="96">
        <f t="shared" si="2"/>
        <v>268.26</v>
      </c>
      <c r="F19" s="14">
        <f t="shared" si="7"/>
        <v>652775.87</v>
      </c>
      <c r="G19" s="14">
        <f t="shared" si="3"/>
        <v>628727.13</v>
      </c>
    </row>
    <row r="20" spans="1:7" x14ac:dyDescent="0.25">
      <c r="A20" s="54">
        <v>41903</v>
      </c>
      <c r="B20" s="1">
        <f t="shared" si="6"/>
        <v>1</v>
      </c>
      <c r="C20" s="14">
        <f t="shared" si="0"/>
        <v>24317</v>
      </c>
      <c r="D20" s="95">
        <f t="shared" si="1"/>
        <v>24058.62</v>
      </c>
      <c r="E20" s="96">
        <f t="shared" si="2"/>
        <v>258.38</v>
      </c>
      <c r="F20" s="14">
        <f t="shared" si="7"/>
        <v>628727.13</v>
      </c>
      <c r="G20" s="14">
        <f t="shared" si="3"/>
        <v>604668.51</v>
      </c>
    </row>
    <row r="21" spans="1:7" x14ac:dyDescent="0.25">
      <c r="A21" s="54">
        <v>41904</v>
      </c>
      <c r="B21" s="1">
        <f t="shared" si="6"/>
        <v>1</v>
      </c>
      <c r="C21" s="14">
        <f t="shared" si="0"/>
        <v>24317</v>
      </c>
      <c r="D21" s="95">
        <f t="shared" si="1"/>
        <v>24068.51</v>
      </c>
      <c r="E21" s="96">
        <f t="shared" si="2"/>
        <v>248.49</v>
      </c>
      <c r="F21" s="14">
        <f t="shared" si="7"/>
        <v>604668.51</v>
      </c>
      <c r="G21" s="14">
        <f t="shared" si="3"/>
        <v>580600</v>
      </c>
    </row>
    <row r="22" spans="1:7" x14ac:dyDescent="0.25">
      <c r="A22" s="54">
        <v>41905</v>
      </c>
      <c r="B22" s="1">
        <f t="shared" si="6"/>
        <v>1</v>
      </c>
      <c r="C22" s="14">
        <f t="shared" si="0"/>
        <v>24317</v>
      </c>
      <c r="D22" s="95">
        <f t="shared" si="1"/>
        <v>24078.400000000001</v>
      </c>
      <c r="E22" s="96">
        <f t="shared" si="2"/>
        <v>238.6</v>
      </c>
      <c r="F22" s="14">
        <f t="shared" si="7"/>
        <v>580600</v>
      </c>
      <c r="G22" s="14">
        <f t="shared" si="3"/>
        <v>556521.6</v>
      </c>
    </row>
    <row r="23" spans="1:7" x14ac:dyDescent="0.25">
      <c r="A23" s="54">
        <v>41906</v>
      </c>
      <c r="B23" s="1">
        <f t="shared" si="6"/>
        <v>1</v>
      </c>
      <c r="C23" s="14">
        <f t="shared" si="0"/>
        <v>24317</v>
      </c>
      <c r="D23" s="95">
        <f t="shared" si="1"/>
        <v>24088.29</v>
      </c>
      <c r="E23" s="96">
        <f t="shared" si="2"/>
        <v>228.71</v>
      </c>
      <c r="F23" s="14">
        <f t="shared" si="7"/>
        <v>556521.6</v>
      </c>
      <c r="G23" s="14">
        <f t="shared" si="3"/>
        <v>532433.30999999994</v>
      </c>
    </row>
    <row r="24" spans="1:7" x14ac:dyDescent="0.25">
      <c r="A24" s="54">
        <v>41907</v>
      </c>
      <c r="B24" s="1">
        <f t="shared" si="6"/>
        <v>1</v>
      </c>
      <c r="C24" s="14">
        <f t="shared" si="0"/>
        <v>24317</v>
      </c>
      <c r="D24" s="95">
        <f t="shared" si="1"/>
        <v>24098.19</v>
      </c>
      <c r="E24" s="96">
        <f t="shared" si="2"/>
        <v>218.81</v>
      </c>
      <c r="F24" s="14">
        <f t="shared" si="7"/>
        <v>532433.30999999994</v>
      </c>
      <c r="G24" s="14">
        <f t="shared" si="3"/>
        <v>508335.11999999994</v>
      </c>
    </row>
    <row r="25" spans="1:7" x14ac:dyDescent="0.25">
      <c r="A25" s="54">
        <v>41908</v>
      </c>
      <c r="B25" s="1">
        <f t="shared" si="6"/>
        <v>1</v>
      </c>
      <c r="C25" s="14">
        <f t="shared" si="0"/>
        <v>24317</v>
      </c>
      <c r="D25" s="95">
        <f t="shared" si="1"/>
        <v>24108.1</v>
      </c>
      <c r="E25" s="96">
        <f t="shared" si="2"/>
        <v>208.9</v>
      </c>
      <c r="F25" s="14">
        <f t="shared" si="7"/>
        <v>508335.11999999994</v>
      </c>
      <c r="G25" s="14">
        <f t="shared" si="3"/>
        <v>484227.01999999996</v>
      </c>
    </row>
    <row r="26" spans="1:7" x14ac:dyDescent="0.25">
      <c r="A26" s="54">
        <v>41909</v>
      </c>
      <c r="B26" s="1">
        <f t="shared" si="6"/>
        <v>1</v>
      </c>
      <c r="C26" s="14">
        <f t="shared" si="0"/>
        <v>24317</v>
      </c>
      <c r="D26" s="95">
        <f t="shared" si="1"/>
        <v>24118</v>
      </c>
      <c r="E26" s="96">
        <f t="shared" si="2"/>
        <v>199</v>
      </c>
      <c r="F26" s="14">
        <f t="shared" si="7"/>
        <v>484227.01999999996</v>
      </c>
      <c r="G26" s="14">
        <f t="shared" si="3"/>
        <v>460109.01999999996</v>
      </c>
    </row>
    <row r="27" spans="1:7" x14ac:dyDescent="0.25">
      <c r="A27" s="54">
        <v>41910</v>
      </c>
      <c r="B27" s="1">
        <f t="shared" si="6"/>
        <v>1</v>
      </c>
      <c r="C27" s="14">
        <f t="shared" si="0"/>
        <v>24317</v>
      </c>
      <c r="D27" s="95">
        <f t="shared" si="1"/>
        <v>24127.91</v>
      </c>
      <c r="E27" s="96">
        <f t="shared" si="2"/>
        <v>189.09</v>
      </c>
      <c r="F27" s="14">
        <f t="shared" si="7"/>
        <v>460109.01999999996</v>
      </c>
      <c r="G27" s="14">
        <f t="shared" si="3"/>
        <v>435981.11</v>
      </c>
    </row>
    <row r="28" spans="1:7" x14ac:dyDescent="0.25">
      <c r="A28" s="54">
        <v>41911</v>
      </c>
      <c r="B28" s="1">
        <f t="shared" si="6"/>
        <v>1</v>
      </c>
      <c r="C28" s="14">
        <f t="shared" si="0"/>
        <v>24317</v>
      </c>
      <c r="D28" s="95">
        <f t="shared" si="1"/>
        <v>24137.83</v>
      </c>
      <c r="E28" s="96">
        <f t="shared" si="2"/>
        <v>179.17</v>
      </c>
      <c r="F28" s="14">
        <f t="shared" si="7"/>
        <v>435981.11</v>
      </c>
      <c r="G28" s="14">
        <f t="shared" si="3"/>
        <v>411843.27999999997</v>
      </c>
    </row>
    <row r="29" spans="1:7" x14ac:dyDescent="0.25">
      <c r="A29" s="54">
        <v>41912</v>
      </c>
      <c r="B29" s="1">
        <f t="shared" si="6"/>
        <v>1</v>
      </c>
      <c r="C29" s="14">
        <f t="shared" si="0"/>
        <v>24317</v>
      </c>
      <c r="D29" s="95">
        <f t="shared" si="1"/>
        <v>24147.75</v>
      </c>
      <c r="E29" s="96">
        <f t="shared" si="2"/>
        <v>169.25</v>
      </c>
      <c r="F29" s="14">
        <f t="shared" si="7"/>
        <v>411843.27999999997</v>
      </c>
      <c r="G29" s="14">
        <f t="shared" si="3"/>
        <v>387695.52999999997</v>
      </c>
    </row>
    <row r="30" spans="1:7" x14ac:dyDescent="0.25">
      <c r="A30" s="54">
        <v>41913</v>
      </c>
      <c r="B30" s="1">
        <f t="shared" si="6"/>
        <v>1</v>
      </c>
      <c r="C30" s="14">
        <f t="shared" si="0"/>
        <v>24317</v>
      </c>
      <c r="D30" s="95">
        <f t="shared" si="1"/>
        <v>24157.67</v>
      </c>
      <c r="E30" s="96">
        <f t="shared" si="2"/>
        <v>159.33000000000001</v>
      </c>
      <c r="F30" s="14">
        <f t="shared" si="7"/>
        <v>387695.52999999997</v>
      </c>
      <c r="G30" s="14">
        <f t="shared" si="3"/>
        <v>363537.86</v>
      </c>
    </row>
    <row r="31" spans="1:7" x14ac:dyDescent="0.25">
      <c r="A31" s="54">
        <v>41914</v>
      </c>
      <c r="B31" s="1">
        <f t="shared" si="6"/>
        <v>1</v>
      </c>
      <c r="C31" s="14">
        <f t="shared" si="0"/>
        <v>24317</v>
      </c>
      <c r="D31" s="95">
        <f t="shared" si="1"/>
        <v>24167.599999999999</v>
      </c>
      <c r="E31" s="96">
        <f t="shared" si="2"/>
        <v>149.4</v>
      </c>
      <c r="F31" s="14">
        <f t="shared" si="7"/>
        <v>363537.86</v>
      </c>
      <c r="G31" s="14">
        <f t="shared" si="3"/>
        <v>339370.26</v>
      </c>
    </row>
    <row r="32" spans="1:7" x14ac:dyDescent="0.25">
      <c r="A32" s="54">
        <v>41915</v>
      </c>
      <c r="B32" s="1">
        <f t="shared" si="6"/>
        <v>1</v>
      </c>
      <c r="C32" s="14">
        <f t="shared" si="0"/>
        <v>24317</v>
      </c>
      <c r="D32" s="95">
        <f t="shared" si="1"/>
        <v>24177.53</v>
      </c>
      <c r="E32" s="96">
        <f t="shared" si="2"/>
        <v>139.47</v>
      </c>
      <c r="F32" s="14">
        <f t="shared" si="7"/>
        <v>339370.26</v>
      </c>
      <c r="G32" s="14">
        <f t="shared" si="3"/>
        <v>315192.73</v>
      </c>
    </row>
    <row r="33" spans="1:7" x14ac:dyDescent="0.25">
      <c r="A33" s="54">
        <v>41916</v>
      </c>
      <c r="B33" s="1">
        <f t="shared" si="6"/>
        <v>1</v>
      </c>
      <c r="C33" s="14">
        <f t="shared" si="0"/>
        <v>24317</v>
      </c>
      <c r="D33" s="95">
        <f t="shared" si="1"/>
        <v>24187.47</v>
      </c>
      <c r="E33" s="96">
        <f t="shared" si="2"/>
        <v>129.53</v>
      </c>
      <c r="F33" s="14">
        <f t="shared" si="7"/>
        <v>315192.73</v>
      </c>
      <c r="G33" s="14">
        <f t="shared" si="3"/>
        <v>291005.26</v>
      </c>
    </row>
    <row r="34" spans="1:7" x14ac:dyDescent="0.25">
      <c r="A34" s="54">
        <v>41917</v>
      </c>
      <c r="B34" s="1">
        <f t="shared" si="6"/>
        <v>1</v>
      </c>
      <c r="C34" s="14">
        <f t="shared" si="0"/>
        <v>24317</v>
      </c>
      <c r="D34" s="95">
        <f t="shared" si="1"/>
        <v>24197.41</v>
      </c>
      <c r="E34" s="96">
        <f t="shared" si="2"/>
        <v>119.59</v>
      </c>
      <c r="F34" s="14">
        <f t="shared" si="7"/>
        <v>291005.26</v>
      </c>
      <c r="G34" s="14">
        <f t="shared" si="3"/>
        <v>266807.85000000003</v>
      </c>
    </row>
    <row r="35" spans="1:7" x14ac:dyDescent="0.25">
      <c r="A35" s="54">
        <v>41918</v>
      </c>
      <c r="B35" s="1">
        <f t="shared" si="6"/>
        <v>1</v>
      </c>
      <c r="C35" s="14">
        <f t="shared" si="0"/>
        <v>24317</v>
      </c>
      <c r="D35" s="95">
        <f t="shared" si="1"/>
        <v>24207.35</v>
      </c>
      <c r="E35" s="96">
        <f t="shared" si="2"/>
        <v>109.65</v>
      </c>
      <c r="F35" s="14">
        <f t="shared" si="7"/>
        <v>266807.85000000003</v>
      </c>
      <c r="G35" s="14">
        <f t="shared" si="3"/>
        <v>242600.50000000003</v>
      </c>
    </row>
    <row r="36" spans="1:7" x14ac:dyDescent="0.25">
      <c r="A36" s="54">
        <v>41919</v>
      </c>
      <c r="B36" s="1">
        <f t="shared" si="6"/>
        <v>1</v>
      </c>
      <c r="C36" s="14">
        <f t="shared" si="0"/>
        <v>24317</v>
      </c>
      <c r="D36" s="95">
        <f t="shared" si="1"/>
        <v>24217.3</v>
      </c>
      <c r="E36" s="96">
        <f t="shared" si="2"/>
        <v>99.7</v>
      </c>
      <c r="F36" s="14">
        <f t="shared" si="7"/>
        <v>242600.50000000003</v>
      </c>
      <c r="G36" s="14">
        <f t="shared" si="3"/>
        <v>218383.20000000004</v>
      </c>
    </row>
    <row r="37" spans="1:7" x14ac:dyDescent="0.25">
      <c r="A37" s="54">
        <v>41920</v>
      </c>
      <c r="B37" s="1">
        <f t="shared" si="6"/>
        <v>1</v>
      </c>
      <c r="C37" s="14">
        <f t="shared" si="0"/>
        <v>24317</v>
      </c>
      <c r="D37" s="95">
        <f t="shared" si="1"/>
        <v>24227.25</v>
      </c>
      <c r="E37" s="96">
        <f t="shared" si="2"/>
        <v>89.75</v>
      </c>
      <c r="F37" s="14">
        <f t="shared" si="7"/>
        <v>218383.20000000004</v>
      </c>
      <c r="G37" s="14">
        <f t="shared" si="3"/>
        <v>194155.95000000004</v>
      </c>
    </row>
    <row r="38" spans="1:7" x14ac:dyDescent="0.25">
      <c r="A38" s="54">
        <v>41921</v>
      </c>
      <c r="B38" s="1">
        <f t="shared" si="6"/>
        <v>1</v>
      </c>
      <c r="C38" s="14">
        <f t="shared" si="0"/>
        <v>24317</v>
      </c>
      <c r="D38" s="95">
        <f t="shared" si="1"/>
        <v>24237.21</v>
      </c>
      <c r="E38" s="96">
        <f t="shared" si="2"/>
        <v>79.790000000000006</v>
      </c>
      <c r="F38" s="14">
        <f t="shared" si="7"/>
        <v>194155.95000000004</v>
      </c>
      <c r="G38" s="14">
        <f t="shared" si="3"/>
        <v>169918.74000000005</v>
      </c>
    </row>
    <row r="39" spans="1:7" x14ac:dyDescent="0.25">
      <c r="A39" s="54">
        <v>41922</v>
      </c>
      <c r="B39" s="1">
        <f t="shared" si="6"/>
        <v>1</v>
      </c>
      <c r="C39" s="14">
        <f t="shared" si="0"/>
        <v>24317</v>
      </c>
      <c r="D39" s="95">
        <f t="shared" si="1"/>
        <v>24247.17</v>
      </c>
      <c r="E39" s="96">
        <f t="shared" si="2"/>
        <v>69.83</v>
      </c>
      <c r="F39" s="14">
        <f t="shared" si="7"/>
        <v>169918.74000000005</v>
      </c>
      <c r="G39" s="14">
        <f t="shared" si="3"/>
        <v>145671.57000000007</v>
      </c>
    </row>
    <row r="40" spans="1:7" x14ac:dyDescent="0.25">
      <c r="A40" s="54">
        <v>41923</v>
      </c>
      <c r="B40" s="1">
        <f t="shared" si="6"/>
        <v>1</v>
      </c>
      <c r="C40" s="14">
        <f t="shared" si="0"/>
        <v>24317</v>
      </c>
      <c r="D40" s="95">
        <f t="shared" si="1"/>
        <v>24257.13</v>
      </c>
      <c r="E40" s="96">
        <f t="shared" si="2"/>
        <v>59.87</v>
      </c>
      <c r="F40" s="14">
        <f t="shared" si="7"/>
        <v>145671.57000000007</v>
      </c>
      <c r="G40" s="14">
        <f t="shared" si="3"/>
        <v>121414.44000000006</v>
      </c>
    </row>
    <row r="41" spans="1:7" x14ac:dyDescent="0.25">
      <c r="A41" s="54">
        <v>41924</v>
      </c>
      <c r="B41" s="1">
        <f t="shared" si="6"/>
        <v>1</v>
      </c>
      <c r="C41" s="14">
        <f t="shared" si="0"/>
        <v>24317</v>
      </c>
      <c r="D41" s="95">
        <f t="shared" si="1"/>
        <v>24267.1</v>
      </c>
      <c r="E41" s="96">
        <f t="shared" si="2"/>
        <v>49.9</v>
      </c>
      <c r="F41" s="14">
        <f t="shared" si="7"/>
        <v>121414.44000000006</v>
      </c>
      <c r="G41" s="14">
        <f t="shared" si="3"/>
        <v>97147.340000000055</v>
      </c>
    </row>
    <row r="42" spans="1:7" x14ac:dyDescent="0.25">
      <c r="A42" s="54">
        <v>41925</v>
      </c>
      <c r="B42" s="1">
        <f t="shared" si="6"/>
        <v>1</v>
      </c>
      <c r="C42" s="14">
        <f t="shared" si="0"/>
        <v>24317</v>
      </c>
      <c r="D42" s="95">
        <f t="shared" si="1"/>
        <v>24277.08</v>
      </c>
      <c r="E42" s="96">
        <f t="shared" si="2"/>
        <v>39.92</v>
      </c>
      <c r="F42" s="14">
        <f t="shared" si="7"/>
        <v>97147.340000000055</v>
      </c>
      <c r="G42" s="14">
        <f t="shared" si="3"/>
        <v>72870.260000000053</v>
      </c>
    </row>
    <row r="43" spans="1:7" x14ac:dyDescent="0.25">
      <c r="A43" s="54">
        <v>41926</v>
      </c>
      <c r="B43" s="1">
        <f t="shared" si="6"/>
        <v>1</v>
      </c>
      <c r="C43" s="14">
        <f t="shared" si="0"/>
        <v>24317</v>
      </c>
      <c r="D43" s="95">
        <f t="shared" si="1"/>
        <v>24287.05</v>
      </c>
      <c r="E43" s="96">
        <f t="shared" si="2"/>
        <v>29.95</v>
      </c>
      <c r="F43" s="14">
        <f t="shared" si="7"/>
        <v>72870.260000000053</v>
      </c>
      <c r="G43" s="14">
        <f t="shared" si="3"/>
        <v>48583.21000000005</v>
      </c>
    </row>
    <row r="44" spans="1:7" x14ac:dyDescent="0.25">
      <c r="A44" s="54">
        <v>41927</v>
      </c>
      <c r="B44" s="1">
        <f t="shared" si="6"/>
        <v>1</v>
      </c>
      <c r="C44" s="14">
        <f t="shared" si="0"/>
        <v>24317</v>
      </c>
      <c r="D44" s="95">
        <f t="shared" si="1"/>
        <v>24297.03</v>
      </c>
      <c r="E44" s="96">
        <f t="shared" si="2"/>
        <v>19.97</v>
      </c>
      <c r="F44" s="14">
        <f t="shared" si="7"/>
        <v>48583.21000000005</v>
      </c>
      <c r="G44" s="14">
        <f t="shared" si="3"/>
        <v>24286.180000000051</v>
      </c>
    </row>
    <row r="45" spans="1:7" x14ac:dyDescent="0.25">
      <c r="A45" s="54">
        <v>41928</v>
      </c>
      <c r="B45" s="1">
        <f t="shared" si="6"/>
        <v>1</v>
      </c>
      <c r="C45" s="14">
        <f t="shared" si="0"/>
        <v>24317</v>
      </c>
      <c r="D45" s="95">
        <f t="shared" si="1"/>
        <v>24286.180000000051</v>
      </c>
      <c r="E45" s="96">
        <v>30.819999999949214</v>
      </c>
      <c r="F45" s="14">
        <f t="shared" si="7"/>
        <v>24286.180000000051</v>
      </c>
      <c r="G45" s="14">
        <f t="shared" si="3"/>
        <v>0</v>
      </c>
    </row>
    <row r="46" spans="1:7" x14ac:dyDescent="0.25">
      <c r="A46" s="70">
        <v>41913</v>
      </c>
      <c r="B46" s="98">
        <f>_xlfn.DAYS(A31,A30)</f>
        <v>1</v>
      </c>
      <c r="C46" s="99">
        <f t="shared" si="0"/>
        <v>24317</v>
      </c>
      <c r="D46" s="100">
        <f>C30-E30</f>
        <v>24157.67</v>
      </c>
      <c r="E46" s="101">
        <f>ROUND(F30*$B$2*B30/365,2)</f>
        <v>159.33000000000001</v>
      </c>
      <c r="F46" s="99">
        <f>G29</f>
        <v>387695.52999999997</v>
      </c>
      <c r="G46" s="14">
        <f t="shared" si="3"/>
        <v>363537.86</v>
      </c>
    </row>
    <row r="47" spans="1:7" x14ac:dyDescent="0.25">
      <c r="A47" s="54">
        <v>41914</v>
      </c>
      <c r="B47" s="1">
        <f t="shared" si="6"/>
        <v>1</v>
      </c>
      <c r="C47" s="14">
        <f>$H$1</f>
        <v>15885</v>
      </c>
      <c r="D47" s="95">
        <f t="shared" si="1"/>
        <v>15735.6</v>
      </c>
      <c r="E47" s="96">
        <f>ROUND(F47*$B$2*B47/365,2)</f>
        <v>149.4</v>
      </c>
      <c r="F47" s="14">
        <f t="shared" ref="F47:F55" si="8">G46</f>
        <v>363537.86</v>
      </c>
      <c r="G47" s="14">
        <f t="shared" si="3"/>
        <v>347802.26</v>
      </c>
    </row>
    <row r="48" spans="1:7" x14ac:dyDescent="0.25">
      <c r="A48" s="54">
        <v>41915</v>
      </c>
      <c r="B48" s="1">
        <f t="shared" si="6"/>
        <v>1</v>
      </c>
      <c r="C48" s="14">
        <f t="shared" ref="C48:C69" si="9">$H$1</f>
        <v>15885</v>
      </c>
      <c r="D48" s="95">
        <f t="shared" si="1"/>
        <v>15742.07</v>
      </c>
      <c r="E48" s="96">
        <f t="shared" ref="E48:E55" si="10">ROUND(F48*$B$2*B48/365,2)</f>
        <v>142.93</v>
      </c>
      <c r="F48" s="14">
        <f t="shared" si="8"/>
        <v>347802.26</v>
      </c>
      <c r="G48" s="14">
        <f t="shared" si="3"/>
        <v>332060.19</v>
      </c>
    </row>
    <row r="49" spans="1:7" x14ac:dyDescent="0.25">
      <c r="A49" s="54">
        <v>41916</v>
      </c>
      <c r="B49" s="1">
        <f t="shared" si="6"/>
        <v>1</v>
      </c>
      <c r="C49" s="14">
        <f t="shared" si="9"/>
        <v>15885</v>
      </c>
      <c r="D49" s="95">
        <f t="shared" si="1"/>
        <v>15748.54</v>
      </c>
      <c r="E49" s="96">
        <f t="shared" si="10"/>
        <v>136.46</v>
      </c>
      <c r="F49" s="14">
        <f t="shared" si="8"/>
        <v>332060.19</v>
      </c>
      <c r="G49" s="14">
        <f t="shared" si="3"/>
        <v>316311.65000000002</v>
      </c>
    </row>
    <row r="50" spans="1:7" x14ac:dyDescent="0.25">
      <c r="A50" s="54">
        <v>41917</v>
      </c>
      <c r="B50" s="1">
        <f t="shared" si="6"/>
        <v>1</v>
      </c>
      <c r="C50" s="14">
        <f t="shared" si="9"/>
        <v>15885</v>
      </c>
      <c r="D50" s="95">
        <f t="shared" si="1"/>
        <v>15755.01</v>
      </c>
      <c r="E50" s="96">
        <f t="shared" si="10"/>
        <v>129.99</v>
      </c>
      <c r="F50" s="14">
        <f t="shared" si="8"/>
        <v>316311.65000000002</v>
      </c>
      <c r="G50" s="14">
        <f t="shared" si="3"/>
        <v>300556.64</v>
      </c>
    </row>
    <row r="51" spans="1:7" x14ac:dyDescent="0.25">
      <c r="A51" s="54">
        <v>41918</v>
      </c>
      <c r="B51" s="1">
        <f t="shared" si="6"/>
        <v>1</v>
      </c>
      <c r="C51" s="14">
        <f t="shared" si="9"/>
        <v>15885</v>
      </c>
      <c r="D51" s="95">
        <f t="shared" si="1"/>
        <v>15761.48</v>
      </c>
      <c r="E51" s="96">
        <f t="shared" si="10"/>
        <v>123.52</v>
      </c>
      <c r="F51" s="14">
        <f t="shared" si="8"/>
        <v>300556.64</v>
      </c>
      <c r="G51" s="14">
        <f t="shared" si="3"/>
        <v>284795.16000000003</v>
      </c>
    </row>
    <row r="52" spans="1:7" x14ac:dyDescent="0.25">
      <c r="A52" s="54">
        <v>41919</v>
      </c>
      <c r="B52" s="1">
        <f t="shared" si="6"/>
        <v>1</v>
      </c>
      <c r="C52" s="14">
        <f t="shared" si="9"/>
        <v>15885</v>
      </c>
      <c r="D52" s="95">
        <f t="shared" si="1"/>
        <v>15767.96</v>
      </c>
      <c r="E52" s="96">
        <f t="shared" si="10"/>
        <v>117.04</v>
      </c>
      <c r="F52" s="14">
        <f t="shared" si="8"/>
        <v>284795.16000000003</v>
      </c>
      <c r="G52" s="14">
        <f t="shared" si="3"/>
        <v>269027.20000000001</v>
      </c>
    </row>
    <row r="53" spans="1:7" x14ac:dyDescent="0.25">
      <c r="A53" s="54">
        <v>41920</v>
      </c>
      <c r="B53" s="1">
        <f t="shared" si="6"/>
        <v>1</v>
      </c>
      <c r="C53" s="14">
        <f t="shared" si="9"/>
        <v>15885</v>
      </c>
      <c r="D53" s="95">
        <f t="shared" si="1"/>
        <v>15774.44</v>
      </c>
      <c r="E53" s="96">
        <f t="shared" si="10"/>
        <v>110.56</v>
      </c>
      <c r="F53" s="14">
        <f t="shared" si="8"/>
        <v>269027.20000000001</v>
      </c>
      <c r="G53" s="14">
        <f t="shared" si="3"/>
        <v>253252.76</v>
      </c>
    </row>
    <row r="54" spans="1:7" x14ac:dyDescent="0.25">
      <c r="A54" s="54">
        <v>41921</v>
      </c>
      <c r="B54" s="1">
        <f t="shared" si="6"/>
        <v>1</v>
      </c>
      <c r="C54" s="14">
        <f t="shared" si="9"/>
        <v>15885</v>
      </c>
      <c r="D54" s="95">
        <f t="shared" si="1"/>
        <v>15780.92</v>
      </c>
      <c r="E54" s="96">
        <f t="shared" si="10"/>
        <v>104.08</v>
      </c>
      <c r="F54" s="14">
        <f t="shared" si="8"/>
        <v>253252.76</v>
      </c>
      <c r="G54" s="14">
        <f t="shared" si="3"/>
        <v>237471.84</v>
      </c>
    </row>
    <row r="55" spans="1:7" x14ac:dyDescent="0.25">
      <c r="A55" s="54">
        <v>41922</v>
      </c>
      <c r="B55" s="1">
        <f t="shared" si="6"/>
        <v>1</v>
      </c>
      <c r="C55" s="14">
        <f t="shared" si="9"/>
        <v>15885</v>
      </c>
      <c r="D55" s="95">
        <f t="shared" si="1"/>
        <v>15787.41</v>
      </c>
      <c r="E55" s="96">
        <f t="shared" si="10"/>
        <v>97.59</v>
      </c>
      <c r="F55" s="14">
        <f t="shared" si="8"/>
        <v>237471.84</v>
      </c>
      <c r="G55" s="14">
        <f t="shared" si="3"/>
        <v>221684.43</v>
      </c>
    </row>
    <row r="56" spans="1:7" x14ac:dyDescent="0.25">
      <c r="A56" s="54">
        <v>41923</v>
      </c>
      <c r="B56" s="1">
        <f t="shared" si="6"/>
        <v>1</v>
      </c>
      <c r="C56" s="14">
        <f t="shared" si="9"/>
        <v>15885</v>
      </c>
      <c r="D56" s="95">
        <f t="shared" si="1"/>
        <v>15793.9</v>
      </c>
      <c r="E56" s="96">
        <f t="shared" ref="E56:E68" si="11">ROUND(F56*$B$2*B56/365,2)</f>
        <v>91.1</v>
      </c>
      <c r="F56" s="14">
        <f t="shared" ref="F56:F69" si="12">G55</f>
        <v>221684.43</v>
      </c>
      <c r="G56" s="14">
        <f t="shared" ref="G56:G69" si="13">F56-D56</f>
        <v>205890.53</v>
      </c>
    </row>
    <row r="57" spans="1:7" x14ac:dyDescent="0.25">
      <c r="A57" s="54">
        <v>41924</v>
      </c>
      <c r="B57" s="1">
        <f t="shared" si="6"/>
        <v>1</v>
      </c>
      <c r="C57" s="14">
        <f t="shared" si="9"/>
        <v>15885</v>
      </c>
      <c r="D57" s="95">
        <f t="shared" si="1"/>
        <v>15800.39</v>
      </c>
      <c r="E57" s="96">
        <f t="shared" si="11"/>
        <v>84.61</v>
      </c>
      <c r="F57" s="14">
        <f t="shared" si="12"/>
        <v>205890.53</v>
      </c>
      <c r="G57" s="14">
        <f t="shared" si="13"/>
        <v>190090.14</v>
      </c>
    </row>
    <row r="58" spans="1:7" x14ac:dyDescent="0.25">
      <c r="A58" s="54">
        <v>41925</v>
      </c>
      <c r="B58" s="1">
        <f t="shared" si="6"/>
        <v>1</v>
      </c>
      <c r="C58" s="14">
        <f t="shared" si="9"/>
        <v>15885</v>
      </c>
      <c r="D58" s="95">
        <f t="shared" si="1"/>
        <v>15806.88</v>
      </c>
      <c r="E58" s="96">
        <f t="shared" si="11"/>
        <v>78.12</v>
      </c>
      <c r="F58" s="14">
        <f t="shared" si="12"/>
        <v>190090.14</v>
      </c>
      <c r="G58" s="14">
        <f t="shared" si="13"/>
        <v>174283.26</v>
      </c>
    </row>
    <row r="59" spans="1:7" x14ac:dyDescent="0.25">
      <c r="A59" s="54">
        <v>41926</v>
      </c>
      <c r="B59" s="1">
        <f t="shared" si="6"/>
        <v>1</v>
      </c>
      <c r="C59" s="14">
        <f t="shared" si="9"/>
        <v>15885</v>
      </c>
      <c r="D59" s="95">
        <f t="shared" si="1"/>
        <v>15813.38</v>
      </c>
      <c r="E59" s="96">
        <f t="shared" si="11"/>
        <v>71.62</v>
      </c>
      <c r="F59" s="14">
        <f t="shared" si="12"/>
        <v>174283.26</v>
      </c>
      <c r="G59" s="14">
        <f t="shared" si="13"/>
        <v>158469.88</v>
      </c>
    </row>
    <row r="60" spans="1:7" x14ac:dyDescent="0.25">
      <c r="A60" s="54">
        <v>41927</v>
      </c>
      <c r="B60" s="1">
        <f t="shared" si="6"/>
        <v>1</v>
      </c>
      <c r="C60" s="14">
        <f t="shared" si="9"/>
        <v>15885</v>
      </c>
      <c r="D60" s="95">
        <f t="shared" si="1"/>
        <v>15819.88</v>
      </c>
      <c r="E60" s="96">
        <f t="shared" si="11"/>
        <v>65.12</v>
      </c>
      <c r="F60" s="14">
        <f t="shared" si="12"/>
        <v>158469.88</v>
      </c>
      <c r="G60" s="14">
        <f t="shared" si="13"/>
        <v>142650</v>
      </c>
    </row>
    <row r="61" spans="1:7" x14ac:dyDescent="0.25">
      <c r="A61" s="54">
        <v>41928</v>
      </c>
      <c r="B61" s="1">
        <f t="shared" si="6"/>
        <v>1</v>
      </c>
      <c r="C61" s="14">
        <f t="shared" si="9"/>
        <v>15885</v>
      </c>
      <c r="D61" s="95">
        <f t="shared" si="1"/>
        <v>15826.38</v>
      </c>
      <c r="E61" s="96">
        <f t="shared" si="11"/>
        <v>58.62</v>
      </c>
      <c r="F61" s="14">
        <f t="shared" si="12"/>
        <v>142650</v>
      </c>
      <c r="G61" s="14">
        <f t="shared" si="13"/>
        <v>126823.62</v>
      </c>
    </row>
    <row r="62" spans="1:7" x14ac:dyDescent="0.25">
      <c r="A62" s="54">
        <v>41929</v>
      </c>
      <c r="B62" s="1">
        <f t="shared" si="6"/>
        <v>1</v>
      </c>
      <c r="C62" s="14">
        <f t="shared" si="9"/>
        <v>15885</v>
      </c>
      <c r="D62" s="95">
        <f t="shared" si="1"/>
        <v>15832.88</v>
      </c>
      <c r="E62" s="96">
        <f t="shared" si="11"/>
        <v>52.12</v>
      </c>
      <c r="F62" s="14">
        <f t="shared" si="12"/>
        <v>126823.62</v>
      </c>
      <c r="G62" s="14">
        <f t="shared" si="13"/>
        <v>110990.73999999999</v>
      </c>
    </row>
    <row r="63" spans="1:7" x14ac:dyDescent="0.25">
      <c r="A63" s="54">
        <v>41930</v>
      </c>
      <c r="B63" s="1">
        <f t="shared" si="6"/>
        <v>1</v>
      </c>
      <c r="C63" s="14">
        <f t="shared" si="9"/>
        <v>15885</v>
      </c>
      <c r="D63" s="95">
        <f t="shared" si="1"/>
        <v>15839.39</v>
      </c>
      <c r="E63" s="96">
        <f t="shared" si="11"/>
        <v>45.61</v>
      </c>
      <c r="F63" s="14">
        <f t="shared" si="12"/>
        <v>110990.73999999999</v>
      </c>
      <c r="G63" s="14">
        <f t="shared" si="13"/>
        <v>95151.349999999991</v>
      </c>
    </row>
    <row r="64" spans="1:7" x14ac:dyDescent="0.25">
      <c r="A64" s="54">
        <v>41931</v>
      </c>
      <c r="B64" s="1">
        <f t="shared" si="6"/>
        <v>1</v>
      </c>
      <c r="C64" s="14">
        <f t="shared" si="9"/>
        <v>15885</v>
      </c>
      <c r="D64" s="95">
        <f t="shared" si="1"/>
        <v>15845.9</v>
      </c>
      <c r="E64" s="96">
        <f t="shared" si="11"/>
        <v>39.1</v>
      </c>
      <c r="F64" s="14">
        <f t="shared" si="12"/>
        <v>95151.349999999991</v>
      </c>
      <c r="G64" s="14">
        <f t="shared" si="13"/>
        <v>79305.45</v>
      </c>
    </row>
    <row r="65" spans="1:7" x14ac:dyDescent="0.25">
      <c r="A65" s="54">
        <v>41932</v>
      </c>
      <c r="B65" s="1">
        <f t="shared" si="6"/>
        <v>1</v>
      </c>
      <c r="C65" s="14">
        <f t="shared" si="9"/>
        <v>15885</v>
      </c>
      <c r="D65" s="95">
        <f t="shared" si="1"/>
        <v>15852.41</v>
      </c>
      <c r="E65" s="96">
        <f t="shared" si="11"/>
        <v>32.590000000000003</v>
      </c>
      <c r="F65" s="14">
        <f t="shared" si="12"/>
        <v>79305.45</v>
      </c>
      <c r="G65" s="14">
        <f t="shared" si="13"/>
        <v>63453.039999999994</v>
      </c>
    </row>
    <row r="66" spans="1:7" x14ac:dyDescent="0.25">
      <c r="A66" s="54">
        <v>41933</v>
      </c>
      <c r="B66" s="1">
        <f t="shared" si="6"/>
        <v>1</v>
      </c>
      <c r="C66" s="14">
        <f t="shared" si="9"/>
        <v>15885</v>
      </c>
      <c r="D66" s="95">
        <f t="shared" si="1"/>
        <v>15858.92</v>
      </c>
      <c r="E66" s="96">
        <f t="shared" si="11"/>
        <v>26.08</v>
      </c>
      <c r="F66" s="14">
        <f t="shared" si="12"/>
        <v>63453.039999999994</v>
      </c>
      <c r="G66" s="14">
        <f t="shared" si="13"/>
        <v>47594.119999999995</v>
      </c>
    </row>
    <row r="67" spans="1:7" x14ac:dyDescent="0.25">
      <c r="A67" s="54">
        <v>41934</v>
      </c>
      <c r="B67" s="1">
        <f t="shared" si="6"/>
        <v>1</v>
      </c>
      <c r="C67" s="14">
        <f t="shared" si="9"/>
        <v>15885</v>
      </c>
      <c r="D67" s="95">
        <f t="shared" si="1"/>
        <v>15865.44</v>
      </c>
      <c r="E67" s="96">
        <f t="shared" si="11"/>
        <v>19.559999999999999</v>
      </c>
      <c r="F67" s="14">
        <f t="shared" si="12"/>
        <v>47594.119999999995</v>
      </c>
      <c r="G67" s="14">
        <f t="shared" si="13"/>
        <v>31728.679999999993</v>
      </c>
    </row>
    <row r="68" spans="1:7" x14ac:dyDescent="0.25">
      <c r="A68" s="54">
        <v>41935</v>
      </c>
      <c r="B68" s="1">
        <f t="shared" si="6"/>
        <v>1</v>
      </c>
      <c r="C68" s="14">
        <f t="shared" si="9"/>
        <v>15885</v>
      </c>
      <c r="D68" s="95">
        <f t="shared" ref="D68:D69" si="14">C68-E68</f>
        <v>15871.96</v>
      </c>
      <c r="E68" s="96">
        <f t="shared" si="11"/>
        <v>13.04</v>
      </c>
      <c r="F68" s="14">
        <f t="shared" si="12"/>
        <v>31728.679999999993</v>
      </c>
      <c r="G68" s="14">
        <f t="shared" si="13"/>
        <v>15856.719999999994</v>
      </c>
    </row>
    <row r="69" spans="1:7" x14ac:dyDescent="0.25">
      <c r="A69" s="54">
        <v>41936</v>
      </c>
      <c r="B69" s="1">
        <f t="shared" ref="B69" si="15">_xlfn.DAYS(A69,A68)</f>
        <v>1</v>
      </c>
      <c r="C69" s="14">
        <f t="shared" si="9"/>
        <v>15885</v>
      </c>
      <c r="D69" s="95">
        <f t="shared" si="14"/>
        <v>15856.719999999994</v>
      </c>
      <c r="E69" s="96">
        <v>28.280000000005675</v>
      </c>
      <c r="F69" s="14">
        <f t="shared" si="12"/>
        <v>15856.719999999994</v>
      </c>
      <c r="G69" s="14">
        <f t="shared" si="13"/>
        <v>0</v>
      </c>
    </row>
  </sheetData>
  <pageMargins left="0.7" right="0.7" top="0.75" bottom="0.75" header="0.3" footer="0.3"/>
  <pageSetup orientation="portrait" r:id="rId1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895991-46DD-4A60-B4B2-03F0DC5D459C}">
  <dimension ref="A1:R2"/>
  <sheetViews>
    <sheetView workbookViewId="0">
      <selection activeCell="Q2" sqref="Q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93.8554687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29</v>
      </c>
      <c r="J2" s="8" t="s">
        <v>42</v>
      </c>
      <c r="K2" s="8" t="s">
        <v>25</v>
      </c>
      <c r="L2" s="8" t="s">
        <v>326</v>
      </c>
      <c r="M2" s="8" t="s">
        <v>27</v>
      </c>
      <c r="N2" s="20" t="s">
        <v>29</v>
      </c>
      <c r="O2" s="20" t="s">
        <v>206</v>
      </c>
      <c r="P2" s="20" t="s">
        <v>141</v>
      </c>
      <c r="Q2" s="117" t="s">
        <v>161</v>
      </c>
      <c r="R2" s="8" t="s">
        <v>332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145D63-E9E6-4709-B059-3BB2E5AED4CA}">
  <dimension ref="A1:J59"/>
  <sheetViews>
    <sheetView zoomScaleNormal="100" workbookViewId="0">
      <pane ySplit="3" topLeftCell="A41" activePane="bottomLeft" state="frozen"/>
      <selection activeCell="Q2" sqref="Q2"/>
      <selection pane="bottomLeft" activeCell="H1" sqref="H1"/>
    </sheetView>
  </sheetViews>
  <sheetFormatPr defaultRowHeight="15" x14ac:dyDescent="0.25"/>
  <cols>
    <col min="1" max="1" width="15.140625" bestFit="1" customWidth="1"/>
    <col min="2" max="2" width="13.7109375" bestFit="1" customWidth="1"/>
    <col min="3" max="3" width="23" bestFit="1" customWidth="1"/>
    <col min="4" max="4" width="14.5703125" bestFit="1" customWidth="1"/>
    <col min="5" max="5" width="16.5703125" bestFit="1" customWidth="1"/>
    <col min="6" max="6" width="16" bestFit="1" customWidth="1"/>
    <col min="7" max="7" width="16.5703125" bestFit="1" customWidth="1"/>
    <col min="8" max="8" width="15.140625" bestFit="1" customWidth="1"/>
    <col min="9" max="9" width="15.7109375" bestFit="1" customWidth="1"/>
    <col min="10" max="10" width="10.5703125" bestFit="1" customWidth="1"/>
  </cols>
  <sheetData>
    <row r="1" spans="1:10" x14ac:dyDescent="0.25">
      <c r="A1" s="17" t="s">
        <v>33</v>
      </c>
      <c r="B1" s="22">
        <v>41856</v>
      </c>
      <c r="C1" s="15" t="s">
        <v>37</v>
      </c>
      <c r="D1" s="37">
        <f>ROUNDUP(24316.5073855909,0)</f>
        <v>24317</v>
      </c>
      <c r="E1" s="73" t="s">
        <v>147</v>
      </c>
      <c r="F1" s="20" t="s">
        <v>206</v>
      </c>
      <c r="G1" s="73" t="s">
        <v>150</v>
      </c>
      <c r="H1" s="79">
        <v>4521.75000000001</v>
      </c>
      <c r="I1" s="73" t="s">
        <v>334</v>
      </c>
      <c r="J1" s="117">
        <v>30000</v>
      </c>
    </row>
    <row r="2" spans="1:10" x14ac:dyDescent="0.25">
      <c r="A2" s="17" t="s">
        <v>34</v>
      </c>
      <c r="B2" s="18">
        <v>0.15</v>
      </c>
    </row>
    <row r="3" spans="1:10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0" x14ac:dyDescent="0.25">
      <c r="A4" s="54">
        <v>41887</v>
      </c>
      <c r="B4" s="1">
        <f>_xlfn.DAYS(A4,B1)</f>
        <v>31</v>
      </c>
      <c r="C4" s="14">
        <f t="shared" ref="C4:C46" si="0">$D$1</f>
        <v>24317</v>
      </c>
      <c r="D4" s="95">
        <f t="shared" ref="D4:D59" si="1">C4-E4</f>
        <v>11577.27</v>
      </c>
      <c r="E4" s="96">
        <f t="shared" ref="E4:E44" si="2">ROUND(F4*$B$2*B4/365,2)</f>
        <v>12739.73</v>
      </c>
      <c r="F4" s="14">
        <v>1000000</v>
      </c>
      <c r="G4" s="14">
        <f t="shared" ref="G4:G59" si="3">F4-D4</f>
        <v>988422.73</v>
      </c>
      <c r="H4" s="14">
        <f t="shared" ref="H4:H9" si="4">F4*$B$2*B4/365</f>
        <v>12739.726027397261</v>
      </c>
      <c r="I4" s="16">
        <f t="shared" ref="I4:I9" si="5">H4-E4</f>
        <v>-3.9726027389406227E-3</v>
      </c>
    </row>
    <row r="5" spans="1:10" x14ac:dyDescent="0.25">
      <c r="A5" s="54">
        <v>41888</v>
      </c>
      <c r="B5" s="1">
        <f t="shared" ref="B5:B59" si="6">_xlfn.DAYS(A5,A4)</f>
        <v>1</v>
      </c>
      <c r="C5" s="14">
        <f t="shared" si="0"/>
        <v>24317</v>
      </c>
      <c r="D5" s="95">
        <f t="shared" si="1"/>
        <v>23910.799999999999</v>
      </c>
      <c r="E5" s="96">
        <f t="shared" si="2"/>
        <v>406.2</v>
      </c>
      <c r="F5" s="14">
        <f t="shared" ref="F5:F45" si="7">G4</f>
        <v>988422.73</v>
      </c>
      <c r="G5" s="14">
        <f t="shared" si="3"/>
        <v>964511.92999999993</v>
      </c>
      <c r="H5" s="14">
        <f t="shared" si="4"/>
        <v>406.20112191780817</v>
      </c>
      <c r="I5" s="16">
        <f t="shared" si="5"/>
        <v>1.1219178081773862E-3</v>
      </c>
    </row>
    <row r="6" spans="1:10" x14ac:dyDescent="0.25">
      <c r="A6" s="54">
        <v>41889</v>
      </c>
      <c r="B6" s="1">
        <f t="shared" si="6"/>
        <v>1</v>
      </c>
      <c r="C6" s="14">
        <f t="shared" si="0"/>
        <v>24317</v>
      </c>
      <c r="D6" s="95">
        <f t="shared" si="1"/>
        <v>23920.63</v>
      </c>
      <c r="E6" s="96">
        <f t="shared" si="2"/>
        <v>396.37</v>
      </c>
      <c r="F6" s="14">
        <f t="shared" si="7"/>
        <v>964511.92999999993</v>
      </c>
      <c r="G6" s="14">
        <f t="shared" si="3"/>
        <v>940591.29999999993</v>
      </c>
      <c r="H6" s="14">
        <f t="shared" si="4"/>
        <v>396.37476575342464</v>
      </c>
      <c r="I6" s="16">
        <f t="shared" si="5"/>
        <v>4.7657534246354771E-3</v>
      </c>
    </row>
    <row r="7" spans="1:10" x14ac:dyDescent="0.25">
      <c r="A7" s="54">
        <v>41890</v>
      </c>
      <c r="B7" s="1">
        <f t="shared" si="6"/>
        <v>1</v>
      </c>
      <c r="C7" s="14">
        <f t="shared" si="0"/>
        <v>24317</v>
      </c>
      <c r="D7" s="95">
        <f t="shared" si="1"/>
        <v>23930.46</v>
      </c>
      <c r="E7" s="96">
        <f t="shared" si="2"/>
        <v>386.54</v>
      </c>
      <c r="F7" s="14">
        <f t="shared" si="7"/>
        <v>940591.29999999993</v>
      </c>
      <c r="G7" s="14">
        <f t="shared" si="3"/>
        <v>916660.84</v>
      </c>
      <c r="H7" s="14">
        <f t="shared" si="4"/>
        <v>386.54436986301363</v>
      </c>
      <c r="I7" s="16">
        <f t="shared" si="5"/>
        <v>4.3698630136077554E-3</v>
      </c>
    </row>
    <row r="8" spans="1:10" x14ac:dyDescent="0.25">
      <c r="A8" s="54">
        <v>41891</v>
      </c>
      <c r="B8" s="1">
        <f t="shared" si="6"/>
        <v>1</v>
      </c>
      <c r="C8" s="14">
        <f t="shared" si="0"/>
        <v>24317</v>
      </c>
      <c r="D8" s="95">
        <f t="shared" si="1"/>
        <v>23940.29</v>
      </c>
      <c r="E8" s="96">
        <f t="shared" si="2"/>
        <v>376.71</v>
      </c>
      <c r="F8" s="14">
        <f t="shared" si="7"/>
        <v>916660.84</v>
      </c>
      <c r="G8" s="14">
        <f t="shared" si="3"/>
        <v>892720.54999999993</v>
      </c>
      <c r="H8" s="14">
        <f t="shared" si="4"/>
        <v>376.7099342465753</v>
      </c>
      <c r="I8" s="16">
        <f t="shared" si="5"/>
        <v>-6.5753424678405281E-5</v>
      </c>
    </row>
    <row r="9" spans="1:10" x14ac:dyDescent="0.25">
      <c r="A9" s="54">
        <v>41892</v>
      </c>
      <c r="B9" s="1">
        <f t="shared" si="6"/>
        <v>1</v>
      </c>
      <c r="C9" s="14">
        <f t="shared" si="0"/>
        <v>24317</v>
      </c>
      <c r="D9" s="95">
        <f t="shared" si="1"/>
        <v>23950.13</v>
      </c>
      <c r="E9" s="96">
        <f t="shared" si="2"/>
        <v>366.87</v>
      </c>
      <c r="F9" s="14">
        <f t="shared" si="7"/>
        <v>892720.54999999993</v>
      </c>
      <c r="G9" s="14">
        <f t="shared" si="3"/>
        <v>868770.41999999993</v>
      </c>
      <c r="H9" s="99">
        <f t="shared" si="4"/>
        <v>366.87145890410955</v>
      </c>
      <c r="I9" s="112">
        <f t="shared" si="5"/>
        <v>1.4589041095405264E-3</v>
      </c>
    </row>
    <row r="10" spans="1:10" x14ac:dyDescent="0.25">
      <c r="A10" s="54">
        <v>41893</v>
      </c>
      <c r="B10" s="1">
        <f t="shared" si="6"/>
        <v>1</v>
      </c>
      <c r="C10" s="14">
        <f t="shared" si="0"/>
        <v>24317</v>
      </c>
      <c r="D10" s="95">
        <f t="shared" si="1"/>
        <v>23959.97</v>
      </c>
      <c r="E10" s="96">
        <f t="shared" si="2"/>
        <v>357.03</v>
      </c>
      <c r="F10" s="14">
        <f t="shared" si="7"/>
        <v>868770.41999999993</v>
      </c>
      <c r="G10" s="14">
        <f t="shared" si="3"/>
        <v>844810.45</v>
      </c>
      <c r="H10" s="14"/>
      <c r="I10" s="16"/>
    </row>
    <row r="11" spans="1:10" x14ac:dyDescent="0.25">
      <c r="A11" s="54">
        <v>41894</v>
      </c>
      <c r="B11" s="1">
        <f t="shared" si="6"/>
        <v>1</v>
      </c>
      <c r="C11" s="14">
        <f t="shared" si="0"/>
        <v>24317</v>
      </c>
      <c r="D11" s="95">
        <f t="shared" si="1"/>
        <v>23969.82</v>
      </c>
      <c r="E11" s="96">
        <f t="shared" si="2"/>
        <v>347.18</v>
      </c>
      <c r="F11" s="14">
        <f t="shared" si="7"/>
        <v>844810.45</v>
      </c>
      <c r="G11" s="14">
        <f t="shared" si="3"/>
        <v>820840.63</v>
      </c>
      <c r="H11" s="14"/>
      <c r="I11" s="16"/>
    </row>
    <row r="12" spans="1:10" x14ac:dyDescent="0.25">
      <c r="A12" s="54">
        <v>41895</v>
      </c>
      <c r="B12" s="1">
        <f t="shared" si="6"/>
        <v>1</v>
      </c>
      <c r="C12" s="14">
        <f t="shared" si="0"/>
        <v>24317</v>
      </c>
      <c r="D12" s="95">
        <f t="shared" si="1"/>
        <v>23979.67</v>
      </c>
      <c r="E12" s="96">
        <f t="shared" si="2"/>
        <v>337.33</v>
      </c>
      <c r="F12" s="14">
        <f t="shared" si="7"/>
        <v>820840.63</v>
      </c>
      <c r="G12" s="14">
        <f t="shared" si="3"/>
        <v>796860.96</v>
      </c>
      <c r="H12" s="14"/>
      <c r="I12" s="16"/>
    </row>
    <row r="13" spans="1:10" x14ac:dyDescent="0.25">
      <c r="A13" s="54">
        <v>41896</v>
      </c>
      <c r="B13" s="1">
        <f t="shared" si="6"/>
        <v>1</v>
      </c>
      <c r="C13" s="14">
        <f t="shared" si="0"/>
        <v>24317</v>
      </c>
      <c r="D13" s="95">
        <f t="shared" si="1"/>
        <v>23989.52</v>
      </c>
      <c r="E13" s="96">
        <f t="shared" si="2"/>
        <v>327.48</v>
      </c>
      <c r="F13" s="14">
        <f t="shared" si="7"/>
        <v>796860.96</v>
      </c>
      <c r="G13" s="14">
        <f t="shared" si="3"/>
        <v>772871.44</v>
      </c>
      <c r="H13" s="14"/>
      <c r="I13" s="16"/>
    </row>
    <row r="14" spans="1:10" x14ac:dyDescent="0.25">
      <c r="A14" s="54">
        <v>41897</v>
      </c>
      <c r="B14" s="1">
        <f t="shared" si="6"/>
        <v>1</v>
      </c>
      <c r="C14" s="14">
        <f t="shared" si="0"/>
        <v>24317</v>
      </c>
      <c r="D14" s="95">
        <f t="shared" si="1"/>
        <v>23999.38</v>
      </c>
      <c r="E14" s="96">
        <f t="shared" si="2"/>
        <v>317.62</v>
      </c>
      <c r="F14" s="14">
        <f t="shared" si="7"/>
        <v>772871.44</v>
      </c>
      <c r="G14" s="14">
        <f t="shared" si="3"/>
        <v>748872.05999999994</v>
      </c>
      <c r="H14" s="14"/>
      <c r="I14" s="16"/>
    </row>
    <row r="15" spans="1:10" x14ac:dyDescent="0.25">
      <c r="A15" s="54">
        <v>41898</v>
      </c>
      <c r="B15" s="1">
        <f t="shared" si="6"/>
        <v>1</v>
      </c>
      <c r="C15" s="14">
        <f t="shared" si="0"/>
        <v>24317</v>
      </c>
      <c r="D15" s="95">
        <f t="shared" si="1"/>
        <v>24009.24</v>
      </c>
      <c r="E15" s="96">
        <f t="shared" si="2"/>
        <v>307.76</v>
      </c>
      <c r="F15" s="14">
        <f t="shared" si="7"/>
        <v>748872.05999999994</v>
      </c>
      <c r="G15" s="14">
        <f t="shared" si="3"/>
        <v>724862.82</v>
      </c>
      <c r="H15" s="114"/>
      <c r="I15" s="115"/>
    </row>
    <row r="16" spans="1:10" x14ac:dyDescent="0.25">
      <c r="A16" s="54">
        <v>41899</v>
      </c>
      <c r="B16" s="1">
        <f t="shared" si="6"/>
        <v>1</v>
      </c>
      <c r="C16" s="14">
        <f t="shared" si="0"/>
        <v>24317</v>
      </c>
      <c r="D16" s="95">
        <f t="shared" si="1"/>
        <v>24019.11</v>
      </c>
      <c r="E16" s="96">
        <f t="shared" si="2"/>
        <v>297.89</v>
      </c>
      <c r="F16" s="14">
        <f t="shared" si="7"/>
        <v>724862.82</v>
      </c>
      <c r="G16" s="14">
        <f t="shared" si="3"/>
        <v>700843.71</v>
      </c>
    </row>
    <row r="17" spans="1:7" x14ac:dyDescent="0.25">
      <c r="A17" s="54">
        <v>41900</v>
      </c>
      <c r="B17" s="1">
        <f t="shared" si="6"/>
        <v>1</v>
      </c>
      <c r="C17" s="14">
        <f t="shared" si="0"/>
        <v>24317</v>
      </c>
      <c r="D17" s="95">
        <f t="shared" si="1"/>
        <v>24028.98</v>
      </c>
      <c r="E17" s="96">
        <f t="shared" si="2"/>
        <v>288.02</v>
      </c>
      <c r="F17" s="14">
        <f t="shared" si="7"/>
        <v>700843.71</v>
      </c>
      <c r="G17" s="14">
        <f t="shared" si="3"/>
        <v>676814.73</v>
      </c>
    </row>
    <row r="18" spans="1:7" x14ac:dyDescent="0.25">
      <c r="A18" s="54">
        <v>41901</v>
      </c>
      <c r="B18" s="1">
        <f t="shared" si="6"/>
        <v>1</v>
      </c>
      <c r="C18" s="14">
        <f t="shared" si="0"/>
        <v>24317</v>
      </c>
      <c r="D18" s="95">
        <f t="shared" si="1"/>
        <v>24038.86</v>
      </c>
      <c r="E18" s="96">
        <f t="shared" si="2"/>
        <v>278.14</v>
      </c>
      <c r="F18" s="14">
        <f t="shared" si="7"/>
        <v>676814.73</v>
      </c>
      <c r="G18" s="14">
        <f t="shared" si="3"/>
        <v>652775.87</v>
      </c>
    </row>
    <row r="19" spans="1:7" x14ac:dyDescent="0.25">
      <c r="A19" s="54">
        <v>41902</v>
      </c>
      <c r="B19" s="1">
        <f t="shared" si="6"/>
        <v>1</v>
      </c>
      <c r="C19" s="14">
        <f t="shared" si="0"/>
        <v>24317</v>
      </c>
      <c r="D19" s="95">
        <f t="shared" si="1"/>
        <v>24048.74</v>
      </c>
      <c r="E19" s="96">
        <f t="shared" si="2"/>
        <v>268.26</v>
      </c>
      <c r="F19" s="14">
        <f t="shared" si="7"/>
        <v>652775.87</v>
      </c>
      <c r="G19" s="14">
        <f t="shared" si="3"/>
        <v>628727.13</v>
      </c>
    </row>
    <row r="20" spans="1:7" x14ac:dyDescent="0.25">
      <c r="A20" s="54">
        <v>41903</v>
      </c>
      <c r="B20" s="1">
        <f t="shared" si="6"/>
        <v>1</v>
      </c>
      <c r="C20" s="14">
        <f t="shared" si="0"/>
        <v>24317</v>
      </c>
      <c r="D20" s="95">
        <f t="shared" si="1"/>
        <v>24058.62</v>
      </c>
      <c r="E20" s="96">
        <f t="shared" si="2"/>
        <v>258.38</v>
      </c>
      <c r="F20" s="14">
        <f t="shared" si="7"/>
        <v>628727.13</v>
      </c>
      <c r="G20" s="14">
        <f t="shared" si="3"/>
        <v>604668.51</v>
      </c>
    </row>
    <row r="21" spans="1:7" x14ac:dyDescent="0.25">
      <c r="A21" s="54">
        <v>41904</v>
      </c>
      <c r="B21" s="1">
        <f t="shared" si="6"/>
        <v>1</v>
      </c>
      <c r="C21" s="14">
        <f t="shared" si="0"/>
        <v>24317</v>
      </c>
      <c r="D21" s="95">
        <f t="shared" si="1"/>
        <v>24068.51</v>
      </c>
      <c r="E21" s="96">
        <f t="shared" si="2"/>
        <v>248.49</v>
      </c>
      <c r="F21" s="14">
        <f t="shared" si="7"/>
        <v>604668.51</v>
      </c>
      <c r="G21" s="14">
        <f t="shared" si="3"/>
        <v>580600</v>
      </c>
    </row>
    <row r="22" spans="1:7" x14ac:dyDescent="0.25">
      <c r="A22" s="54">
        <v>41905</v>
      </c>
      <c r="B22" s="1">
        <f t="shared" si="6"/>
        <v>1</v>
      </c>
      <c r="C22" s="14">
        <f t="shared" si="0"/>
        <v>24317</v>
      </c>
      <c r="D22" s="95">
        <f t="shared" si="1"/>
        <v>24078.400000000001</v>
      </c>
      <c r="E22" s="96">
        <f t="shared" si="2"/>
        <v>238.6</v>
      </c>
      <c r="F22" s="14">
        <f t="shared" si="7"/>
        <v>580600</v>
      </c>
      <c r="G22" s="14">
        <f t="shared" si="3"/>
        <v>556521.6</v>
      </c>
    </row>
    <row r="23" spans="1:7" x14ac:dyDescent="0.25">
      <c r="A23" s="54">
        <v>41906</v>
      </c>
      <c r="B23" s="1">
        <f t="shared" si="6"/>
        <v>1</v>
      </c>
      <c r="C23" s="14">
        <f t="shared" si="0"/>
        <v>24317</v>
      </c>
      <c r="D23" s="95">
        <f t="shared" si="1"/>
        <v>24088.29</v>
      </c>
      <c r="E23" s="96">
        <f t="shared" si="2"/>
        <v>228.71</v>
      </c>
      <c r="F23" s="14">
        <f t="shared" si="7"/>
        <v>556521.6</v>
      </c>
      <c r="G23" s="14">
        <f t="shared" si="3"/>
        <v>532433.30999999994</v>
      </c>
    </row>
    <row r="24" spans="1:7" x14ac:dyDescent="0.25">
      <c r="A24" s="54">
        <v>41907</v>
      </c>
      <c r="B24" s="1">
        <f t="shared" si="6"/>
        <v>1</v>
      </c>
      <c r="C24" s="14">
        <f t="shared" si="0"/>
        <v>24317</v>
      </c>
      <c r="D24" s="95">
        <f t="shared" si="1"/>
        <v>24098.19</v>
      </c>
      <c r="E24" s="96">
        <f t="shared" si="2"/>
        <v>218.81</v>
      </c>
      <c r="F24" s="14">
        <f t="shared" si="7"/>
        <v>532433.30999999994</v>
      </c>
      <c r="G24" s="14">
        <f t="shared" si="3"/>
        <v>508335.11999999994</v>
      </c>
    </row>
    <row r="25" spans="1:7" x14ac:dyDescent="0.25">
      <c r="A25" s="54">
        <v>41908</v>
      </c>
      <c r="B25" s="1">
        <f t="shared" si="6"/>
        <v>1</v>
      </c>
      <c r="C25" s="14">
        <f t="shared" si="0"/>
        <v>24317</v>
      </c>
      <c r="D25" s="95">
        <f t="shared" si="1"/>
        <v>24108.1</v>
      </c>
      <c r="E25" s="96">
        <f t="shared" si="2"/>
        <v>208.9</v>
      </c>
      <c r="F25" s="14">
        <f t="shared" si="7"/>
        <v>508335.11999999994</v>
      </c>
      <c r="G25" s="14">
        <f t="shared" si="3"/>
        <v>484227.01999999996</v>
      </c>
    </row>
    <row r="26" spans="1:7" x14ac:dyDescent="0.25">
      <c r="A26" s="54">
        <v>41909</v>
      </c>
      <c r="B26" s="1">
        <f t="shared" si="6"/>
        <v>1</v>
      </c>
      <c r="C26" s="14">
        <f t="shared" si="0"/>
        <v>24317</v>
      </c>
      <c r="D26" s="95">
        <f t="shared" si="1"/>
        <v>24118</v>
      </c>
      <c r="E26" s="96">
        <f t="shared" si="2"/>
        <v>199</v>
      </c>
      <c r="F26" s="14">
        <f t="shared" si="7"/>
        <v>484227.01999999996</v>
      </c>
      <c r="G26" s="14">
        <f t="shared" si="3"/>
        <v>460109.01999999996</v>
      </c>
    </row>
    <row r="27" spans="1:7" x14ac:dyDescent="0.25">
      <c r="A27" s="54">
        <v>41910</v>
      </c>
      <c r="B27" s="1">
        <f t="shared" si="6"/>
        <v>1</v>
      </c>
      <c r="C27" s="14">
        <f t="shared" si="0"/>
        <v>24317</v>
      </c>
      <c r="D27" s="95">
        <f t="shared" si="1"/>
        <v>24127.91</v>
      </c>
      <c r="E27" s="96">
        <f t="shared" si="2"/>
        <v>189.09</v>
      </c>
      <c r="F27" s="14">
        <f t="shared" si="7"/>
        <v>460109.01999999996</v>
      </c>
      <c r="G27" s="14">
        <f t="shared" si="3"/>
        <v>435981.11</v>
      </c>
    </row>
    <row r="28" spans="1:7" x14ac:dyDescent="0.25">
      <c r="A28" s="54">
        <v>41911</v>
      </c>
      <c r="B28" s="1">
        <f t="shared" si="6"/>
        <v>1</v>
      </c>
      <c r="C28" s="14">
        <f t="shared" si="0"/>
        <v>24317</v>
      </c>
      <c r="D28" s="95">
        <f t="shared" si="1"/>
        <v>24137.83</v>
      </c>
      <c r="E28" s="96">
        <f t="shared" si="2"/>
        <v>179.17</v>
      </c>
      <c r="F28" s="14">
        <f t="shared" si="7"/>
        <v>435981.11</v>
      </c>
      <c r="G28" s="14">
        <f t="shared" si="3"/>
        <v>411843.27999999997</v>
      </c>
    </row>
    <row r="29" spans="1:7" x14ac:dyDescent="0.25">
      <c r="A29" s="54">
        <v>41912</v>
      </c>
      <c r="B29" s="1">
        <f t="shared" si="6"/>
        <v>1</v>
      </c>
      <c r="C29" s="14">
        <f t="shared" si="0"/>
        <v>24317</v>
      </c>
      <c r="D29" s="95">
        <f t="shared" si="1"/>
        <v>24147.75</v>
      </c>
      <c r="E29" s="96">
        <f t="shared" si="2"/>
        <v>169.25</v>
      </c>
      <c r="F29" s="14">
        <f t="shared" si="7"/>
        <v>411843.27999999997</v>
      </c>
      <c r="G29" s="14">
        <f t="shared" si="3"/>
        <v>387695.52999999997</v>
      </c>
    </row>
    <row r="30" spans="1:7" x14ac:dyDescent="0.25">
      <c r="A30" s="54">
        <v>41913</v>
      </c>
      <c r="B30" s="1">
        <f t="shared" si="6"/>
        <v>1</v>
      </c>
      <c r="C30" s="14">
        <f t="shared" si="0"/>
        <v>24317</v>
      </c>
      <c r="D30" s="95">
        <f t="shared" si="1"/>
        <v>24157.67</v>
      </c>
      <c r="E30" s="96">
        <f t="shared" si="2"/>
        <v>159.33000000000001</v>
      </c>
      <c r="F30" s="14">
        <f t="shared" si="7"/>
        <v>387695.52999999997</v>
      </c>
      <c r="G30" s="14">
        <f t="shared" si="3"/>
        <v>363537.86</v>
      </c>
    </row>
    <row r="31" spans="1:7" x14ac:dyDescent="0.25">
      <c r="A31" s="54">
        <v>41914</v>
      </c>
      <c r="B31" s="1">
        <f t="shared" si="6"/>
        <v>1</v>
      </c>
      <c r="C31" s="14">
        <f t="shared" si="0"/>
        <v>24317</v>
      </c>
      <c r="D31" s="95">
        <f t="shared" si="1"/>
        <v>24167.599999999999</v>
      </c>
      <c r="E31" s="96">
        <f t="shared" si="2"/>
        <v>149.4</v>
      </c>
      <c r="F31" s="14">
        <f t="shared" si="7"/>
        <v>363537.86</v>
      </c>
      <c r="G31" s="14">
        <f t="shared" si="3"/>
        <v>339370.26</v>
      </c>
    </row>
    <row r="32" spans="1:7" x14ac:dyDescent="0.25">
      <c r="A32" s="54">
        <v>41915</v>
      </c>
      <c r="B32" s="1">
        <f t="shared" si="6"/>
        <v>1</v>
      </c>
      <c r="C32" s="14">
        <f t="shared" si="0"/>
        <v>24317</v>
      </c>
      <c r="D32" s="95">
        <f t="shared" si="1"/>
        <v>24177.53</v>
      </c>
      <c r="E32" s="96">
        <f t="shared" si="2"/>
        <v>139.47</v>
      </c>
      <c r="F32" s="14">
        <f t="shared" si="7"/>
        <v>339370.26</v>
      </c>
      <c r="G32" s="14">
        <f t="shared" si="3"/>
        <v>315192.73</v>
      </c>
    </row>
    <row r="33" spans="1:7" x14ac:dyDescent="0.25">
      <c r="A33" s="54">
        <v>41916</v>
      </c>
      <c r="B33" s="1">
        <f t="shared" si="6"/>
        <v>1</v>
      </c>
      <c r="C33" s="14">
        <f t="shared" si="0"/>
        <v>24317</v>
      </c>
      <c r="D33" s="95">
        <f t="shared" si="1"/>
        <v>24187.47</v>
      </c>
      <c r="E33" s="96">
        <f t="shared" si="2"/>
        <v>129.53</v>
      </c>
      <c r="F33" s="14">
        <f t="shared" si="7"/>
        <v>315192.73</v>
      </c>
      <c r="G33" s="14">
        <f t="shared" si="3"/>
        <v>291005.26</v>
      </c>
    </row>
    <row r="34" spans="1:7" x14ac:dyDescent="0.25">
      <c r="A34" s="54">
        <v>41917</v>
      </c>
      <c r="B34" s="1">
        <f t="shared" si="6"/>
        <v>1</v>
      </c>
      <c r="C34" s="14">
        <f t="shared" si="0"/>
        <v>24317</v>
      </c>
      <c r="D34" s="95">
        <f t="shared" si="1"/>
        <v>24197.41</v>
      </c>
      <c r="E34" s="96">
        <f t="shared" si="2"/>
        <v>119.59</v>
      </c>
      <c r="F34" s="14">
        <f t="shared" si="7"/>
        <v>291005.26</v>
      </c>
      <c r="G34" s="14">
        <f t="shared" si="3"/>
        <v>266807.85000000003</v>
      </c>
    </row>
    <row r="35" spans="1:7" x14ac:dyDescent="0.25">
      <c r="A35" s="54">
        <v>41918</v>
      </c>
      <c r="B35" s="1">
        <f t="shared" si="6"/>
        <v>1</v>
      </c>
      <c r="C35" s="14">
        <f t="shared" si="0"/>
        <v>24317</v>
      </c>
      <c r="D35" s="95">
        <f t="shared" si="1"/>
        <v>24207.35</v>
      </c>
      <c r="E35" s="96">
        <f t="shared" si="2"/>
        <v>109.65</v>
      </c>
      <c r="F35" s="14">
        <f t="shared" si="7"/>
        <v>266807.85000000003</v>
      </c>
      <c r="G35" s="14">
        <f t="shared" si="3"/>
        <v>242600.50000000003</v>
      </c>
    </row>
    <row r="36" spans="1:7" x14ac:dyDescent="0.25">
      <c r="A36" s="54">
        <v>41919</v>
      </c>
      <c r="B36" s="1">
        <f t="shared" si="6"/>
        <v>1</v>
      </c>
      <c r="C36" s="14">
        <f t="shared" si="0"/>
        <v>24317</v>
      </c>
      <c r="D36" s="95">
        <f t="shared" si="1"/>
        <v>24217.3</v>
      </c>
      <c r="E36" s="96">
        <f t="shared" si="2"/>
        <v>99.7</v>
      </c>
      <c r="F36" s="14">
        <f t="shared" si="7"/>
        <v>242600.50000000003</v>
      </c>
      <c r="G36" s="14">
        <f t="shared" si="3"/>
        <v>218383.20000000004</v>
      </c>
    </row>
    <row r="37" spans="1:7" x14ac:dyDescent="0.25">
      <c r="A37" s="54">
        <v>41920</v>
      </c>
      <c r="B37" s="1">
        <f t="shared" si="6"/>
        <v>1</v>
      </c>
      <c r="C37" s="14">
        <f t="shared" si="0"/>
        <v>24317</v>
      </c>
      <c r="D37" s="95">
        <f t="shared" si="1"/>
        <v>24227.25</v>
      </c>
      <c r="E37" s="96">
        <f t="shared" si="2"/>
        <v>89.75</v>
      </c>
      <c r="F37" s="14">
        <f t="shared" si="7"/>
        <v>218383.20000000004</v>
      </c>
      <c r="G37" s="14">
        <f t="shared" si="3"/>
        <v>194155.95000000004</v>
      </c>
    </row>
    <row r="38" spans="1:7" x14ac:dyDescent="0.25">
      <c r="A38" s="54">
        <v>41921</v>
      </c>
      <c r="B38" s="1">
        <f t="shared" si="6"/>
        <v>1</v>
      </c>
      <c r="C38" s="14">
        <f t="shared" si="0"/>
        <v>24317</v>
      </c>
      <c r="D38" s="95">
        <f t="shared" si="1"/>
        <v>24237.21</v>
      </c>
      <c r="E38" s="96">
        <f t="shared" si="2"/>
        <v>79.790000000000006</v>
      </c>
      <c r="F38" s="14">
        <f t="shared" si="7"/>
        <v>194155.95000000004</v>
      </c>
      <c r="G38" s="14">
        <f t="shared" si="3"/>
        <v>169918.74000000005</v>
      </c>
    </row>
    <row r="39" spans="1:7" x14ac:dyDescent="0.25">
      <c r="A39" s="54">
        <v>41922</v>
      </c>
      <c r="B39" s="1">
        <f t="shared" si="6"/>
        <v>1</v>
      </c>
      <c r="C39" s="14">
        <f t="shared" si="0"/>
        <v>24317</v>
      </c>
      <c r="D39" s="95">
        <f t="shared" si="1"/>
        <v>24247.17</v>
      </c>
      <c r="E39" s="96">
        <f t="shared" si="2"/>
        <v>69.83</v>
      </c>
      <c r="F39" s="14">
        <f t="shared" si="7"/>
        <v>169918.74000000005</v>
      </c>
      <c r="G39" s="14">
        <f t="shared" si="3"/>
        <v>145671.57000000007</v>
      </c>
    </row>
    <row r="40" spans="1:7" x14ac:dyDescent="0.25">
      <c r="A40" s="54">
        <v>41923</v>
      </c>
      <c r="B40" s="1">
        <f t="shared" si="6"/>
        <v>1</v>
      </c>
      <c r="C40" s="14">
        <f t="shared" si="0"/>
        <v>24317</v>
      </c>
      <c r="D40" s="95">
        <f t="shared" si="1"/>
        <v>24257.13</v>
      </c>
      <c r="E40" s="96">
        <f t="shared" si="2"/>
        <v>59.87</v>
      </c>
      <c r="F40" s="14">
        <f t="shared" si="7"/>
        <v>145671.57000000007</v>
      </c>
      <c r="G40" s="14">
        <f t="shared" si="3"/>
        <v>121414.44000000006</v>
      </c>
    </row>
    <row r="41" spans="1:7" x14ac:dyDescent="0.25">
      <c r="A41" s="54">
        <v>41924</v>
      </c>
      <c r="B41" s="1">
        <f t="shared" si="6"/>
        <v>1</v>
      </c>
      <c r="C41" s="14">
        <f t="shared" si="0"/>
        <v>24317</v>
      </c>
      <c r="D41" s="95">
        <f t="shared" si="1"/>
        <v>24267.1</v>
      </c>
      <c r="E41" s="96">
        <f t="shared" si="2"/>
        <v>49.9</v>
      </c>
      <c r="F41" s="14">
        <f t="shared" si="7"/>
        <v>121414.44000000006</v>
      </c>
      <c r="G41" s="14">
        <f t="shared" si="3"/>
        <v>97147.340000000055</v>
      </c>
    </row>
    <row r="42" spans="1:7" x14ac:dyDescent="0.25">
      <c r="A42" s="54">
        <v>41925</v>
      </c>
      <c r="B42" s="1">
        <f t="shared" si="6"/>
        <v>1</v>
      </c>
      <c r="C42" s="14">
        <f t="shared" si="0"/>
        <v>24317</v>
      </c>
      <c r="D42" s="95">
        <f t="shared" si="1"/>
        <v>24277.08</v>
      </c>
      <c r="E42" s="96">
        <f t="shared" si="2"/>
        <v>39.92</v>
      </c>
      <c r="F42" s="14">
        <f t="shared" si="7"/>
        <v>97147.340000000055</v>
      </c>
      <c r="G42" s="14">
        <f t="shared" si="3"/>
        <v>72870.260000000053</v>
      </c>
    </row>
    <row r="43" spans="1:7" x14ac:dyDescent="0.25">
      <c r="A43" s="54">
        <v>41926</v>
      </c>
      <c r="B43" s="1">
        <f t="shared" si="6"/>
        <v>1</v>
      </c>
      <c r="C43" s="14">
        <f t="shared" si="0"/>
        <v>24317</v>
      </c>
      <c r="D43" s="95">
        <f t="shared" si="1"/>
        <v>24287.05</v>
      </c>
      <c r="E43" s="96">
        <f t="shared" si="2"/>
        <v>29.95</v>
      </c>
      <c r="F43" s="14">
        <f t="shared" si="7"/>
        <v>72870.260000000053</v>
      </c>
      <c r="G43" s="14">
        <f t="shared" si="3"/>
        <v>48583.21000000005</v>
      </c>
    </row>
    <row r="44" spans="1:7" x14ac:dyDescent="0.25">
      <c r="A44" s="54">
        <v>41927</v>
      </c>
      <c r="B44" s="1">
        <f t="shared" si="6"/>
        <v>1</v>
      </c>
      <c r="C44" s="14">
        <f t="shared" si="0"/>
        <v>24317</v>
      </c>
      <c r="D44" s="95">
        <f t="shared" si="1"/>
        <v>24297.03</v>
      </c>
      <c r="E44" s="96">
        <f t="shared" si="2"/>
        <v>19.97</v>
      </c>
      <c r="F44" s="14">
        <f t="shared" si="7"/>
        <v>48583.21000000005</v>
      </c>
      <c r="G44" s="14">
        <f t="shared" si="3"/>
        <v>24286.180000000051</v>
      </c>
    </row>
    <row r="45" spans="1:7" x14ac:dyDescent="0.25">
      <c r="A45" s="54">
        <v>41928</v>
      </c>
      <c r="B45" s="1">
        <f t="shared" si="6"/>
        <v>1</v>
      </c>
      <c r="C45" s="14">
        <f t="shared" si="0"/>
        <v>24317</v>
      </c>
      <c r="D45" s="95">
        <f t="shared" si="1"/>
        <v>24286.180000000051</v>
      </c>
      <c r="E45" s="96">
        <v>30.819999999949214</v>
      </c>
      <c r="F45" s="14">
        <f t="shared" si="7"/>
        <v>24286.180000000051</v>
      </c>
      <c r="G45" s="14">
        <f t="shared" si="3"/>
        <v>0</v>
      </c>
    </row>
    <row r="46" spans="1:7" x14ac:dyDescent="0.25">
      <c r="A46" s="70">
        <v>41913</v>
      </c>
      <c r="B46" s="98">
        <f>_xlfn.DAYS(A31,A30)</f>
        <v>1</v>
      </c>
      <c r="C46" s="99">
        <f t="shared" si="0"/>
        <v>24317</v>
      </c>
      <c r="D46" s="100">
        <f>C30-E30</f>
        <v>24157.67</v>
      </c>
      <c r="E46" s="101">
        <f>ROUND(F30*$B$2*B30/365,2)</f>
        <v>159.33000000000001</v>
      </c>
      <c r="F46" s="99">
        <f>G29</f>
        <v>387695.52999999997</v>
      </c>
      <c r="G46" s="14">
        <f t="shared" si="3"/>
        <v>363537.86</v>
      </c>
    </row>
    <row r="47" spans="1:7" x14ac:dyDescent="0.25">
      <c r="A47" s="54">
        <v>41914</v>
      </c>
      <c r="B47" s="1">
        <f t="shared" si="6"/>
        <v>1</v>
      </c>
      <c r="C47" s="14">
        <f>$J$1</f>
        <v>30000</v>
      </c>
      <c r="D47" s="95">
        <f t="shared" si="1"/>
        <v>29850.6</v>
      </c>
      <c r="E47" s="96">
        <f>ROUND(F47*$B$2*B47/365,2)</f>
        <v>149.4</v>
      </c>
      <c r="F47" s="14">
        <f t="shared" ref="F47:F59" si="8">G46</f>
        <v>363537.86</v>
      </c>
      <c r="G47" s="14">
        <f t="shared" si="3"/>
        <v>333687.26</v>
      </c>
    </row>
    <row r="48" spans="1:7" x14ac:dyDescent="0.25">
      <c r="A48" s="54">
        <v>41915</v>
      </c>
      <c r="B48" s="1">
        <f t="shared" si="6"/>
        <v>1</v>
      </c>
      <c r="C48" s="14">
        <f t="shared" ref="C48:C58" si="9">$J$1</f>
        <v>30000</v>
      </c>
      <c r="D48" s="95">
        <f t="shared" si="1"/>
        <v>29862.87</v>
      </c>
      <c r="E48" s="96">
        <f t="shared" ref="E48:E59" si="10">ROUND(F48*$B$2*B48/365,2)</f>
        <v>137.13</v>
      </c>
      <c r="F48" s="14">
        <f t="shared" si="8"/>
        <v>333687.26</v>
      </c>
      <c r="G48" s="14">
        <f t="shared" si="3"/>
        <v>303824.39</v>
      </c>
    </row>
    <row r="49" spans="1:7" x14ac:dyDescent="0.25">
      <c r="A49" s="54">
        <v>41916</v>
      </c>
      <c r="B49" s="1">
        <f t="shared" si="6"/>
        <v>1</v>
      </c>
      <c r="C49" s="14">
        <f t="shared" si="9"/>
        <v>30000</v>
      </c>
      <c r="D49" s="95">
        <f t="shared" si="1"/>
        <v>29875.14</v>
      </c>
      <c r="E49" s="96">
        <f t="shared" si="10"/>
        <v>124.86</v>
      </c>
      <c r="F49" s="14">
        <f t="shared" si="8"/>
        <v>303824.39</v>
      </c>
      <c r="G49" s="14">
        <f t="shared" si="3"/>
        <v>273949.25</v>
      </c>
    </row>
    <row r="50" spans="1:7" x14ac:dyDescent="0.25">
      <c r="A50" s="54">
        <v>41917</v>
      </c>
      <c r="B50" s="1">
        <f t="shared" si="6"/>
        <v>1</v>
      </c>
      <c r="C50" s="14">
        <f t="shared" si="9"/>
        <v>30000</v>
      </c>
      <c r="D50" s="95">
        <f t="shared" si="1"/>
        <v>29887.42</v>
      </c>
      <c r="E50" s="96">
        <f t="shared" si="10"/>
        <v>112.58</v>
      </c>
      <c r="F50" s="14">
        <f t="shared" si="8"/>
        <v>273949.25</v>
      </c>
      <c r="G50" s="14">
        <f t="shared" si="3"/>
        <v>244061.83000000002</v>
      </c>
    </row>
    <row r="51" spans="1:7" x14ac:dyDescent="0.25">
      <c r="A51" s="54">
        <v>41918</v>
      </c>
      <c r="B51" s="1">
        <f t="shared" si="6"/>
        <v>1</v>
      </c>
      <c r="C51" s="14">
        <f t="shared" si="9"/>
        <v>30000</v>
      </c>
      <c r="D51" s="95">
        <f t="shared" si="1"/>
        <v>29899.7</v>
      </c>
      <c r="E51" s="96">
        <f t="shared" si="10"/>
        <v>100.3</v>
      </c>
      <c r="F51" s="14">
        <f t="shared" si="8"/>
        <v>244061.83000000002</v>
      </c>
      <c r="G51" s="14">
        <f t="shared" si="3"/>
        <v>214162.13</v>
      </c>
    </row>
    <row r="52" spans="1:7" x14ac:dyDescent="0.25">
      <c r="A52" s="54">
        <v>41919</v>
      </c>
      <c r="B52" s="1">
        <f t="shared" si="6"/>
        <v>1</v>
      </c>
      <c r="C52" s="14">
        <f t="shared" si="9"/>
        <v>30000</v>
      </c>
      <c r="D52" s="95">
        <f t="shared" si="1"/>
        <v>29911.99</v>
      </c>
      <c r="E52" s="96">
        <f t="shared" si="10"/>
        <v>88.01</v>
      </c>
      <c r="F52" s="14">
        <f t="shared" si="8"/>
        <v>214162.13</v>
      </c>
      <c r="G52" s="14">
        <f t="shared" si="3"/>
        <v>184250.14</v>
      </c>
    </row>
    <row r="53" spans="1:7" x14ac:dyDescent="0.25">
      <c r="A53" s="54">
        <v>41920</v>
      </c>
      <c r="B53" s="1">
        <f t="shared" si="6"/>
        <v>1</v>
      </c>
      <c r="C53" s="14">
        <f t="shared" si="9"/>
        <v>30000</v>
      </c>
      <c r="D53" s="95">
        <f t="shared" si="1"/>
        <v>29924.28</v>
      </c>
      <c r="E53" s="96">
        <f t="shared" si="10"/>
        <v>75.72</v>
      </c>
      <c r="F53" s="14">
        <f t="shared" si="8"/>
        <v>184250.14</v>
      </c>
      <c r="G53" s="14">
        <f t="shared" si="3"/>
        <v>154325.86000000002</v>
      </c>
    </row>
    <row r="54" spans="1:7" x14ac:dyDescent="0.25">
      <c r="A54" s="54">
        <v>41921</v>
      </c>
      <c r="B54" s="1">
        <f t="shared" si="6"/>
        <v>1</v>
      </c>
      <c r="C54" s="14">
        <f t="shared" si="9"/>
        <v>30000</v>
      </c>
      <c r="D54" s="95">
        <f t="shared" si="1"/>
        <v>29936.58</v>
      </c>
      <c r="E54" s="96">
        <f t="shared" si="10"/>
        <v>63.42</v>
      </c>
      <c r="F54" s="14">
        <f t="shared" si="8"/>
        <v>154325.86000000002</v>
      </c>
      <c r="G54" s="14">
        <f t="shared" si="3"/>
        <v>124389.28000000001</v>
      </c>
    </row>
    <row r="55" spans="1:7" x14ac:dyDescent="0.25">
      <c r="A55" s="54">
        <v>41922</v>
      </c>
      <c r="B55" s="1">
        <f t="shared" si="6"/>
        <v>1</v>
      </c>
      <c r="C55" s="14">
        <f t="shared" si="9"/>
        <v>30000</v>
      </c>
      <c r="D55" s="95">
        <f t="shared" si="1"/>
        <v>29948.880000000001</v>
      </c>
      <c r="E55" s="96">
        <f t="shared" si="10"/>
        <v>51.12</v>
      </c>
      <c r="F55" s="14">
        <f t="shared" si="8"/>
        <v>124389.28000000001</v>
      </c>
      <c r="G55" s="14">
        <f t="shared" si="3"/>
        <v>94440.400000000009</v>
      </c>
    </row>
    <row r="56" spans="1:7" x14ac:dyDescent="0.25">
      <c r="A56" s="54">
        <v>41923</v>
      </c>
      <c r="B56" s="1">
        <f t="shared" si="6"/>
        <v>1</v>
      </c>
      <c r="C56" s="14">
        <f t="shared" si="9"/>
        <v>30000</v>
      </c>
      <c r="D56" s="95">
        <f t="shared" si="1"/>
        <v>29961.19</v>
      </c>
      <c r="E56" s="96">
        <f t="shared" si="10"/>
        <v>38.81</v>
      </c>
      <c r="F56" s="14">
        <f t="shared" si="8"/>
        <v>94440.400000000009</v>
      </c>
      <c r="G56" s="14">
        <f t="shared" si="3"/>
        <v>64479.210000000006</v>
      </c>
    </row>
    <row r="57" spans="1:7" x14ac:dyDescent="0.25">
      <c r="A57" s="54">
        <v>41924</v>
      </c>
      <c r="B57" s="1">
        <f t="shared" si="6"/>
        <v>1</v>
      </c>
      <c r="C57" s="14">
        <f t="shared" si="9"/>
        <v>30000</v>
      </c>
      <c r="D57" s="95">
        <f t="shared" si="1"/>
        <v>29973.5</v>
      </c>
      <c r="E57" s="96">
        <f t="shared" si="10"/>
        <v>26.5</v>
      </c>
      <c r="F57" s="14">
        <f t="shared" si="8"/>
        <v>64479.210000000006</v>
      </c>
      <c r="G57" s="14">
        <f t="shared" si="3"/>
        <v>34505.710000000006</v>
      </c>
    </row>
    <row r="58" spans="1:7" x14ac:dyDescent="0.25">
      <c r="A58" s="54">
        <v>41925</v>
      </c>
      <c r="B58" s="1">
        <f t="shared" si="6"/>
        <v>1</v>
      </c>
      <c r="C58" s="14">
        <f t="shared" si="9"/>
        <v>30000</v>
      </c>
      <c r="D58" s="95">
        <f t="shared" si="1"/>
        <v>29985.82</v>
      </c>
      <c r="E58" s="96">
        <f t="shared" si="10"/>
        <v>14.18</v>
      </c>
      <c r="F58" s="14">
        <f t="shared" si="8"/>
        <v>34505.710000000006</v>
      </c>
      <c r="G58" s="14">
        <f t="shared" si="3"/>
        <v>4519.8900000000067</v>
      </c>
    </row>
    <row r="59" spans="1:7" x14ac:dyDescent="0.25">
      <c r="A59" s="54">
        <v>41926</v>
      </c>
      <c r="B59" s="1">
        <f t="shared" si="6"/>
        <v>1</v>
      </c>
      <c r="C59" s="14">
        <f>$H$1</f>
        <v>4521.75000000001</v>
      </c>
      <c r="D59" s="95">
        <f t="shared" si="1"/>
        <v>4519.8900000000103</v>
      </c>
      <c r="E59" s="96">
        <f t="shared" si="10"/>
        <v>1.86</v>
      </c>
      <c r="F59" s="14">
        <f t="shared" si="8"/>
        <v>4519.8900000000067</v>
      </c>
      <c r="G59" s="14">
        <f t="shared" si="3"/>
        <v>0</v>
      </c>
    </row>
  </sheetData>
  <pageMargins left="0.7" right="0.7" top="0.75" bottom="0.75" header="0.3" footer="0.3"/>
  <pageSetup orientation="portrait" r:id="rId1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1480C1-2549-42C3-BD7E-986609C7A791}">
  <dimension ref="A1:U2"/>
  <sheetViews>
    <sheetView workbookViewId="0">
      <selection activeCell="U11" sqref="U11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93.8554687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29</v>
      </c>
      <c r="J2" s="8" t="s">
        <v>42</v>
      </c>
      <c r="K2" s="8" t="s">
        <v>25</v>
      </c>
      <c r="L2" s="8" t="s">
        <v>326</v>
      </c>
      <c r="M2" s="8" t="s">
        <v>27</v>
      </c>
      <c r="N2" s="20" t="s">
        <v>29</v>
      </c>
      <c r="O2" s="20" t="s">
        <v>335</v>
      </c>
      <c r="P2" s="20" t="s">
        <v>141</v>
      </c>
      <c r="Q2" s="117" t="s">
        <v>143</v>
      </c>
      <c r="R2" s="20" t="s">
        <v>206</v>
      </c>
      <c r="S2" s="20" t="s">
        <v>141</v>
      </c>
      <c r="T2" s="117" t="s">
        <v>161</v>
      </c>
      <c r="U2" s="8" t="s">
        <v>332</v>
      </c>
    </row>
  </sheetData>
  <pageMargins left="0.7" right="0.7" top="0.75" bottom="0.75" header="0.3" footer="0.3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08EE93-94FB-43D9-8B4A-8E951FD96C03}">
  <dimension ref="A1:P79"/>
  <sheetViews>
    <sheetView zoomScaleNormal="100" workbookViewId="0">
      <pane ySplit="3" topLeftCell="A4" activePane="bottomLeft" state="frozen"/>
      <selection activeCell="Q2" sqref="Q2"/>
      <selection pane="bottomLeft" activeCell="E12" sqref="E12"/>
    </sheetView>
  </sheetViews>
  <sheetFormatPr defaultRowHeight="15" x14ac:dyDescent="0.25"/>
  <cols>
    <col min="1" max="1" width="15.140625" bestFit="1" customWidth="1"/>
    <col min="2" max="2" width="12.42578125" bestFit="1" customWidth="1"/>
    <col min="3" max="3" width="23" bestFit="1" customWidth="1"/>
    <col min="4" max="4" width="10.28515625" bestFit="1" customWidth="1"/>
    <col min="5" max="5" width="16.5703125" bestFit="1" customWidth="1"/>
    <col min="6" max="6" width="15.28515625" bestFit="1" customWidth="1"/>
    <col min="7" max="7" width="15.7109375" bestFit="1" customWidth="1"/>
    <col min="8" max="8" width="15.140625" bestFit="1" customWidth="1"/>
    <col min="9" max="9" width="13.42578125" bestFit="1" customWidth="1"/>
    <col min="10" max="10" width="6" bestFit="1" customWidth="1"/>
    <col min="11" max="11" width="16.5703125" bestFit="1" customWidth="1"/>
    <col min="12" max="12" width="10.42578125" bestFit="1" customWidth="1"/>
    <col min="13" max="13" width="15.7109375" bestFit="1" customWidth="1"/>
    <col min="14" max="14" width="9.28515625" bestFit="1" customWidth="1"/>
    <col min="15" max="15" width="13.42578125" bestFit="1" customWidth="1"/>
    <col min="16" max="16" width="6" bestFit="1" customWidth="1"/>
  </cols>
  <sheetData>
    <row r="1" spans="1:16" x14ac:dyDescent="0.25">
      <c r="A1" s="17" t="s">
        <v>33</v>
      </c>
      <c r="B1" s="22">
        <v>41856</v>
      </c>
      <c r="C1" s="15" t="s">
        <v>37</v>
      </c>
      <c r="D1" s="37">
        <f>ROUNDUP(24316.5073855909,0)</f>
        <v>24317</v>
      </c>
      <c r="E1" s="73" t="s">
        <v>147</v>
      </c>
      <c r="F1" s="20" t="s">
        <v>335</v>
      </c>
      <c r="G1" s="73" t="s">
        <v>150</v>
      </c>
      <c r="H1" s="79">
        <v>4521.75000000001</v>
      </c>
      <c r="I1" s="73" t="s">
        <v>334</v>
      </c>
      <c r="J1" s="117">
        <v>20000</v>
      </c>
      <c r="K1" s="73" t="s">
        <v>147</v>
      </c>
      <c r="L1" s="20" t="s">
        <v>206</v>
      </c>
      <c r="M1" s="73" t="s">
        <v>150</v>
      </c>
      <c r="N1" s="79">
        <v>4521.75000000001</v>
      </c>
      <c r="O1" s="73" t="s">
        <v>334</v>
      </c>
      <c r="P1" s="117">
        <v>30000</v>
      </c>
    </row>
    <row r="2" spans="1:16" x14ac:dyDescent="0.25">
      <c r="A2" s="17" t="s">
        <v>34</v>
      </c>
      <c r="B2" s="18">
        <v>0.15</v>
      </c>
    </row>
    <row r="3" spans="1:16" x14ac:dyDescent="0.25">
      <c r="A3" s="13" t="s">
        <v>17</v>
      </c>
      <c r="B3" s="13" t="s">
        <v>18</v>
      </c>
      <c r="C3" s="13" t="s">
        <v>14</v>
      </c>
      <c r="D3" s="13" t="s">
        <v>22</v>
      </c>
      <c r="E3" s="13" t="s">
        <v>21</v>
      </c>
      <c r="F3" s="13" t="s">
        <v>19</v>
      </c>
      <c r="G3" s="13" t="s">
        <v>20</v>
      </c>
      <c r="H3" s="13" t="s">
        <v>35</v>
      </c>
      <c r="I3" s="13" t="s">
        <v>36</v>
      </c>
    </row>
    <row r="4" spans="1:16" x14ac:dyDescent="0.25">
      <c r="A4" s="54">
        <v>41887</v>
      </c>
      <c r="B4" s="1">
        <f>_xlfn.DAYS(A4,B1)</f>
        <v>31</v>
      </c>
      <c r="C4" s="14">
        <f t="shared" ref="C4:C46" si="0">$D$1</f>
        <v>24317</v>
      </c>
      <c r="D4" s="95">
        <f t="shared" ref="D4:D45" si="1">C4-E4</f>
        <v>11577.27</v>
      </c>
      <c r="E4" s="96">
        <f t="shared" ref="E4:E44" si="2">ROUND(F4*$B$2*B4/365,2)</f>
        <v>12739.73</v>
      </c>
      <c r="F4" s="14">
        <v>1000000</v>
      </c>
      <c r="G4" s="14">
        <f t="shared" ref="G4:G45" si="3">F4-D4</f>
        <v>988422.73</v>
      </c>
      <c r="H4" s="114"/>
      <c r="I4" s="115"/>
    </row>
    <row r="5" spans="1:16" x14ac:dyDescent="0.25">
      <c r="A5" s="54">
        <v>41888</v>
      </c>
      <c r="B5" s="1">
        <f t="shared" ref="B5:B45" si="4">_xlfn.DAYS(A5,A4)</f>
        <v>1</v>
      </c>
      <c r="C5" s="14">
        <f t="shared" si="0"/>
        <v>24317</v>
      </c>
      <c r="D5" s="95">
        <f t="shared" si="1"/>
        <v>23910.799999999999</v>
      </c>
      <c r="E5" s="96">
        <f t="shared" si="2"/>
        <v>406.2</v>
      </c>
      <c r="F5" s="14">
        <f t="shared" ref="F5:F45" si="5">G4</f>
        <v>988422.73</v>
      </c>
      <c r="G5" s="14">
        <f t="shared" si="3"/>
        <v>964511.92999999993</v>
      </c>
    </row>
    <row r="6" spans="1:16" x14ac:dyDescent="0.25">
      <c r="A6" s="54">
        <v>41889</v>
      </c>
      <c r="B6" s="1">
        <f t="shared" si="4"/>
        <v>1</v>
      </c>
      <c r="C6" s="14">
        <f t="shared" si="0"/>
        <v>24317</v>
      </c>
      <c r="D6" s="95">
        <f t="shared" si="1"/>
        <v>23920.63</v>
      </c>
      <c r="E6" s="96">
        <f t="shared" si="2"/>
        <v>396.37</v>
      </c>
      <c r="F6" s="14">
        <f t="shared" si="5"/>
        <v>964511.92999999993</v>
      </c>
      <c r="G6" s="14">
        <f t="shared" si="3"/>
        <v>940591.29999999993</v>
      </c>
    </row>
    <row r="7" spans="1:16" x14ac:dyDescent="0.25">
      <c r="A7" s="54">
        <v>41890</v>
      </c>
      <c r="B7" s="1">
        <f t="shared" si="4"/>
        <v>1</v>
      </c>
      <c r="C7" s="14">
        <f t="shared" si="0"/>
        <v>24317</v>
      </c>
      <c r="D7" s="95">
        <f t="shared" si="1"/>
        <v>23930.46</v>
      </c>
      <c r="E7" s="96">
        <f t="shared" si="2"/>
        <v>386.54</v>
      </c>
      <c r="F7" s="14">
        <f t="shared" si="5"/>
        <v>940591.29999999993</v>
      </c>
      <c r="G7" s="14">
        <f t="shared" si="3"/>
        <v>916660.84</v>
      </c>
    </row>
    <row r="8" spans="1:16" x14ac:dyDescent="0.25">
      <c r="A8" s="54">
        <v>41891</v>
      </c>
      <c r="B8" s="1">
        <f t="shared" si="4"/>
        <v>1</v>
      </c>
      <c r="C8" s="14">
        <f t="shared" si="0"/>
        <v>24317</v>
      </c>
      <c r="D8" s="95">
        <f t="shared" si="1"/>
        <v>23940.29</v>
      </c>
      <c r="E8" s="96">
        <f t="shared" si="2"/>
        <v>376.71</v>
      </c>
      <c r="F8" s="14">
        <f t="shared" si="5"/>
        <v>916660.84</v>
      </c>
      <c r="G8" s="14">
        <f t="shared" si="3"/>
        <v>892720.54999999993</v>
      </c>
    </row>
    <row r="9" spans="1:16" x14ac:dyDescent="0.25">
      <c r="A9" s="54">
        <v>41892</v>
      </c>
      <c r="B9" s="1">
        <f t="shared" si="4"/>
        <v>1</v>
      </c>
      <c r="C9" s="14">
        <f t="shared" si="0"/>
        <v>24317</v>
      </c>
      <c r="D9" s="95">
        <f t="shared" si="1"/>
        <v>23950.13</v>
      </c>
      <c r="E9" s="96">
        <f t="shared" si="2"/>
        <v>366.87</v>
      </c>
      <c r="F9" s="14">
        <f t="shared" si="5"/>
        <v>892720.54999999993</v>
      </c>
      <c r="G9" s="14">
        <f t="shared" si="3"/>
        <v>868770.41999999993</v>
      </c>
    </row>
    <row r="10" spans="1:16" x14ac:dyDescent="0.25">
      <c r="A10" s="54">
        <v>41893</v>
      </c>
      <c r="B10" s="1">
        <f t="shared" si="4"/>
        <v>1</v>
      </c>
      <c r="C10" s="14">
        <f t="shared" si="0"/>
        <v>24317</v>
      </c>
      <c r="D10" s="95">
        <f t="shared" si="1"/>
        <v>23959.97</v>
      </c>
      <c r="E10" s="96">
        <f t="shared" si="2"/>
        <v>357.03</v>
      </c>
      <c r="F10" s="14">
        <f t="shared" si="5"/>
        <v>868770.41999999993</v>
      </c>
      <c r="G10" s="14">
        <f t="shared" si="3"/>
        <v>844810.45</v>
      </c>
    </row>
    <row r="11" spans="1:16" x14ac:dyDescent="0.25">
      <c r="A11" s="54">
        <v>41894</v>
      </c>
      <c r="B11" s="1">
        <f t="shared" si="4"/>
        <v>1</v>
      </c>
      <c r="C11" s="14">
        <f t="shared" si="0"/>
        <v>24317</v>
      </c>
      <c r="D11" s="95">
        <f t="shared" si="1"/>
        <v>23969.82</v>
      </c>
      <c r="E11" s="96">
        <f t="shared" si="2"/>
        <v>347.18</v>
      </c>
      <c r="F11" s="14">
        <f t="shared" si="5"/>
        <v>844810.45</v>
      </c>
      <c r="G11" s="14">
        <f t="shared" si="3"/>
        <v>820840.63</v>
      </c>
    </row>
    <row r="12" spans="1:16" x14ac:dyDescent="0.25">
      <c r="A12" s="54">
        <v>41895</v>
      </c>
      <c r="B12" s="1">
        <f t="shared" si="4"/>
        <v>1</v>
      </c>
      <c r="C12" s="14">
        <f t="shared" si="0"/>
        <v>24317</v>
      </c>
      <c r="D12" s="95">
        <f t="shared" si="1"/>
        <v>23979.67</v>
      </c>
      <c r="E12" s="96">
        <f t="shared" si="2"/>
        <v>337.33</v>
      </c>
      <c r="F12" s="14">
        <f t="shared" si="5"/>
        <v>820840.63</v>
      </c>
      <c r="G12" s="14">
        <f t="shared" si="3"/>
        <v>796860.96</v>
      </c>
    </row>
    <row r="13" spans="1:16" x14ac:dyDescent="0.25">
      <c r="A13" s="54">
        <v>41896</v>
      </c>
      <c r="B13" s="1">
        <f t="shared" si="4"/>
        <v>1</v>
      </c>
      <c r="C13" s="14">
        <f t="shared" si="0"/>
        <v>24317</v>
      </c>
      <c r="D13" s="95">
        <f t="shared" si="1"/>
        <v>23989.52</v>
      </c>
      <c r="E13" s="96">
        <f t="shared" si="2"/>
        <v>327.48</v>
      </c>
      <c r="F13" s="14">
        <f t="shared" si="5"/>
        <v>796860.96</v>
      </c>
      <c r="G13" s="14">
        <f t="shared" si="3"/>
        <v>772871.44</v>
      </c>
    </row>
    <row r="14" spans="1:16" x14ac:dyDescent="0.25">
      <c r="A14" s="54">
        <v>41897</v>
      </c>
      <c r="B14" s="1">
        <f t="shared" si="4"/>
        <v>1</v>
      </c>
      <c r="C14" s="14">
        <f t="shared" si="0"/>
        <v>24317</v>
      </c>
      <c r="D14" s="95">
        <f t="shared" si="1"/>
        <v>23999.38</v>
      </c>
      <c r="E14" s="96">
        <f t="shared" si="2"/>
        <v>317.62</v>
      </c>
      <c r="F14" s="14">
        <f t="shared" si="5"/>
        <v>772871.44</v>
      </c>
      <c r="G14" s="14">
        <f t="shared" si="3"/>
        <v>748872.05999999994</v>
      </c>
    </row>
    <row r="15" spans="1:16" x14ac:dyDescent="0.25">
      <c r="A15" s="54">
        <v>41898</v>
      </c>
      <c r="B15" s="1">
        <f t="shared" si="4"/>
        <v>1</v>
      </c>
      <c r="C15" s="14">
        <f t="shared" si="0"/>
        <v>24317</v>
      </c>
      <c r="D15" s="95">
        <f t="shared" si="1"/>
        <v>24009.24</v>
      </c>
      <c r="E15" s="96">
        <f t="shared" si="2"/>
        <v>307.76</v>
      </c>
      <c r="F15" s="14">
        <f t="shared" si="5"/>
        <v>748872.05999999994</v>
      </c>
      <c r="G15" s="14">
        <f t="shared" si="3"/>
        <v>724862.82</v>
      </c>
    </row>
    <row r="16" spans="1:16" x14ac:dyDescent="0.25">
      <c r="A16" s="54">
        <v>41899</v>
      </c>
      <c r="B16" s="1">
        <f t="shared" si="4"/>
        <v>1</v>
      </c>
      <c r="C16" s="14">
        <f t="shared" si="0"/>
        <v>24317</v>
      </c>
      <c r="D16" s="95">
        <f t="shared" si="1"/>
        <v>24019.11</v>
      </c>
      <c r="E16" s="96">
        <f t="shared" si="2"/>
        <v>297.89</v>
      </c>
      <c r="F16" s="14">
        <f t="shared" si="5"/>
        <v>724862.82</v>
      </c>
      <c r="G16" s="14">
        <f t="shared" si="3"/>
        <v>700843.71</v>
      </c>
    </row>
    <row r="17" spans="1:7" x14ac:dyDescent="0.25">
      <c r="A17" s="54">
        <v>41900</v>
      </c>
      <c r="B17" s="1">
        <f t="shared" si="4"/>
        <v>1</v>
      </c>
      <c r="C17" s="14">
        <f t="shared" si="0"/>
        <v>24317</v>
      </c>
      <c r="D17" s="95">
        <f t="shared" si="1"/>
        <v>24028.98</v>
      </c>
      <c r="E17" s="96">
        <f t="shared" si="2"/>
        <v>288.02</v>
      </c>
      <c r="F17" s="14">
        <f t="shared" si="5"/>
        <v>700843.71</v>
      </c>
      <c r="G17" s="14">
        <f t="shared" si="3"/>
        <v>676814.73</v>
      </c>
    </row>
    <row r="18" spans="1:7" x14ac:dyDescent="0.25">
      <c r="A18" s="54">
        <v>41901</v>
      </c>
      <c r="B18" s="1">
        <f t="shared" si="4"/>
        <v>1</v>
      </c>
      <c r="C18" s="14">
        <f t="shared" si="0"/>
        <v>24317</v>
      </c>
      <c r="D18" s="95">
        <f t="shared" si="1"/>
        <v>24038.86</v>
      </c>
      <c r="E18" s="96">
        <f t="shared" si="2"/>
        <v>278.14</v>
      </c>
      <c r="F18" s="14">
        <f t="shared" si="5"/>
        <v>676814.73</v>
      </c>
      <c r="G18" s="14">
        <f t="shared" si="3"/>
        <v>652775.87</v>
      </c>
    </row>
    <row r="19" spans="1:7" x14ac:dyDescent="0.25">
      <c r="A19" s="54">
        <v>41902</v>
      </c>
      <c r="B19" s="1">
        <f t="shared" si="4"/>
        <v>1</v>
      </c>
      <c r="C19" s="14">
        <f t="shared" si="0"/>
        <v>24317</v>
      </c>
      <c r="D19" s="95">
        <f t="shared" si="1"/>
        <v>24048.74</v>
      </c>
      <c r="E19" s="96">
        <f t="shared" si="2"/>
        <v>268.26</v>
      </c>
      <c r="F19" s="14">
        <f t="shared" si="5"/>
        <v>652775.87</v>
      </c>
      <c r="G19" s="14">
        <f t="shared" si="3"/>
        <v>628727.13</v>
      </c>
    </row>
    <row r="20" spans="1:7" x14ac:dyDescent="0.25">
      <c r="A20" s="54">
        <v>41903</v>
      </c>
      <c r="B20" s="1">
        <f t="shared" si="4"/>
        <v>1</v>
      </c>
      <c r="C20" s="14">
        <f t="shared" si="0"/>
        <v>24317</v>
      </c>
      <c r="D20" s="95">
        <f t="shared" si="1"/>
        <v>24058.62</v>
      </c>
      <c r="E20" s="96">
        <f t="shared" si="2"/>
        <v>258.38</v>
      </c>
      <c r="F20" s="14">
        <f t="shared" si="5"/>
        <v>628727.13</v>
      </c>
      <c r="G20" s="14">
        <f t="shared" si="3"/>
        <v>604668.51</v>
      </c>
    </row>
    <row r="21" spans="1:7" x14ac:dyDescent="0.25">
      <c r="A21" s="54">
        <v>41904</v>
      </c>
      <c r="B21" s="1">
        <f t="shared" si="4"/>
        <v>1</v>
      </c>
      <c r="C21" s="14">
        <f t="shared" si="0"/>
        <v>24317</v>
      </c>
      <c r="D21" s="95">
        <f t="shared" si="1"/>
        <v>24068.51</v>
      </c>
      <c r="E21" s="96">
        <f t="shared" si="2"/>
        <v>248.49</v>
      </c>
      <c r="F21" s="14">
        <f t="shared" si="5"/>
        <v>604668.51</v>
      </c>
      <c r="G21" s="14">
        <f t="shared" si="3"/>
        <v>580600</v>
      </c>
    </row>
    <row r="22" spans="1:7" x14ac:dyDescent="0.25">
      <c r="A22" s="54">
        <v>41905</v>
      </c>
      <c r="B22" s="1">
        <f t="shared" si="4"/>
        <v>1</v>
      </c>
      <c r="C22" s="14">
        <f t="shared" si="0"/>
        <v>24317</v>
      </c>
      <c r="D22" s="95">
        <f t="shared" si="1"/>
        <v>24078.400000000001</v>
      </c>
      <c r="E22" s="96">
        <f t="shared" si="2"/>
        <v>238.6</v>
      </c>
      <c r="F22" s="14">
        <f t="shared" si="5"/>
        <v>580600</v>
      </c>
      <c r="G22" s="14">
        <f t="shared" si="3"/>
        <v>556521.6</v>
      </c>
    </row>
    <row r="23" spans="1:7" x14ac:dyDescent="0.25">
      <c r="A23" s="54">
        <v>41906</v>
      </c>
      <c r="B23" s="1">
        <f t="shared" si="4"/>
        <v>1</v>
      </c>
      <c r="C23" s="14">
        <f t="shared" si="0"/>
        <v>24317</v>
      </c>
      <c r="D23" s="95">
        <f t="shared" si="1"/>
        <v>24088.29</v>
      </c>
      <c r="E23" s="96">
        <f t="shared" si="2"/>
        <v>228.71</v>
      </c>
      <c r="F23" s="14">
        <f t="shared" si="5"/>
        <v>556521.6</v>
      </c>
      <c r="G23" s="14">
        <f t="shared" si="3"/>
        <v>532433.30999999994</v>
      </c>
    </row>
    <row r="24" spans="1:7" x14ac:dyDescent="0.25">
      <c r="A24" s="54">
        <v>41907</v>
      </c>
      <c r="B24" s="1">
        <f t="shared" si="4"/>
        <v>1</v>
      </c>
      <c r="C24" s="14">
        <f t="shared" si="0"/>
        <v>24317</v>
      </c>
      <c r="D24" s="95">
        <f t="shared" si="1"/>
        <v>24098.19</v>
      </c>
      <c r="E24" s="96">
        <f t="shared" si="2"/>
        <v>218.81</v>
      </c>
      <c r="F24" s="14">
        <f t="shared" si="5"/>
        <v>532433.30999999994</v>
      </c>
      <c r="G24" s="14">
        <f t="shared" si="3"/>
        <v>508335.11999999994</v>
      </c>
    </row>
    <row r="25" spans="1:7" x14ac:dyDescent="0.25">
      <c r="A25" s="54">
        <v>41908</v>
      </c>
      <c r="B25" s="1">
        <f t="shared" si="4"/>
        <v>1</v>
      </c>
      <c r="C25" s="14">
        <f t="shared" si="0"/>
        <v>24317</v>
      </c>
      <c r="D25" s="95">
        <f t="shared" si="1"/>
        <v>24108.1</v>
      </c>
      <c r="E25" s="96">
        <f t="shared" si="2"/>
        <v>208.9</v>
      </c>
      <c r="F25" s="14">
        <f t="shared" si="5"/>
        <v>508335.11999999994</v>
      </c>
      <c r="G25" s="14">
        <f t="shared" si="3"/>
        <v>484227.01999999996</v>
      </c>
    </row>
    <row r="26" spans="1:7" x14ac:dyDescent="0.25">
      <c r="A26" s="54">
        <v>41909</v>
      </c>
      <c r="B26" s="1">
        <f t="shared" si="4"/>
        <v>1</v>
      </c>
      <c r="C26" s="14">
        <f t="shared" si="0"/>
        <v>24317</v>
      </c>
      <c r="D26" s="95">
        <f t="shared" si="1"/>
        <v>24118</v>
      </c>
      <c r="E26" s="96">
        <f t="shared" si="2"/>
        <v>199</v>
      </c>
      <c r="F26" s="14">
        <f t="shared" si="5"/>
        <v>484227.01999999996</v>
      </c>
      <c r="G26" s="14">
        <f t="shared" si="3"/>
        <v>460109.01999999996</v>
      </c>
    </row>
    <row r="27" spans="1:7" x14ac:dyDescent="0.25">
      <c r="A27" s="54">
        <v>41910</v>
      </c>
      <c r="B27" s="1">
        <f t="shared" si="4"/>
        <v>1</v>
      </c>
      <c r="C27" s="14">
        <f t="shared" si="0"/>
        <v>24317</v>
      </c>
      <c r="D27" s="95">
        <f t="shared" si="1"/>
        <v>24127.91</v>
      </c>
      <c r="E27" s="96">
        <f t="shared" si="2"/>
        <v>189.09</v>
      </c>
      <c r="F27" s="14">
        <f t="shared" si="5"/>
        <v>460109.01999999996</v>
      </c>
      <c r="G27" s="14">
        <f t="shared" si="3"/>
        <v>435981.11</v>
      </c>
    </row>
    <row r="28" spans="1:7" x14ac:dyDescent="0.25">
      <c r="A28" s="54">
        <v>41911</v>
      </c>
      <c r="B28" s="1">
        <f t="shared" si="4"/>
        <v>1</v>
      </c>
      <c r="C28" s="14">
        <f t="shared" si="0"/>
        <v>24317</v>
      </c>
      <c r="D28" s="95">
        <f t="shared" si="1"/>
        <v>24137.83</v>
      </c>
      <c r="E28" s="96">
        <f t="shared" si="2"/>
        <v>179.17</v>
      </c>
      <c r="F28" s="14">
        <f t="shared" si="5"/>
        <v>435981.11</v>
      </c>
      <c r="G28" s="14">
        <f t="shared" si="3"/>
        <v>411843.27999999997</v>
      </c>
    </row>
    <row r="29" spans="1:7" x14ac:dyDescent="0.25">
      <c r="A29" s="54">
        <v>41912</v>
      </c>
      <c r="B29" s="1">
        <f t="shared" si="4"/>
        <v>1</v>
      </c>
      <c r="C29" s="14">
        <f t="shared" si="0"/>
        <v>24317</v>
      </c>
      <c r="D29" s="95">
        <f t="shared" si="1"/>
        <v>24147.75</v>
      </c>
      <c r="E29" s="96">
        <f t="shared" si="2"/>
        <v>169.25</v>
      </c>
      <c r="F29" s="14">
        <f t="shared" si="5"/>
        <v>411843.27999999997</v>
      </c>
      <c r="G29" s="14">
        <f t="shared" si="3"/>
        <v>387695.52999999997</v>
      </c>
    </row>
    <row r="30" spans="1:7" x14ac:dyDescent="0.25">
      <c r="A30" s="54">
        <v>41913</v>
      </c>
      <c r="B30" s="1">
        <f t="shared" si="4"/>
        <v>1</v>
      </c>
      <c r="C30" s="14">
        <f t="shared" si="0"/>
        <v>24317</v>
      </c>
      <c r="D30" s="95">
        <f t="shared" si="1"/>
        <v>24157.67</v>
      </c>
      <c r="E30" s="96">
        <f t="shared" si="2"/>
        <v>159.33000000000001</v>
      </c>
      <c r="F30" s="14">
        <f t="shared" si="5"/>
        <v>387695.52999999997</v>
      </c>
      <c r="G30" s="14">
        <f t="shared" si="3"/>
        <v>363537.86</v>
      </c>
    </row>
    <row r="31" spans="1:7" x14ac:dyDescent="0.25">
      <c r="A31" s="54">
        <v>41914</v>
      </c>
      <c r="B31" s="1">
        <f t="shared" si="4"/>
        <v>1</v>
      </c>
      <c r="C31" s="14">
        <f t="shared" si="0"/>
        <v>24317</v>
      </c>
      <c r="D31" s="95">
        <f t="shared" si="1"/>
        <v>24167.599999999999</v>
      </c>
      <c r="E31" s="96">
        <f t="shared" si="2"/>
        <v>149.4</v>
      </c>
      <c r="F31" s="14">
        <f t="shared" si="5"/>
        <v>363537.86</v>
      </c>
      <c r="G31" s="14">
        <f t="shared" si="3"/>
        <v>339370.26</v>
      </c>
    </row>
    <row r="32" spans="1:7" x14ac:dyDescent="0.25">
      <c r="A32" s="54">
        <v>41915</v>
      </c>
      <c r="B32" s="1">
        <f t="shared" si="4"/>
        <v>1</v>
      </c>
      <c r="C32" s="14">
        <f t="shared" si="0"/>
        <v>24317</v>
      </c>
      <c r="D32" s="95">
        <f t="shared" si="1"/>
        <v>24177.53</v>
      </c>
      <c r="E32" s="96">
        <f t="shared" si="2"/>
        <v>139.47</v>
      </c>
      <c r="F32" s="14">
        <f t="shared" si="5"/>
        <v>339370.26</v>
      </c>
      <c r="G32" s="14">
        <f t="shared" si="3"/>
        <v>315192.73</v>
      </c>
    </row>
    <row r="33" spans="1:7" x14ac:dyDescent="0.25">
      <c r="A33" s="54">
        <v>41916</v>
      </c>
      <c r="B33" s="1">
        <f t="shared" si="4"/>
        <v>1</v>
      </c>
      <c r="C33" s="14">
        <f t="shared" si="0"/>
        <v>24317</v>
      </c>
      <c r="D33" s="95">
        <f t="shared" si="1"/>
        <v>24187.47</v>
      </c>
      <c r="E33" s="96">
        <f t="shared" si="2"/>
        <v>129.53</v>
      </c>
      <c r="F33" s="14">
        <f t="shared" si="5"/>
        <v>315192.73</v>
      </c>
      <c r="G33" s="14">
        <f t="shared" si="3"/>
        <v>291005.26</v>
      </c>
    </row>
    <row r="34" spans="1:7" x14ac:dyDescent="0.25">
      <c r="A34" s="54">
        <v>41917</v>
      </c>
      <c r="B34" s="1">
        <f t="shared" si="4"/>
        <v>1</v>
      </c>
      <c r="C34" s="14">
        <f t="shared" si="0"/>
        <v>24317</v>
      </c>
      <c r="D34" s="95">
        <f t="shared" si="1"/>
        <v>24197.41</v>
      </c>
      <c r="E34" s="96">
        <f t="shared" si="2"/>
        <v>119.59</v>
      </c>
      <c r="F34" s="14">
        <f t="shared" si="5"/>
        <v>291005.26</v>
      </c>
      <c r="G34" s="14">
        <f t="shared" si="3"/>
        <v>266807.85000000003</v>
      </c>
    </row>
    <row r="35" spans="1:7" x14ac:dyDescent="0.25">
      <c r="A35" s="54">
        <v>41918</v>
      </c>
      <c r="B35" s="1">
        <f t="shared" si="4"/>
        <v>1</v>
      </c>
      <c r="C35" s="14">
        <f t="shared" si="0"/>
        <v>24317</v>
      </c>
      <c r="D35" s="95">
        <f t="shared" si="1"/>
        <v>24207.35</v>
      </c>
      <c r="E35" s="96">
        <f t="shared" si="2"/>
        <v>109.65</v>
      </c>
      <c r="F35" s="14">
        <f t="shared" si="5"/>
        <v>266807.85000000003</v>
      </c>
      <c r="G35" s="14">
        <f t="shared" si="3"/>
        <v>242600.50000000003</v>
      </c>
    </row>
    <row r="36" spans="1:7" x14ac:dyDescent="0.25">
      <c r="A36" s="54">
        <v>41919</v>
      </c>
      <c r="B36" s="1">
        <f t="shared" si="4"/>
        <v>1</v>
      </c>
      <c r="C36" s="14">
        <f t="shared" si="0"/>
        <v>24317</v>
      </c>
      <c r="D36" s="95">
        <f t="shared" si="1"/>
        <v>24217.3</v>
      </c>
      <c r="E36" s="96">
        <f t="shared" si="2"/>
        <v>99.7</v>
      </c>
      <c r="F36" s="14">
        <f t="shared" si="5"/>
        <v>242600.50000000003</v>
      </c>
      <c r="G36" s="14">
        <f t="shared" si="3"/>
        <v>218383.20000000004</v>
      </c>
    </row>
    <row r="37" spans="1:7" x14ac:dyDescent="0.25">
      <c r="A37" s="54">
        <v>41920</v>
      </c>
      <c r="B37" s="1">
        <f t="shared" si="4"/>
        <v>1</v>
      </c>
      <c r="C37" s="14">
        <f t="shared" si="0"/>
        <v>24317</v>
      </c>
      <c r="D37" s="95">
        <f t="shared" si="1"/>
        <v>24227.25</v>
      </c>
      <c r="E37" s="96">
        <f t="shared" si="2"/>
        <v>89.75</v>
      </c>
      <c r="F37" s="14">
        <f t="shared" si="5"/>
        <v>218383.20000000004</v>
      </c>
      <c r="G37" s="14">
        <f t="shared" si="3"/>
        <v>194155.95000000004</v>
      </c>
    </row>
    <row r="38" spans="1:7" x14ac:dyDescent="0.25">
      <c r="A38" s="54">
        <v>41921</v>
      </c>
      <c r="B38" s="1">
        <f t="shared" si="4"/>
        <v>1</v>
      </c>
      <c r="C38" s="14">
        <f t="shared" si="0"/>
        <v>24317</v>
      </c>
      <c r="D38" s="95">
        <f t="shared" si="1"/>
        <v>24237.21</v>
      </c>
      <c r="E38" s="96">
        <f t="shared" si="2"/>
        <v>79.790000000000006</v>
      </c>
      <c r="F38" s="14">
        <f t="shared" si="5"/>
        <v>194155.95000000004</v>
      </c>
      <c r="G38" s="14">
        <f t="shared" si="3"/>
        <v>169918.74000000005</v>
      </c>
    </row>
    <row r="39" spans="1:7" x14ac:dyDescent="0.25">
      <c r="A39" s="54">
        <v>41922</v>
      </c>
      <c r="B39" s="1">
        <f t="shared" si="4"/>
        <v>1</v>
      </c>
      <c r="C39" s="14">
        <f t="shared" si="0"/>
        <v>24317</v>
      </c>
      <c r="D39" s="95">
        <f t="shared" si="1"/>
        <v>24247.17</v>
      </c>
      <c r="E39" s="96">
        <f t="shared" si="2"/>
        <v>69.83</v>
      </c>
      <c r="F39" s="14">
        <f t="shared" si="5"/>
        <v>169918.74000000005</v>
      </c>
      <c r="G39" s="14">
        <f t="shared" si="3"/>
        <v>145671.57000000007</v>
      </c>
    </row>
    <row r="40" spans="1:7" x14ac:dyDescent="0.25">
      <c r="A40" s="54">
        <v>41923</v>
      </c>
      <c r="B40" s="1">
        <f t="shared" si="4"/>
        <v>1</v>
      </c>
      <c r="C40" s="14">
        <f t="shared" si="0"/>
        <v>24317</v>
      </c>
      <c r="D40" s="95">
        <f t="shared" si="1"/>
        <v>24257.13</v>
      </c>
      <c r="E40" s="96">
        <f t="shared" si="2"/>
        <v>59.87</v>
      </c>
      <c r="F40" s="14">
        <f t="shared" si="5"/>
        <v>145671.57000000007</v>
      </c>
      <c r="G40" s="14">
        <f t="shared" si="3"/>
        <v>121414.44000000006</v>
      </c>
    </row>
    <row r="41" spans="1:7" x14ac:dyDescent="0.25">
      <c r="A41" s="54">
        <v>41924</v>
      </c>
      <c r="B41" s="1">
        <f t="shared" si="4"/>
        <v>1</v>
      </c>
      <c r="C41" s="14">
        <f t="shared" si="0"/>
        <v>24317</v>
      </c>
      <c r="D41" s="95">
        <f t="shared" si="1"/>
        <v>24267.1</v>
      </c>
      <c r="E41" s="96">
        <f t="shared" si="2"/>
        <v>49.9</v>
      </c>
      <c r="F41" s="14">
        <f t="shared" si="5"/>
        <v>121414.44000000006</v>
      </c>
      <c r="G41" s="14">
        <f t="shared" si="3"/>
        <v>97147.340000000055</v>
      </c>
    </row>
    <row r="42" spans="1:7" x14ac:dyDescent="0.25">
      <c r="A42" s="54">
        <v>41925</v>
      </c>
      <c r="B42" s="1">
        <f t="shared" si="4"/>
        <v>1</v>
      </c>
      <c r="C42" s="14">
        <f t="shared" si="0"/>
        <v>24317</v>
      </c>
      <c r="D42" s="95">
        <f t="shared" si="1"/>
        <v>24277.08</v>
      </c>
      <c r="E42" s="96">
        <f t="shared" si="2"/>
        <v>39.92</v>
      </c>
      <c r="F42" s="14">
        <f t="shared" si="5"/>
        <v>97147.340000000055</v>
      </c>
      <c r="G42" s="14">
        <f t="shared" si="3"/>
        <v>72870.260000000053</v>
      </c>
    </row>
    <row r="43" spans="1:7" x14ac:dyDescent="0.25">
      <c r="A43" s="54">
        <v>41926</v>
      </c>
      <c r="B43" s="1">
        <f t="shared" si="4"/>
        <v>1</v>
      </c>
      <c r="C43" s="14">
        <f t="shared" si="0"/>
        <v>24317</v>
      </c>
      <c r="D43" s="95">
        <f t="shared" si="1"/>
        <v>24287.05</v>
      </c>
      <c r="E43" s="96">
        <f t="shared" si="2"/>
        <v>29.95</v>
      </c>
      <c r="F43" s="14">
        <f t="shared" si="5"/>
        <v>72870.260000000053</v>
      </c>
      <c r="G43" s="14">
        <f t="shared" si="3"/>
        <v>48583.21000000005</v>
      </c>
    </row>
    <row r="44" spans="1:7" x14ac:dyDescent="0.25">
      <c r="A44" s="54">
        <v>41927</v>
      </c>
      <c r="B44" s="1">
        <f t="shared" si="4"/>
        <v>1</v>
      </c>
      <c r="C44" s="14">
        <f t="shared" si="0"/>
        <v>24317</v>
      </c>
      <c r="D44" s="95">
        <f t="shared" si="1"/>
        <v>24297.03</v>
      </c>
      <c r="E44" s="96">
        <f t="shared" si="2"/>
        <v>19.97</v>
      </c>
      <c r="F44" s="14">
        <f t="shared" si="5"/>
        <v>48583.21000000005</v>
      </c>
      <c r="G44" s="14">
        <f t="shared" si="3"/>
        <v>24286.180000000051</v>
      </c>
    </row>
    <row r="45" spans="1:7" x14ac:dyDescent="0.25">
      <c r="A45" s="54">
        <v>41928</v>
      </c>
      <c r="B45" s="1">
        <f t="shared" si="4"/>
        <v>1</v>
      </c>
      <c r="C45" s="14">
        <f t="shared" si="0"/>
        <v>24317</v>
      </c>
      <c r="D45" s="95">
        <f t="shared" si="1"/>
        <v>24286.180000000051</v>
      </c>
      <c r="E45" s="96">
        <v>30.819999999949214</v>
      </c>
      <c r="F45" s="14">
        <f t="shared" si="5"/>
        <v>24286.180000000051</v>
      </c>
      <c r="G45" s="14">
        <f t="shared" si="3"/>
        <v>0</v>
      </c>
    </row>
    <row r="46" spans="1:7" x14ac:dyDescent="0.25">
      <c r="A46" s="70">
        <v>41895</v>
      </c>
      <c r="B46" s="98">
        <f>_xlfn.DAYS(A12,A11)</f>
        <v>1</v>
      </c>
      <c r="C46" s="99">
        <f t="shared" si="0"/>
        <v>24317</v>
      </c>
      <c r="D46" s="100">
        <f t="shared" ref="D46:D47" si="6">C46-E46</f>
        <v>23979.67</v>
      </c>
      <c r="E46" s="101">
        <f>ROUND(F12*$B$2*B12/365,2)</f>
        <v>337.33</v>
      </c>
      <c r="F46" s="99">
        <f>G11</f>
        <v>820840.63</v>
      </c>
      <c r="G46" s="99">
        <f t="shared" ref="G46:G47" si="7">F46-D46</f>
        <v>796860.96</v>
      </c>
    </row>
    <row r="47" spans="1:7" x14ac:dyDescent="0.25">
      <c r="A47" s="70">
        <v>41896</v>
      </c>
      <c r="B47" s="98">
        <f>_xlfn.DAYS(A13,A12)</f>
        <v>1</v>
      </c>
      <c r="C47" s="14">
        <f>$J$1</f>
        <v>20000</v>
      </c>
      <c r="D47" s="95">
        <f t="shared" si="6"/>
        <v>19672.52</v>
      </c>
      <c r="E47" s="96">
        <f t="shared" ref="E47" si="8">ROUND(F47*$B$2*B47/365,2)</f>
        <v>327.48</v>
      </c>
      <c r="F47" s="14">
        <f t="shared" ref="F47" si="9">G46</f>
        <v>796860.96</v>
      </c>
      <c r="G47" s="14">
        <f t="shared" si="7"/>
        <v>777188.44</v>
      </c>
    </row>
    <row r="48" spans="1:7" x14ac:dyDescent="0.25">
      <c r="A48" s="54">
        <v>41897</v>
      </c>
      <c r="B48" s="1">
        <f t="shared" ref="B48:B77" si="10">_xlfn.DAYS(A48,A47)</f>
        <v>1</v>
      </c>
      <c r="C48" s="14">
        <f t="shared" ref="C48:C64" si="11">$J$1</f>
        <v>20000</v>
      </c>
      <c r="D48" s="95">
        <f t="shared" ref="D48" si="12">C48-E48</f>
        <v>19680.61</v>
      </c>
      <c r="E48" s="96">
        <f t="shared" ref="E48" si="13">ROUND(F48*$B$2*B48/365,2)</f>
        <v>319.39</v>
      </c>
      <c r="F48" s="14">
        <f t="shared" ref="F48" si="14">G47</f>
        <v>777188.44</v>
      </c>
      <c r="G48" s="14">
        <f t="shared" ref="G48" si="15">F48-D48</f>
        <v>757507.83</v>
      </c>
    </row>
    <row r="49" spans="1:7" x14ac:dyDescent="0.25">
      <c r="A49" s="54">
        <v>41898</v>
      </c>
      <c r="B49" s="1">
        <f t="shared" si="10"/>
        <v>1</v>
      </c>
      <c r="C49" s="14">
        <f t="shared" si="11"/>
        <v>20000</v>
      </c>
      <c r="D49" s="95">
        <f t="shared" ref="D49:D77" si="16">C49-E49</f>
        <v>19688.7</v>
      </c>
      <c r="E49" s="96">
        <f t="shared" ref="E49:E77" si="17">ROUND(F49*$B$2*B49/365,2)</f>
        <v>311.3</v>
      </c>
      <c r="F49" s="14">
        <f t="shared" ref="F49:F77" si="18">G48</f>
        <v>757507.83</v>
      </c>
      <c r="G49" s="14">
        <f t="shared" ref="G49:G77" si="19">F49-D49</f>
        <v>737819.13</v>
      </c>
    </row>
    <row r="50" spans="1:7" x14ac:dyDescent="0.25">
      <c r="A50" s="54">
        <v>41899</v>
      </c>
      <c r="B50" s="1">
        <f t="shared" si="10"/>
        <v>1</v>
      </c>
      <c r="C50" s="14">
        <f t="shared" si="11"/>
        <v>20000</v>
      </c>
      <c r="D50" s="95">
        <f t="shared" si="16"/>
        <v>19696.79</v>
      </c>
      <c r="E50" s="96">
        <f t="shared" si="17"/>
        <v>303.20999999999998</v>
      </c>
      <c r="F50" s="14">
        <f t="shared" si="18"/>
        <v>737819.13</v>
      </c>
      <c r="G50" s="14">
        <f t="shared" si="19"/>
        <v>718122.34</v>
      </c>
    </row>
    <row r="51" spans="1:7" x14ac:dyDescent="0.25">
      <c r="A51" s="54">
        <v>41900</v>
      </c>
      <c r="B51" s="1">
        <f t="shared" si="10"/>
        <v>1</v>
      </c>
      <c r="C51" s="14">
        <f t="shared" si="11"/>
        <v>20000</v>
      </c>
      <c r="D51" s="95">
        <f t="shared" si="16"/>
        <v>19704.88</v>
      </c>
      <c r="E51" s="96">
        <f t="shared" si="17"/>
        <v>295.12</v>
      </c>
      <c r="F51" s="14">
        <f t="shared" si="18"/>
        <v>718122.34</v>
      </c>
      <c r="G51" s="14">
        <f t="shared" si="19"/>
        <v>698417.46</v>
      </c>
    </row>
    <row r="52" spans="1:7" x14ac:dyDescent="0.25">
      <c r="A52" s="54">
        <v>41901</v>
      </c>
      <c r="B52" s="1">
        <f t="shared" si="10"/>
        <v>1</v>
      </c>
      <c r="C52" s="14">
        <f t="shared" si="11"/>
        <v>20000</v>
      </c>
      <c r="D52" s="95">
        <f t="shared" si="16"/>
        <v>19712.98</v>
      </c>
      <c r="E52" s="96">
        <f t="shared" si="17"/>
        <v>287.02</v>
      </c>
      <c r="F52" s="14">
        <f t="shared" si="18"/>
        <v>698417.46</v>
      </c>
      <c r="G52" s="14">
        <f t="shared" si="19"/>
        <v>678704.48</v>
      </c>
    </row>
    <row r="53" spans="1:7" x14ac:dyDescent="0.25">
      <c r="A53" s="54">
        <v>41902</v>
      </c>
      <c r="B53" s="1">
        <f t="shared" si="10"/>
        <v>1</v>
      </c>
      <c r="C53" s="14">
        <f t="shared" si="11"/>
        <v>20000</v>
      </c>
      <c r="D53" s="95">
        <f t="shared" si="16"/>
        <v>19721.080000000002</v>
      </c>
      <c r="E53" s="96">
        <f t="shared" si="17"/>
        <v>278.92</v>
      </c>
      <c r="F53" s="14">
        <f t="shared" si="18"/>
        <v>678704.48</v>
      </c>
      <c r="G53" s="14">
        <f t="shared" si="19"/>
        <v>658983.4</v>
      </c>
    </row>
    <row r="54" spans="1:7" x14ac:dyDescent="0.25">
      <c r="A54" s="54">
        <v>41903</v>
      </c>
      <c r="B54" s="1">
        <f t="shared" si="10"/>
        <v>1</v>
      </c>
      <c r="C54" s="14">
        <f t="shared" si="11"/>
        <v>20000</v>
      </c>
      <c r="D54" s="95">
        <f t="shared" si="16"/>
        <v>19729.18</v>
      </c>
      <c r="E54" s="96">
        <f t="shared" si="17"/>
        <v>270.82</v>
      </c>
      <c r="F54" s="14">
        <f t="shared" si="18"/>
        <v>658983.4</v>
      </c>
      <c r="G54" s="14">
        <f t="shared" si="19"/>
        <v>639254.22</v>
      </c>
    </row>
    <row r="55" spans="1:7" x14ac:dyDescent="0.25">
      <c r="A55" s="54">
        <v>41904</v>
      </c>
      <c r="B55" s="1">
        <f t="shared" si="10"/>
        <v>1</v>
      </c>
      <c r="C55" s="14">
        <f t="shared" si="11"/>
        <v>20000</v>
      </c>
      <c r="D55" s="95">
        <f t="shared" si="16"/>
        <v>19737.29</v>
      </c>
      <c r="E55" s="96">
        <f t="shared" si="17"/>
        <v>262.70999999999998</v>
      </c>
      <c r="F55" s="14">
        <f t="shared" si="18"/>
        <v>639254.22</v>
      </c>
      <c r="G55" s="14">
        <f t="shared" si="19"/>
        <v>619516.92999999993</v>
      </c>
    </row>
    <row r="56" spans="1:7" x14ac:dyDescent="0.25">
      <c r="A56" s="54">
        <v>41905</v>
      </c>
      <c r="B56" s="1">
        <f t="shared" si="10"/>
        <v>1</v>
      </c>
      <c r="C56" s="14">
        <f t="shared" si="11"/>
        <v>20000</v>
      </c>
      <c r="D56" s="95">
        <f t="shared" si="16"/>
        <v>19745.400000000001</v>
      </c>
      <c r="E56" s="96">
        <f t="shared" si="17"/>
        <v>254.6</v>
      </c>
      <c r="F56" s="14">
        <f t="shared" si="18"/>
        <v>619516.92999999993</v>
      </c>
      <c r="G56" s="14">
        <f t="shared" si="19"/>
        <v>599771.52999999991</v>
      </c>
    </row>
    <row r="57" spans="1:7" x14ac:dyDescent="0.25">
      <c r="A57" s="54">
        <v>41906</v>
      </c>
      <c r="B57" s="1">
        <f t="shared" si="10"/>
        <v>1</v>
      </c>
      <c r="C57" s="14">
        <f t="shared" si="11"/>
        <v>20000</v>
      </c>
      <c r="D57" s="95">
        <f t="shared" si="16"/>
        <v>19753.52</v>
      </c>
      <c r="E57" s="96">
        <f t="shared" si="17"/>
        <v>246.48</v>
      </c>
      <c r="F57" s="14">
        <f t="shared" si="18"/>
        <v>599771.52999999991</v>
      </c>
      <c r="G57" s="14">
        <f t="shared" si="19"/>
        <v>580018.00999999989</v>
      </c>
    </row>
    <row r="58" spans="1:7" x14ac:dyDescent="0.25">
      <c r="A58" s="54">
        <v>41907</v>
      </c>
      <c r="B58" s="1">
        <f t="shared" si="10"/>
        <v>1</v>
      </c>
      <c r="C58" s="14">
        <f t="shared" si="11"/>
        <v>20000</v>
      </c>
      <c r="D58" s="95">
        <f t="shared" si="16"/>
        <v>19761.64</v>
      </c>
      <c r="E58" s="96">
        <f t="shared" si="17"/>
        <v>238.36</v>
      </c>
      <c r="F58" s="14">
        <f t="shared" si="18"/>
        <v>580018.00999999989</v>
      </c>
      <c r="G58" s="14">
        <f t="shared" si="19"/>
        <v>560256.36999999988</v>
      </c>
    </row>
    <row r="59" spans="1:7" x14ac:dyDescent="0.25">
      <c r="A59" s="54">
        <v>41908</v>
      </c>
      <c r="B59" s="1">
        <f t="shared" si="10"/>
        <v>1</v>
      </c>
      <c r="C59" s="14">
        <f t="shared" si="11"/>
        <v>20000</v>
      </c>
      <c r="D59" s="95">
        <f t="shared" si="16"/>
        <v>19769.759999999998</v>
      </c>
      <c r="E59" s="96">
        <f t="shared" si="17"/>
        <v>230.24</v>
      </c>
      <c r="F59" s="14">
        <f t="shared" si="18"/>
        <v>560256.36999999988</v>
      </c>
      <c r="G59" s="14">
        <f t="shared" si="19"/>
        <v>540486.60999999987</v>
      </c>
    </row>
    <row r="60" spans="1:7" x14ac:dyDescent="0.25">
      <c r="A60" s="54">
        <v>41909</v>
      </c>
      <c r="B60" s="1">
        <f t="shared" si="10"/>
        <v>1</v>
      </c>
      <c r="C60" s="14">
        <f t="shared" si="11"/>
        <v>20000</v>
      </c>
      <c r="D60" s="95">
        <f t="shared" si="16"/>
        <v>19777.88</v>
      </c>
      <c r="E60" s="96">
        <f t="shared" si="17"/>
        <v>222.12</v>
      </c>
      <c r="F60" s="14">
        <f t="shared" si="18"/>
        <v>540486.60999999987</v>
      </c>
      <c r="G60" s="14">
        <f t="shared" si="19"/>
        <v>520708.72999999986</v>
      </c>
    </row>
    <row r="61" spans="1:7" x14ac:dyDescent="0.25">
      <c r="A61" s="54">
        <v>41910</v>
      </c>
      <c r="B61" s="1">
        <f t="shared" si="10"/>
        <v>1</v>
      </c>
      <c r="C61" s="14">
        <f t="shared" si="11"/>
        <v>20000</v>
      </c>
      <c r="D61" s="95">
        <f t="shared" si="16"/>
        <v>19786.009999999998</v>
      </c>
      <c r="E61" s="96">
        <f t="shared" si="17"/>
        <v>213.99</v>
      </c>
      <c r="F61" s="14">
        <f t="shared" si="18"/>
        <v>520708.72999999986</v>
      </c>
      <c r="G61" s="14">
        <f t="shared" si="19"/>
        <v>500922.71999999986</v>
      </c>
    </row>
    <row r="62" spans="1:7" x14ac:dyDescent="0.25">
      <c r="A62" s="54">
        <v>41911</v>
      </c>
      <c r="B62" s="1">
        <f t="shared" si="10"/>
        <v>1</v>
      </c>
      <c r="C62" s="14">
        <f t="shared" si="11"/>
        <v>20000</v>
      </c>
      <c r="D62" s="95">
        <f t="shared" si="16"/>
        <v>19794.14</v>
      </c>
      <c r="E62" s="96">
        <f t="shared" si="17"/>
        <v>205.86</v>
      </c>
      <c r="F62" s="14">
        <f t="shared" si="18"/>
        <v>500922.71999999986</v>
      </c>
      <c r="G62" s="14">
        <f t="shared" si="19"/>
        <v>481128.57999999984</v>
      </c>
    </row>
    <row r="63" spans="1:7" x14ac:dyDescent="0.25">
      <c r="A63" s="54">
        <v>41912</v>
      </c>
      <c r="B63" s="1">
        <f t="shared" si="10"/>
        <v>1</v>
      </c>
      <c r="C63" s="14">
        <f t="shared" si="11"/>
        <v>20000</v>
      </c>
      <c r="D63" s="95">
        <f t="shared" si="16"/>
        <v>19802.28</v>
      </c>
      <c r="E63" s="96">
        <f t="shared" si="17"/>
        <v>197.72</v>
      </c>
      <c r="F63" s="14">
        <f t="shared" si="18"/>
        <v>481128.57999999984</v>
      </c>
      <c r="G63" s="14">
        <f t="shared" si="19"/>
        <v>461326.29999999981</v>
      </c>
    </row>
    <row r="64" spans="1:7" x14ac:dyDescent="0.25">
      <c r="A64" s="70">
        <v>41913</v>
      </c>
      <c r="B64" s="1">
        <f t="shared" si="10"/>
        <v>1</v>
      </c>
      <c r="C64" s="14">
        <f t="shared" si="11"/>
        <v>20000</v>
      </c>
      <c r="D64" s="95">
        <f t="shared" si="16"/>
        <v>19810.41</v>
      </c>
      <c r="E64" s="96">
        <f t="shared" si="17"/>
        <v>189.59</v>
      </c>
      <c r="F64" s="14">
        <f t="shared" si="18"/>
        <v>461326.29999999981</v>
      </c>
      <c r="G64" s="14">
        <f t="shared" si="19"/>
        <v>441515.88999999984</v>
      </c>
    </row>
    <row r="65" spans="1:7" x14ac:dyDescent="0.25">
      <c r="A65" s="54">
        <v>41914</v>
      </c>
      <c r="B65" s="1">
        <f t="shared" si="10"/>
        <v>1</v>
      </c>
      <c r="C65" s="14">
        <f>$P$1</f>
        <v>30000</v>
      </c>
      <c r="D65" s="95">
        <f t="shared" si="16"/>
        <v>29818.560000000001</v>
      </c>
      <c r="E65" s="96">
        <f t="shared" si="17"/>
        <v>181.44</v>
      </c>
      <c r="F65" s="14">
        <f t="shared" si="18"/>
        <v>441515.88999999984</v>
      </c>
      <c r="G65" s="14">
        <f t="shared" si="19"/>
        <v>411697.32999999984</v>
      </c>
    </row>
    <row r="66" spans="1:7" x14ac:dyDescent="0.25">
      <c r="A66" s="54">
        <v>41915</v>
      </c>
      <c r="B66" s="1">
        <f t="shared" si="10"/>
        <v>1</v>
      </c>
      <c r="C66" s="14">
        <f t="shared" ref="C66:C78" si="20">$P$1</f>
        <v>30000</v>
      </c>
      <c r="D66" s="95">
        <f t="shared" si="16"/>
        <v>29830.81</v>
      </c>
      <c r="E66" s="96">
        <f t="shared" si="17"/>
        <v>169.19</v>
      </c>
      <c r="F66" s="14">
        <f t="shared" si="18"/>
        <v>411697.32999999984</v>
      </c>
      <c r="G66" s="14">
        <f t="shared" si="19"/>
        <v>381866.51999999984</v>
      </c>
    </row>
    <row r="67" spans="1:7" x14ac:dyDescent="0.25">
      <c r="A67" s="54">
        <v>41916</v>
      </c>
      <c r="B67" s="1">
        <f t="shared" si="10"/>
        <v>1</v>
      </c>
      <c r="C67" s="14">
        <f t="shared" si="20"/>
        <v>30000</v>
      </c>
      <c r="D67" s="95">
        <f t="shared" si="16"/>
        <v>29843.07</v>
      </c>
      <c r="E67" s="96">
        <f t="shared" si="17"/>
        <v>156.93</v>
      </c>
      <c r="F67" s="14">
        <f t="shared" si="18"/>
        <v>381866.51999999984</v>
      </c>
      <c r="G67" s="14">
        <f t="shared" si="19"/>
        <v>352023.44999999984</v>
      </c>
    </row>
    <row r="68" spans="1:7" x14ac:dyDescent="0.25">
      <c r="A68" s="54">
        <v>41917</v>
      </c>
      <c r="B68" s="1">
        <f t="shared" si="10"/>
        <v>1</v>
      </c>
      <c r="C68" s="14">
        <f t="shared" si="20"/>
        <v>30000</v>
      </c>
      <c r="D68" s="95">
        <f t="shared" si="16"/>
        <v>29855.33</v>
      </c>
      <c r="E68" s="96">
        <f t="shared" si="17"/>
        <v>144.66999999999999</v>
      </c>
      <c r="F68" s="14">
        <f t="shared" si="18"/>
        <v>352023.44999999984</v>
      </c>
      <c r="G68" s="14">
        <f t="shared" si="19"/>
        <v>322168.11999999982</v>
      </c>
    </row>
    <row r="69" spans="1:7" x14ac:dyDescent="0.25">
      <c r="A69" s="54">
        <v>41918</v>
      </c>
      <c r="B69" s="1">
        <f t="shared" si="10"/>
        <v>1</v>
      </c>
      <c r="C69" s="14">
        <f t="shared" si="20"/>
        <v>30000</v>
      </c>
      <c r="D69" s="95">
        <f t="shared" si="16"/>
        <v>29867.599999999999</v>
      </c>
      <c r="E69" s="96">
        <f t="shared" si="17"/>
        <v>132.4</v>
      </c>
      <c r="F69" s="14">
        <f t="shared" si="18"/>
        <v>322168.11999999982</v>
      </c>
      <c r="G69" s="14">
        <f t="shared" si="19"/>
        <v>292300.51999999984</v>
      </c>
    </row>
    <row r="70" spans="1:7" x14ac:dyDescent="0.25">
      <c r="A70" s="54">
        <v>41919</v>
      </c>
      <c r="B70" s="1">
        <f t="shared" si="10"/>
        <v>1</v>
      </c>
      <c r="C70" s="14">
        <f t="shared" si="20"/>
        <v>30000</v>
      </c>
      <c r="D70" s="95">
        <f t="shared" si="16"/>
        <v>29879.88</v>
      </c>
      <c r="E70" s="96">
        <f t="shared" si="17"/>
        <v>120.12</v>
      </c>
      <c r="F70" s="14">
        <f t="shared" si="18"/>
        <v>292300.51999999984</v>
      </c>
      <c r="G70" s="14">
        <f t="shared" si="19"/>
        <v>262420.63999999984</v>
      </c>
    </row>
    <row r="71" spans="1:7" x14ac:dyDescent="0.25">
      <c r="A71" s="54">
        <v>41920</v>
      </c>
      <c r="B71" s="1">
        <f t="shared" si="10"/>
        <v>1</v>
      </c>
      <c r="C71" s="14">
        <f t="shared" si="20"/>
        <v>30000</v>
      </c>
      <c r="D71" s="95">
        <f t="shared" si="16"/>
        <v>29892.16</v>
      </c>
      <c r="E71" s="96">
        <f t="shared" si="17"/>
        <v>107.84</v>
      </c>
      <c r="F71" s="14">
        <f t="shared" si="18"/>
        <v>262420.63999999984</v>
      </c>
      <c r="G71" s="14">
        <f t="shared" si="19"/>
        <v>232528.47999999984</v>
      </c>
    </row>
    <row r="72" spans="1:7" x14ac:dyDescent="0.25">
      <c r="A72" s="54">
        <v>41921</v>
      </c>
      <c r="B72" s="1">
        <f t="shared" si="10"/>
        <v>1</v>
      </c>
      <c r="C72" s="14">
        <f t="shared" si="20"/>
        <v>30000</v>
      </c>
      <c r="D72" s="95">
        <f t="shared" si="16"/>
        <v>29904.44</v>
      </c>
      <c r="E72" s="96">
        <f t="shared" si="17"/>
        <v>95.56</v>
      </c>
      <c r="F72" s="14">
        <f t="shared" si="18"/>
        <v>232528.47999999984</v>
      </c>
      <c r="G72" s="14">
        <f t="shared" si="19"/>
        <v>202624.03999999983</v>
      </c>
    </row>
    <row r="73" spans="1:7" x14ac:dyDescent="0.25">
      <c r="A73" s="54">
        <v>41922</v>
      </c>
      <c r="B73" s="1">
        <f t="shared" si="10"/>
        <v>1</v>
      </c>
      <c r="C73" s="14">
        <f t="shared" si="20"/>
        <v>30000</v>
      </c>
      <c r="D73" s="95">
        <f t="shared" si="16"/>
        <v>29916.73</v>
      </c>
      <c r="E73" s="96">
        <f t="shared" si="17"/>
        <v>83.27</v>
      </c>
      <c r="F73" s="14">
        <f t="shared" si="18"/>
        <v>202624.03999999983</v>
      </c>
      <c r="G73" s="14">
        <f t="shared" si="19"/>
        <v>172707.30999999982</v>
      </c>
    </row>
    <row r="74" spans="1:7" x14ac:dyDescent="0.25">
      <c r="A74" s="54">
        <v>41923</v>
      </c>
      <c r="B74" s="1">
        <f t="shared" si="10"/>
        <v>1</v>
      </c>
      <c r="C74" s="14">
        <f t="shared" si="20"/>
        <v>30000</v>
      </c>
      <c r="D74" s="95">
        <f t="shared" si="16"/>
        <v>29929.02</v>
      </c>
      <c r="E74" s="96">
        <f t="shared" si="17"/>
        <v>70.98</v>
      </c>
      <c r="F74" s="14">
        <f t="shared" si="18"/>
        <v>172707.30999999982</v>
      </c>
      <c r="G74" s="14">
        <f t="shared" si="19"/>
        <v>142778.28999999983</v>
      </c>
    </row>
    <row r="75" spans="1:7" x14ac:dyDescent="0.25">
      <c r="A75" s="54">
        <v>41924</v>
      </c>
      <c r="B75" s="1">
        <f t="shared" si="10"/>
        <v>1</v>
      </c>
      <c r="C75" s="14">
        <f t="shared" si="20"/>
        <v>30000</v>
      </c>
      <c r="D75" s="95">
        <f t="shared" si="16"/>
        <v>29941.32</v>
      </c>
      <c r="E75" s="96">
        <f t="shared" si="17"/>
        <v>58.68</v>
      </c>
      <c r="F75" s="14">
        <f t="shared" si="18"/>
        <v>142778.28999999983</v>
      </c>
      <c r="G75" s="14">
        <f t="shared" si="19"/>
        <v>112836.96999999983</v>
      </c>
    </row>
    <row r="76" spans="1:7" x14ac:dyDescent="0.25">
      <c r="A76" s="54">
        <v>41925</v>
      </c>
      <c r="B76" s="1">
        <f t="shared" si="10"/>
        <v>1</v>
      </c>
      <c r="C76" s="14">
        <f t="shared" si="20"/>
        <v>30000</v>
      </c>
      <c r="D76" s="95">
        <f t="shared" si="16"/>
        <v>29953.63</v>
      </c>
      <c r="E76" s="96">
        <f t="shared" si="17"/>
        <v>46.37</v>
      </c>
      <c r="F76" s="14">
        <f t="shared" si="18"/>
        <v>112836.96999999983</v>
      </c>
      <c r="G76" s="14">
        <f t="shared" si="19"/>
        <v>82883.339999999822</v>
      </c>
    </row>
    <row r="77" spans="1:7" x14ac:dyDescent="0.25">
      <c r="A77" s="54">
        <v>41926</v>
      </c>
      <c r="B77" s="1">
        <f t="shared" si="10"/>
        <v>1</v>
      </c>
      <c r="C77" s="14">
        <f t="shared" si="20"/>
        <v>30000</v>
      </c>
      <c r="D77" s="95">
        <f t="shared" si="16"/>
        <v>29965.94</v>
      </c>
      <c r="E77" s="96">
        <f t="shared" si="17"/>
        <v>34.06</v>
      </c>
      <c r="F77" s="14">
        <f t="shared" si="18"/>
        <v>82883.339999999822</v>
      </c>
      <c r="G77" s="14">
        <f t="shared" si="19"/>
        <v>52917.39999999982</v>
      </c>
    </row>
    <row r="78" spans="1:7" x14ac:dyDescent="0.25">
      <c r="A78" s="54">
        <v>41927</v>
      </c>
      <c r="B78" s="1">
        <f t="shared" ref="B78:B79" si="21">_xlfn.DAYS(A78,A77)</f>
        <v>1</v>
      </c>
      <c r="C78" s="14">
        <f t="shared" si="20"/>
        <v>30000</v>
      </c>
      <c r="D78" s="95">
        <f t="shared" ref="D78:D79" si="22">C78-E78</f>
        <v>29978.25</v>
      </c>
      <c r="E78" s="96">
        <f t="shared" ref="E78:E79" si="23">ROUND(F78*$B$2*B78/365,2)</f>
        <v>21.75</v>
      </c>
      <c r="F78" s="14">
        <f t="shared" ref="F78:F79" si="24">G77</f>
        <v>52917.39999999982</v>
      </c>
      <c r="G78" s="14">
        <f t="shared" ref="G78:G79" si="25">F78-D78</f>
        <v>22939.14999999982</v>
      </c>
    </row>
    <row r="79" spans="1:7" x14ac:dyDescent="0.25">
      <c r="A79" s="54">
        <v>41928</v>
      </c>
      <c r="B79" s="1">
        <f t="shared" si="21"/>
        <v>1</v>
      </c>
      <c r="C79" s="47">
        <f>ROUND(G78+E79,2)</f>
        <v>22948.58</v>
      </c>
      <c r="D79" s="95">
        <f t="shared" si="22"/>
        <v>22939.15</v>
      </c>
      <c r="E79" s="96">
        <f t="shared" si="23"/>
        <v>9.43</v>
      </c>
      <c r="F79" s="14">
        <f t="shared" si="24"/>
        <v>22939.14999999982</v>
      </c>
      <c r="G79" s="14">
        <f t="shared" si="25"/>
        <v>-1.8189894035458565E-10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73B2D2-E19F-4AF7-B03F-B9BEF3A29E79}">
  <dimension ref="A1:U3"/>
  <sheetViews>
    <sheetView workbookViewId="0">
      <selection activeCell="U2" sqref="U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127.1406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0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44</v>
      </c>
      <c r="P2" s="20" t="s">
        <v>45</v>
      </c>
      <c r="Q2" s="20" t="s">
        <v>46</v>
      </c>
      <c r="R2" s="20" t="s">
        <v>263</v>
      </c>
      <c r="S2" s="20" t="s">
        <v>45</v>
      </c>
      <c r="T2" s="20" t="s">
        <v>46</v>
      </c>
      <c r="U2" s="9" t="s">
        <v>336</v>
      </c>
    </row>
    <row r="3" spans="1:21" x14ac:dyDescent="0.25">
      <c r="A3" s="12" t="s">
        <v>0</v>
      </c>
      <c r="B3" s="7" t="s">
        <v>9</v>
      </c>
      <c r="C3" s="7" t="s">
        <v>39</v>
      </c>
      <c r="D3" s="8" t="s">
        <v>40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0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44</v>
      </c>
      <c r="P3" s="20" t="s">
        <v>45</v>
      </c>
      <c r="Q3" s="20" t="s">
        <v>46</v>
      </c>
      <c r="R3" s="20" t="s">
        <v>263</v>
      </c>
      <c r="S3" s="20" t="s">
        <v>45</v>
      </c>
      <c r="T3" s="20" t="s">
        <v>46</v>
      </c>
      <c r="U3" s="9" t="s">
        <v>337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95F55B-DD80-4CD5-870E-3AA679D25922}">
  <dimension ref="A1:J67"/>
  <sheetViews>
    <sheetView zoomScale="97" zoomScaleNormal="100" workbookViewId="0">
      <pane ySplit="3" topLeftCell="A50" activePane="bottomLeft" state="frozen"/>
      <selection activeCell="U2" sqref="U2"/>
      <selection pane="bottomLeft" activeCell="U2" sqref="U2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0.570312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10" x14ac:dyDescent="0.25">
      <c r="A1" s="17" t="s">
        <v>33</v>
      </c>
      <c r="B1" s="22">
        <v>41855</v>
      </c>
      <c r="C1" s="15" t="s">
        <v>37</v>
      </c>
      <c r="D1" s="23">
        <f>ROUNDUP(34326798.9648496,0)</f>
        <v>34326799</v>
      </c>
      <c r="E1" s="25" t="s">
        <v>338</v>
      </c>
      <c r="F1" s="24">
        <f>ROUNDUP(34073094.9044647,0)</f>
        <v>34073095</v>
      </c>
      <c r="G1" s="28" t="s">
        <v>52</v>
      </c>
      <c r="H1" s="26">
        <v>42160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  <c r="C2" s="25" t="s">
        <v>339</v>
      </c>
      <c r="D2" s="24">
        <f>ROUNDUP(33634543.2707563,0)</f>
        <v>33634544</v>
      </c>
      <c r="E2" s="28" t="s">
        <v>340</v>
      </c>
      <c r="F2" s="26">
        <v>42526</v>
      </c>
      <c r="G2" s="28" t="s">
        <v>341</v>
      </c>
      <c r="H2" s="27">
        <v>5600000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41856</v>
      </c>
      <c r="B4" s="1">
        <f>_xlfn.DAYS(A4,B1)</f>
        <v>1</v>
      </c>
      <c r="C4" s="10" t="s">
        <v>28</v>
      </c>
      <c r="D4" s="3" t="s">
        <v>15</v>
      </c>
      <c r="E4" s="19">
        <f>ROUNDUP(F4*$B$2*B4/365,0)</f>
        <v>406850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-0.68493150686845183</v>
      </c>
    </row>
    <row r="5" spans="1:10" x14ac:dyDescent="0.25">
      <c r="A5" s="29">
        <v>41887</v>
      </c>
      <c r="B5" s="1">
        <f>_xlfn.DAYS(A5,A4)</f>
        <v>31</v>
      </c>
      <c r="C5" s="4">
        <f>$D$1</f>
        <v>34326799</v>
      </c>
      <c r="D5" s="2">
        <f t="shared" ref="D5:D67" si="0">C5-E5</f>
        <v>21714470.23</v>
      </c>
      <c r="E5" s="19">
        <f>ROUND(F5*$B$2*B5/365,2)</f>
        <v>12612328.77</v>
      </c>
      <c r="F5" s="2">
        <f>G4</f>
        <v>990000000</v>
      </c>
      <c r="G5" s="2">
        <f>F5-D5</f>
        <v>968285529.76999998</v>
      </c>
      <c r="H5" s="14">
        <f t="shared" ref="H5:H33" si="1">F5*$B$2*B5/365</f>
        <v>12612328.767123288</v>
      </c>
      <c r="I5" s="16">
        <f t="shared" ref="I5:I33" si="2">H5-E5</f>
        <v>-2.8767120093107224E-3</v>
      </c>
    </row>
    <row r="6" spans="1:10" x14ac:dyDescent="0.25">
      <c r="A6" s="29">
        <v>41917</v>
      </c>
      <c r="B6" s="1">
        <f t="shared" ref="B6:B67" si="3">_xlfn.DAYS(A6,A5)</f>
        <v>30</v>
      </c>
      <c r="C6" s="4">
        <f t="shared" ref="C6:C40" si="4">$D$1</f>
        <v>34326799</v>
      </c>
      <c r="D6" s="2">
        <f t="shared" si="0"/>
        <v>22389032.189999998</v>
      </c>
      <c r="E6" s="19">
        <f t="shared" ref="E6:E39" si="5">ROUND(F6*$B$2*B6/365,2)</f>
        <v>11937766.810000001</v>
      </c>
      <c r="F6" s="2">
        <f t="shared" ref="F6:F40" si="6">G5</f>
        <v>968285529.76999998</v>
      </c>
      <c r="G6" s="2">
        <f t="shared" ref="G6:G40" si="7">F6-D6</f>
        <v>945896497.57999992</v>
      </c>
      <c r="H6" s="14">
        <f t="shared" si="1"/>
        <v>11937766.805383561</v>
      </c>
      <c r="I6" s="16">
        <f t="shared" si="2"/>
        <v>-4.6164393424987793E-3</v>
      </c>
    </row>
    <row r="7" spans="1:10" x14ac:dyDescent="0.25">
      <c r="A7" s="29">
        <v>41948</v>
      </c>
      <c r="B7" s="1">
        <f t="shared" si="3"/>
        <v>31</v>
      </c>
      <c r="C7" s="4">
        <f t="shared" si="4"/>
        <v>34326799</v>
      </c>
      <c r="D7" s="2">
        <f t="shared" si="0"/>
        <v>22276336.77</v>
      </c>
      <c r="E7" s="19">
        <f t="shared" si="5"/>
        <v>12050462.23</v>
      </c>
      <c r="F7" s="2">
        <f t="shared" si="6"/>
        <v>945896497.57999992</v>
      </c>
      <c r="G7" s="2">
        <f t="shared" si="7"/>
        <v>923620160.80999994</v>
      </c>
      <c r="H7" s="14">
        <f t="shared" si="1"/>
        <v>12050462.229443835</v>
      </c>
      <c r="I7" s="16">
        <f t="shared" si="2"/>
        <v>-5.5616535246372223E-4</v>
      </c>
    </row>
    <row r="8" spans="1:10" x14ac:dyDescent="0.25">
      <c r="A8" s="29">
        <v>41978</v>
      </c>
      <c r="B8" s="1">
        <f t="shared" si="3"/>
        <v>30</v>
      </c>
      <c r="C8" s="4">
        <f t="shared" si="4"/>
        <v>34326799</v>
      </c>
      <c r="D8" s="2">
        <f t="shared" si="0"/>
        <v>22939701.130000003</v>
      </c>
      <c r="E8" s="19">
        <f t="shared" si="5"/>
        <v>11387097.869999999</v>
      </c>
      <c r="F8" s="2">
        <f t="shared" si="6"/>
        <v>923620160.80999994</v>
      </c>
      <c r="G8" s="2">
        <f t="shared" si="7"/>
        <v>900680459.67999995</v>
      </c>
      <c r="H8" s="14">
        <f t="shared" si="1"/>
        <v>11387097.872999998</v>
      </c>
      <c r="I8" s="16">
        <f t="shared" si="2"/>
        <v>2.9999986290931702E-3</v>
      </c>
    </row>
    <row r="9" spans="1:10" x14ac:dyDescent="0.25">
      <c r="A9" s="29">
        <v>42009</v>
      </c>
      <c r="B9" s="1">
        <f t="shared" si="3"/>
        <v>31</v>
      </c>
      <c r="C9" s="4">
        <f t="shared" si="4"/>
        <v>34326799</v>
      </c>
      <c r="D9" s="2">
        <f t="shared" si="0"/>
        <v>22852376.710000001</v>
      </c>
      <c r="E9" s="19">
        <f t="shared" si="5"/>
        <v>11474422.289999999</v>
      </c>
      <c r="F9" s="2">
        <f t="shared" si="6"/>
        <v>900680459.67999995</v>
      </c>
      <c r="G9" s="2">
        <f t="shared" si="7"/>
        <v>877828082.96999991</v>
      </c>
      <c r="H9" s="14">
        <f t="shared" si="1"/>
        <v>11474422.294553423</v>
      </c>
      <c r="I9" s="16">
        <f t="shared" si="2"/>
        <v>4.5534241944551468E-3</v>
      </c>
    </row>
    <row r="10" spans="1:10" x14ac:dyDescent="0.25">
      <c r="A10" s="29">
        <v>42040</v>
      </c>
      <c r="B10" s="1">
        <f t="shared" si="3"/>
        <v>31</v>
      </c>
      <c r="C10" s="4">
        <f t="shared" si="4"/>
        <v>34326799</v>
      </c>
      <c r="D10" s="2">
        <f t="shared" si="0"/>
        <v>23143509.719999999</v>
      </c>
      <c r="E10" s="19">
        <f t="shared" si="5"/>
        <v>11183289.279999999</v>
      </c>
      <c r="F10" s="2">
        <f t="shared" si="6"/>
        <v>877828082.96999991</v>
      </c>
      <c r="G10" s="2">
        <f t="shared" si="7"/>
        <v>854684573.24999988</v>
      </c>
      <c r="H10" s="14">
        <f t="shared" si="1"/>
        <v>11183289.276193149</v>
      </c>
      <c r="I10" s="16">
        <f t="shared" si="2"/>
        <v>-3.80684994161129E-3</v>
      </c>
    </row>
    <row r="11" spans="1:10" x14ac:dyDescent="0.25">
      <c r="A11" s="29">
        <v>42068</v>
      </c>
      <c r="B11" s="1">
        <f t="shared" si="3"/>
        <v>28</v>
      </c>
      <c r="C11" s="4">
        <f t="shared" si="4"/>
        <v>34326799</v>
      </c>
      <c r="D11" s="2">
        <f t="shared" si="0"/>
        <v>24492072.399999999</v>
      </c>
      <c r="E11" s="19">
        <f t="shared" si="5"/>
        <v>9834726.5999999996</v>
      </c>
      <c r="F11" s="2">
        <f t="shared" si="6"/>
        <v>854684573.24999988</v>
      </c>
      <c r="G11" s="2">
        <f t="shared" si="7"/>
        <v>830192500.8499999</v>
      </c>
      <c r="H11" s="14">
        <f t="shared" si="1"/>
        <v>9834726.5963013694</v>
      </c>
      <c r="I11" s="16">
        <f t="shared" si="2"/>
        <v>-3.6986302584409714E-3</v>
      </c>
    </row>
    <row r="12" spans="1:10" x14ac:dyDescent="0.25">
      <c r="A12" s="29">
        <v>42099</v>
      </c>
      <c r="B12" s="1">
        <f t="shared" si="3"/>
        <v>31</v>
      </c>
      <c r="C12" s="4">
        <f t="shared" si="4"/>
        <v>34326799</v>
      </c>
      <c r="D12" s="2">
        <f t="shared" si="0"/>
        <v>23750373.990000002</v>
      </c>
      <c r="E12" s="19">
        <f t="shared" si="5"/>
        <v>10576425.01</v>
      </c>
      <c r="F12" s="2">
        <f t="shared" si="6"/>
        <v>830192500.8499999</v>
      </c>
      <c r="G12" s="2">
        <f t="shared" si="7"/>
        <v>806442126.8599999</v>
      </c>
      <c r="H12" s="14">
        <f t="shared" si="1"/>
        <v>10576425.010828765</v>
      </c>
      <c r="I12" s="16">
        <f t="shared" si="2"/>
        <v>8.2876533269882202E-4</v>
      </c>
    </row>
    <row r="13" spans="1:10" x14ac:dyDescent="0.25">
      <c r="A13" s="29">
        <v>42129</v>
      </c>
      <c r="B13" s="1">
        <f t="shared" si="3"/>
        <v>30</v>
      </c>
      <c r="C13" s="4">
        <f t="shared" si="4"/>
        <v>34326799</v>
      </c>
      <c r="D13" s="2">
        <f t="shared" si="0"/>
        <v>24384361.82</v>
      </c>
      <c r="E13" s="19">
        <f t="shared" si="5"/>
        <v>9942437.1799999997</v>
      </c>
      <c r="F13" s="2">
        <f t="shared" si="6"/>
        <v>806442126.8599999</v>
      </c>
      <c r="G13" s="2">
        <f t="shared" si="7"/>
        <v>782057765.03999984</v>
      </c>
      <c r="H13" s="14">
        <f t="shared" si="1"/>
        <v>9942437.1804657523</v>
      </c>
      <c r="I13" s="16">
        <f t="shared" si="2"/>
        <v>4.6575255692005157E-4</v>
      </c>
    </row>
    <row r="14" spans="1:10" x14ac:dyDescent="0.25">
      <c r="A14" s="29">
        <v>42160</v>
      </c>
      <c r="B14" s="1">
        <f t="shared" si="3"/>
        <v>31</v>
      </c>
      <c r="C14" s="4">
        <f t="shared" si="4"/>
        <v>34326799</v>
      </c>
      <c r="D14" s="2">
        <f t="shared" si="0"/>
        <v>24363597.34</v>
      </c>
      <c r="E14" s="19">
        <f t="shared" si="5"/>
        <v>9963201.6600000001</v>
      </c>
      <c r="F14" s="2">
        <f t="shared" si="6"/>
        <v>782057765.03999984</v>
      </c>
      <c r="G14" s="2">
        <f t="shared" si="7"/>
        <v>757694167.69999981</v>
      </c>
      <c r="H14" s="14">
        <f t="shared" si="1"/>
        <v>9963201.6642082166</v>
      </c>
      <c r="I14" s="16">
        <f t="shared" si="2"/>
        <v>4.2082164436578751E-3</v>
      </c>
    </row>
    <row r="15" spans="1:10" x14ac:dyDescent="0.25">
      <c r="A15" s="29">
        <v>42190</v>
      </c>
      <c r="B15" s="1">
        <f t="shared" si="3"/>
        <v>30</v>
      </c>
      <c r="C15" s="4">
        <f t="shared" si="4"/>
        <v>34326799</v>
      </c>
      <c r="D15" s="2">
        <f t="shared" si="0"/>
        <v>24985364.060000002</v>
      </c>
      <c r="E15" s="19">
        <f t="shared" si="5"/>
        <v>9341434.9399999995</v>
      </c>
      <c r="F15" s="2">
        <f t="shared" si="6"/>
        <v>757694167.69999981</v>
      </c>
      <c r="G15" s="2">
        <f t="shared" si="7"/>
        <v>732708803.63999987</v>
      </c>
      <c r="H15" s="14">
        <f t="shared" si="1"/>
        <v>9341434.9442465734</v>
      </c>
      <c r="I15" s="16">
        <f t="shared" si="2"/>
        <v>4.2465738952159882E-3</v>
      </c>
    </row>
    <row r="16" spans="1:10" x14ac:dyDescent="0.25">
      <c r="A16" s="29">
        <v>42221</v>
      </c>
      <c r="B16" s="1">
        <f t="shared" si="3"/>
        <v>31</v>
      </c>
      <c r="C16" s="4">
        <f t="shared" si="4"/>
        <v>34326799</v>
      </c>
      <c r="D16" s="2">
        <f t="shared" si="0"/>
        <v>24992289.579999998</v>
      </c>
      <c r="E16" s="19">
        <f t="shared" si="5"/>
        <v>9334509.4199999999</v>
      </c>
      <c r="F16" s="2">
        <f t="shared" si="6"/>
        <v>732708803.63999987</v>
      </c>
      <c r="G16" s="2">
        <f t="shared" si="7"/>
        <v>707716514.05999982</v>
      </c>
      <c r="H16" s="14">
        <f t="shared" si="1"/>
        <v>9334509.4162356146</v>
      </c>
      <c r="I16" s="16">
        <f t="shared" si="2"/>
        <v>-3.7643853574991226E-3</v>
      </c>
    </row>
    <row r="17" spans="1:9" x14ac:dyDescent="0.25">
      <c r="A17" s="29">
        <v>42252</v>
      </c>
      <c r="B17" s="1">
        <f t="shared" si="3"/>
        <v>31</v>
      </c>
      <c r="C17" s="4">
        <f t="shared" si="4"/>
        <v>34326799</v>
      </c>
      <c r="D17" s="2">
        <f t="shared" si="0"/>
        <v>25310684.509999998</v>
      </c>
      <c r="E17" s="19">
        <f t="shared" si="5"/>
        <v>9016114.4900000002</v>
      </c>
      <c r="F17" s="2">
        <f t="shared" si="6"/>
        <v>707716514.05999982</v>
      </c>
      <c r="G17" s="2">
        <f t="shared" si="7"/>
        <v>682405829.54999983</v>
      </c>
      <c r="H17" s="14">
        <f t="shared" si="1"/>
        <v>9016114.494189037</v>
      </c>
      <c r="I17" s="16">
        <f t="shared" si="2"/>
        <v>4.1890367865562439E-3</v>
      </c>
    </row>
    <row r="18" spans="1:9" x14ac:dyDescent="0.25">
      <c r="A18" s="29">
        <v>42282</v>
      </c>
      <c r="B18" s="1">
        <f t="shared" si="3"/>
        <v>30</v>
      </c>
      <c r="C18" s="4">
        <f t="shared" si="4"/>
        <v>34326799</v>
      </c>
      <c r="D18" s="2">
        <f t="shared" si="0"/>
        <v>25913576.439999998</v>
      </c>
      <c r="E18" s="19">
        <f t="shared" si="5"/>
        <v>8413222.5600000005</v>
      </c>
      <c r="F18" s="2">
        <f t="shared" si="6"/>
        <v>682405829.54999983</v>
      </c>
      <c r="G18" s="2">
        <f t="shared" si="7"/>
        <v>656492253.1099999</v>
      </c>
      <c r="H18" s="14">
        <f t="shared" si="1"/>
        <v>8413222.5560958888</v>
      </c>
      <c r="I18" s="16">
        <f t="shared" si="2"/>
        <v>-3.9041116833686829E-3</v>
      </c>
    </row>
    <row r="19" spans="1:9" x14ac:dyDescent="0.25">
      <c r="A19" s="29">
        <v>42313</v>
      </c>
      <c r="B19" s="1">
        <f t="shared" si="3"/>
        <v>31</v>
      </c>
      <c r="C19" s="4">
        <f t="shared" si="4"/>
        <v>34326799</v>
      </c>
      <c r="D19" s="2">
        <f t="shared" si="0"/>
        <v>25963267.559999999</v>
      </c>
      <c r="E19" s="19">
        <f t="shared" si="5"/>
        <v>8363531.4400000004</v>
      </c>
      <c r="F19" s="2">
        <f t="shared" si="6"/>
        <v>656492253.1099999</v>
      </c>
      <c r="G19" s="2">
        <f t="shared" si="7"/>
        <v>630528985.54999995</v>
      </c>
      <c r="H19" s="14">
        <f t="shared" si="1"/>
        <v>8363531.4437301364</v>
      </c>
      <c r="I19" s="16">
        <f t="shared" si="2"/>
        <v>3.7301359698176384E-3</v>
      </c>
    </row>
    <row r="20" spans="1:9" x14ac:dyDescent="0.25">
      <c r="A20" s="29">
        <v>42343</v>
      </c>
      <c r="B20" s="1">
        <f t="shared" si="3"/>
        <v>30</v>
      </c>
      <c r="C20" s="4">
        <f t="shared" si="4"/>
        <v>34326799</v>
      </c>
      <c r="D20" s="2">
        <f t="shared" si="0"/>
        <v>26553153.969999999</v>
      </c>
      <c r="E20" s="19">
        <f t="shared" si="5"/>
        <v>7773645.0300000003</v>
      </c>
      <c r="F20" s="2">
        <f t="shared" si="6"/>
        <v>630528985.54999995</v>
      </c>
      <c r="G20" s="2">
        <f t="shared" si="7"/>
        <v>603975831.57999992</v>
      </c>
      <c r="H20" s="14">
        <f t="shared" si="1"/>
        <v>7773645.0273287669</v>
      </c>
      <c r="I20" s="16">
        <f t="shared" si="2"/>
        <v>-2.6712333783507347E-3</v>
      </c>
    </row>
    <row r="21" spans="1:9" x14ac:dyDescent="0.25">
      <c r="A21" s="29">
        <v>42374</v>
      </c>
      <c r="B21" s="1">
        <f t="shared" si="3"/>
        <v>31</v>
      </c>
      <c r="C21" s="4">
        <f t="shared" si="4"/>
        <v>34326799</v>
      </c>
      <c r="D21" s="2">
        <f t="shared" si="0"/>
        <v>26632312.379999999</v>
      </c>
      <c r="E21" s="19">
        <f t="shared" si="5"/>
        <v>7694486.6200000001</v>
      </c>
      <c r="F21" s="2">
        <f t="shared" si="6"/>
        <v>603975831.57999992</v>
      </c>
      <c r="G21" s="2">
        <f t="shared" si="7"/>
        <v>577343519.19999993</v>
      </c>
      <c r="H21" s="14">
        <f t="shared" si="1"/>
        <v>7694486.6214986295</v>
      </c>
      <c r="I21" s="16">
        <f t="shared" si="2"/>
        <v>1.4986293390393257E-3</v>
      </c>
    </row>
    <row r="22" spans="1:9" x14ac:dyDescent="0.25">
      <c r="A22" s="29">
        <v>42405</v>
      </c>
      <c r="B22" s="1">
        <f t="shared" si="3"/>
        <v>31</v>
      </c>
      <c r="C22" s="4">
        <f t="shared" si="4"/>
        <v>34326799</v>
      </c>
      <c r="D22" s="2">
        <f t="shared" si="0"/>
        <v>26971600.740000002</v>
      </c>
      <c r="E22" s="19">
        <f t="shared" si="5"/>
        <v>7355198.2599999998</v>
      </c>
      <c r="F22" s="2">
        <f t="shared" si="6"/>
        <v>577343519.19999993</v>
      </c>
      <c r="G22" s="2">
        <f t="shared" si="7"/>
        <v>550371918.45999992</v>
      </c>
      <c r="H22" s="14">
        <f t="shared" si="1"/>
        <v>7355198.258301368</v>
      </c>
      <c r="I22" s="16">
        <f t="shared" si="2"/>
        <v>-1.6986317932605743E-3</v>
      </c>
    </row>
    <row r="23" spans="1:9" x14ac:dyDescent="0.25">
      <c r="A23" s="29">
        <v>42434</v>
      </c>
      <c r="B23" s="1">
        <f t="shared" si="3"/>
        <v>29</v>
      </c>
      <c r="C23" s="4">
        <f t="shared" si="4"/>
        <v>34326799</v>
      </c>
      <c r="D23" s="2">
        <f t="shared" si="0"/>
        <v>27767572.030000001</v>
      </c>
      <c r="E23" s="19">
        <f t="shared" si="5"/>
        <v>6559226.9699999997</v>
      </c>
      <c r="F23" s="2">
        <f t="shared" si="6"/>
        <v>550371918.45999992</v>
      </c>
      <c r="G23" s="2">
        <f t="shared" si="7"/>
        <v>522604346.42999995</v>
      </c>
      <c r="H23" s="14">
        <f t="shared" si="1"/>
        <v>6559226.9734273953</v>
      </c>
      <c r="I23" s="16">
        <f t="shared" si="2"/>
        <v>3.4273955971002579E-3</v>
      </c>
    </row>
    <row r="24" spans="1:9" x14ac:dyDescent="0.25">
      <c r="A24" s="29">
        <v>42465</v>
      </c>
      <c r="B24" s="1">
        <f t="shared" si="3"/>
        <v>31</v>
      </c>
      <c r="C24" s="4">
        <f t="shared" si="4"/>
        <v>34326799</v>
      </c>
      <c r="D24" s="2">
        <f t="shared" si="0"/>
        <v>27668962.809999999</v>
      </c>
      <c r="E24" s="19">
        <f t="shared" si="5"/>
        <v>6657836.1900000004</v>
      </c>
      <c r="F24" s="2">
        <f t="shared" si="6"/>
        <v>522604346.42999995</v>
      </c>
      <c r="G24" s="2">
        <f t="shared" si="7"/>
        <v>494935383.61999995</v>
      </c>
      <c r="H24" s="14">
        <f t="shared" si="1"/>
        <v>6657836.1942452053</v>
      </c>
      <c r="I24" s="16">
        <f t="shared" si="2"/>
        <v>4.2452048510313034E-3</v>
      </c>
    </row>
    <row r="25" spans="1:9" x14ac:dyDescent="0.25">
      <c r="A25" s="29">
        <v>42495</v>
      </c>
      <c r="B25" s="1">
        <f t="shared" si="3"/>
        <v>30</v>
      </c>
      <c r="C25" s="4">
        <f t="shared" si="4"/>
        <v>34326799</v>
      </c>
      <c r="D25" s="2">
        <f t="shared" si="0"/>
        <v>28224855.91</v>
      </c>
      <c r="E25" s="19">
        <f t="shared" si="5"/>
        <v>6101943.0899999999</v>
      </c>
      <c r="F25" s="2">
        <f t="shared" si="6"/>
        <v>494935383.61999995</v>
      </c>
      <c r="G25" s="2">
        <f t="shared" si="7"/>
        <v>466710527.70999992</v>
      </c>
      <c r="H25" s="14">
        <f t="shared" si="1"/>
        <v>6101943.0857260264</v>
      </c>
      <c r="I25" s="16">
        <f t="shared" si="2"/>
        <v>-4.2739734053611755E-3</v>
      </c>
    </row>
    <row r="26" spans="1:9" x14ac:dyDescent="0.25">
      <c r="A26" s="29">
        <v>42526</v>
      </c>
      <c r="B26" s="1">
        <f t="shared" si="3"/>
        <v>31</v>
      </c>
      <c r="C26" s="4">
        <f t="shared" si="4"/>
        <v>34326799</v>
      </c>
      <c r="D26" s="2">
        <f t="shared" si="0"/>
        <v>28381034.740000002</v>
      </c>
      <c r="E26" s="19">
        <f t="shared" si="5"/>
        <v>5945764.2599999998</v>
      </c>
      <c r="F26" s="2">
        <f t="shared" si="6"/>
        <v>466710527.70999992</v>
      </c>
      <c r="G26" s="2">
        <f t="shared" si="7"/>
        <v>438329492.96999991</v>
      </c>
      <c r="H26" s="14">
        <f t="shared" si="1"/>
        <v>5945764.2571273958</v>
      </c>
      <c r="I26" s="16">
        <f t="shared" si="2"/>
        <v>-2.8726039454340935E-3</v>
      </c>
    </row>
    <row r="27" spans="1:9" x14ac:dyDescent="0.25">
      <c r="A27" s="29">
        <v>42556</v>
      </c>
      <c r="B27" s="1">
        <f t="shared" si="3"/>
        <v>30</v>
      </c>
      <c r="C27" s="4">
        <f t="shared" si="4"/>
        <v>34326799</v>
      </c>
      <c r="D27" s="2">
        <f t="shared" si="0"/>
        <v>28922736.759999998</v>
      </c>
      <c r="E27" s="19">
        <f t="shared" si="5"/>
        <v>5404062.2400000002</v>
      </c>
      <c r="F27" s="2">
        <f t="shared" si="6"/>
        <v>438329492.96999991</v>
      </c>
      <c r="G27" s="2">
        <f t="shared" si="7"/>
        <v>409406756.20999992</v>
      </c>
      <c r="H27" s="14">
        <f t="shared" si="1"/>
        <v>5404062.2420958895</v>
      </c>
      <c r="I27" s="16">
        <f t="shared" si="2"/>
        <v>2.0958893001079559E-3</v>
      </c>
    </row>
    <row r="28" spans="1:9" x14ac:dyDescent="0.25">
      <c r="A28" s="29">
        <v>42587</v>
      </c>
      <c r="B28" s="1">
        <f t="shared" si="3"/>
        <v>31</v>
      </c>
      <c r="C28" s="4">
        <f t="shared" si="4"/>
        <v>34326799</v>
      </c>
      <c r="D28" s="2">
        <f t="shared" si="0"/>
        <v>29111069.09</v>
      </c>
      <c r="E28" s="19">
        <f t="shared" si="5"/>
        <v>5215729.91</v>
      </c>
      <c r="F28" s="2">
        <f t="shared" si="6"/>
        <v>409406756.20999992</v>
      </c>
      <c r="G28" s="2">
        <f t="shared" si="7"/>
        <v>380295687.11999995</v>
      </c>
      <c r="H28" s="14">
        <f t="shared" si="1"/>
        <v>5215729.9078808213</v>
      </c>
      <c r="I28" s="16">
        <f t="shared" si="2"/>
        <v>-2.1191788837313652E-3</v>
      </c>
    </row>
    <row r="29" spans="1:9" x14ac:dyDescent="0.25">
      <c r="A29" s="29">
        <v>42618</v>
      </c>
      <c r="B29" s="1">
        <f t="shared" si="3"/>
        <v>31</v>
      </c>
      <c r="C29" s="4">
        <f t="shared" si="4"/>
        <v>34326799</v>
      </c>
      <c r="D29" s="2">
        <f t="shared" si="0"/>
        <v>29481936.140000001</v>
      </c>
      <c r="E29" s="19">
        <f t="shared" si="5"/>
        <v>4844862.8600000003</v>
      </c>
      <c r="F29" s="2">
        <f t="shared" si="6"/>
        <v>380295687.11999995</v>
      </c>
      <c r="G29" s="2">
        <f t="shared" si="7"/>
        <v>350813750.97999996</v>
      </c>
      <c r="H29" s="14">
        <f t="shared" si="1"/>
        <v>4844862.8633095883</v>
      </c>
      <c r="I29" s="16">
        <f t="shared" si="2"/>
        <v>3.3095879480242729E-3</v>
      </c>
    </row>
    <row r="30" spans="1:9" x14ac:dyDescent="0.25">
      <c r="A30" s="29">
        <v>42648</v>
      </c>
      <c r="B30" s="1">
        <f t="shared" si="3"/>
        <v>30</v>
      </c>
      <c r="C30" s="4">
        <f t="shared" si="4"/>
        <v>34326799</v>
      </c>
      <c r="D30" s="2">
        <f t="shared" si="0"/>
        <v>30001697.960000001</v>
      </c>
      <c r="E30" s="19">
        <f t="shared" si="5"/>
        <v>4325101.04</v>
      </c>
      <c r="F30" s="2">
        <f t="shared" si="6"/>
        <v>350813750.97999996</v>
      </c>
      <c r="G30" s="2">
        <f t="shared" si="7"/>
        <v>320812053.01999998</v>
      </c>
      <c r="H30" s="14">
        <f t="shared" si="1"/>
        <v>4325101.0394794513</v>
      </c>
      <c r="I30" s="16">
        <f t="shared" si="2"/>
        <v>-5.2054878324270248E-4</v>
      </c>
    </row>
    <row r="31" spans="1:9" x14ac:dyDescent="0.25">
      <c r="A31" s="29">
        <v>42679</v>
      </c>
      <c r="B31" s="1">
        <f t="shared" si="3"/>
        <v>31</v>
      </c>
      <c r="C31" s="4">
        <f t="shared" si="4"/>
        <v>34326799</v>
      </c>
      <c r="D31" s="2">
        <f t="shared" si="0"/>
        <v>30239741.34</v>
      </c>
      <c r="E31" s="19">
        <f t="shared" si="5"/>
        <v>4087057.66</v>
      </c>
      <c r="F31" s="2">
        <f t="shared" si="6"/>
        <v>320812053.01999998</v>
      </c>
      <c r="G31" s="2">
        <f t="shared" si="7"/>
        <v>290572311.68000001</v>
      </c>
      <c r="H31" s="14">
        <f t="shared" si="1"/>
        <v>4087057.6617616434</v>
      </c>
      <c r="I31" s="16">
        <f t="shared" si="2"/>
        <v>1.7616432160139084E-3</v>
      </c>
    </row>
    <row r="32" spans="1:9" x14ac:dyDescent="0.25">
      <c r="A32" s="29">
        <v>42709</v>
      </c>
      <c r="B32" s="1">
        <f t="shared" si="3"/>
        <v>30</v>
      </c>
      <c r="C32" s="4">
        <f t="shared" si="4"/>
        <v>34326799</v>
      </c>
      <c r="D32" s="2">
        <f t="shared" si="0"/>
        <v>30744400.640000001</v>
      </c>
      <c r="E32" s="19">
        <f t="shared" si="5"/>
        <v>3582398.36</v>
      </c>
      <c r="F32" s="2">
        <f t="shared" si="6"/>
        <v>290572311.68000001</v>
      </c>
      <c r="G32" s="2">
        <f t="shared" si="7"/>
        <v>259827911.04000002</v>
      </c>
      <c r="H32" s="14">
        <f t="shared" si="1"/>
        <v>3582398.3631780818</v>
      </c>
      <c r="I32" s="16">
        <f t="shared" si="2"/>
        <v>3.1780819408595562E-3</v>
      </c>
    </row>
    <row r="33" spans="1:9" x14ac:dyDescent="0.25">
      <c r="A33" s="29">
        <v>42740</v>
      </c>
      <c r="B33" s="1">
        <f t="shared" si="3"/>
        <v>31</v>
      </c>
      <c r="C33" s="4">
        <f t="shared" si="4"/>
        <v>34326799</v>
      </c>
      <c r="D33" s="2">
        <f t="shared" si="0"/>
        <v>31016662.600000001</v>
      </c>
      <c r="E33" s="19">
        <f t="shared" si="5"/>
        <v>3310136.4</v>
      </c>
      <c r="F33" s="2">
        <f t="shared" si="6"/>
        <v>259827911.04000002</v>
      </c>
      <c r="G33" s="2">
        <f t="shared" si="7"/>
        <v>228811248.44000003</v>
      </c>
      <c r="H33" s="14">
        <f t="shared" si="1"/>
        <v>3310136.4009205485</v>
      </c>
      <c r="I33" s="16">
        <f t="shared" si="2"/>
        <v>9.2054856941103935E-4</v>
      </c>
    </row>
    <row r="34" spans="1:9" x14ac:dyDescent="0.25">
      <c r="A34" s="29">
        <v>42771</v>
      </c>
      <c r="B34" s="1">
        <f t="shared" si="3"/>
        <v>31</v>
      </c>
      <c r="C34" s="4">
        <f t="shared" si="4"/>
        <v>34326799</v>
      </c>
      <c r="D34" s="2">
        <f t="shared" si="0"/>
        <v>31411806.379999999</v>
      </c>
      <c r="E34" s="19">
        <f t="shared" si="5"/>
        <v>2914992.62</v>
      </c>
      <c r="F34" s="2">
        <f t="shared" si="6"/>
        <v>228811248.44000003</v>
      </c>
      <c r="G34" s="2">
        <f t="shared" si="7"/>
        <v>197399442.06000003</v>
      </c>
      <c r="H34" s="14"/>
      <c r="I34" s="16"/>
    </row>
    <row r="35" spans="1:9" x14ac:dyDescent="0.25">
      <c r="A35" s="29">
        <v>42799</v>
      </c>
      <c r="B35" s="1">
        <f t="shared" si="3"/>
        <v>28</v>
      </c>
      <c r="C35" s="4">
        <f t="shared" si="4"/>
        <v>34326799</v>
      </c>
      <c r="D35" s="2">
        <f t="shared" si="0"/>
        <v>32055353.370000001</v>
      </c>
      <c r="E35" s="19">
        <f t="shared" si="5"/>
        <v>2271445.63</v>
      </c>
      <c r="F35" s="2">
        <f t="shared" si="6"/>
        <v>197399442.06000003</v>
      </c>
      <c r="G35" s="2">
        <f t="shared" si="7"/>
        <v>165344088.69000003</v>
      </c>
      <c r="H35" s="14"/>
      <c r="I35" s="16"/>
    </row>
    <row r="36" spans="1:9" x14ac:dyDescent="0.25">
      <c r="A36" s="29">
        <v>42830</v>
      </c>
      <c r="B36" s="1">
        <f t="shared" si="3"/>
        <v>31</v>
      </c>
      <c r="C36" s="4">
        <f t="shared" si="4"/>
        <v>34326799</v>
      </c>
      <c r="D36" s="2">
        <f t="shared" si="0"/>
        <v>32220360.609999999</v>
      </c>
      <c r="E36" s="19">
        <f t="shared" si="5"/>
        <v>2106438.39</v>
      </c>
      <c r="F36" s="2">
        <f t="shared" si="6"/>
        <v>165344088.69000003</v>
      </c>
      <c r="G36" s="2">
        <f t="shared" si="7"/>
        <v>133123728.08000003</v>
      </c>
      <c r="H36" s="14"/>
      <c r="I36" s="16"/>
    </row>
    <row r="37" spans="1:9" x14ac:dyDescent="0.25">
      <c r="A37" s="29">
        <v>42860</v>
      </c>
      <c r="B37" s="1">
        <f t="shared" si="3"/>
        <v>30</v>
      </c>
      <c r="C37" s="4">
        <f t="shared" si="4"/>
        <v>34326799</v>
      </c>
      <c r="D37" s="2">
        <f t="shared" si="0"/>
        <v>32685547.559999999</v>
      </c>
      <c r="E37" s="19">
        <f t="shared" si="5"/>
        <v>1641251.44</v>
      </c>
      <c r="F37" s="2">
        <f t="shared" si="6"/>
        <v>133123728.08000003</v>
      </c>
      <c r="G37" s="2">
        <f t="shared" si="7"/>
        <v>100438180.52000003</v>
      </c>
      <c r="H37" s="14"/>
      <c r="I37" s="16"/>
    </row>
    <row r="38" spans="1:9" x14ac:dyDescent="0.25">
      <c r="A38" s="29">
        <v>42891</v>
      </c>
      <c r="B38" s="1">
        <f t="shared" si="3"/>
        <v>31</v>
      </c>
      <c r="C38" s="4">
        <f t="shared" si="4"/>
        <v>34326799</v>
      </c>
      <c r="D38" s="2">
        <f t="shared" si="0"/>
        <v>33047244.100000001</v>
      </c>
      <c r="E38" s="19">
        <f t="shared" si="5"/>
        <v>1279554.8999999999</v>
      </c>
      <c r="F38" s="2">
        <f t="shared" si="6"/>
        <v>100438180.52000003</v>
      </c>
      <c r="G38" s="2">
        <f t="shared" si="7"/>
        <v>67390936.420000017</v>
      </c>
      <c r="H38" s="14"/>
      <c r="I38" s="16"/>
    </row>
    <row r="39" spans="1:9" x14ac:dyDescent="0.25">
      <c r="A39" s="29">
        <v>42921</v>
      </c>
      <c r="B39" s="1">
        <f t="shared" si="3"/>
        <v>30</v>
      </c>
      <c r="C39" s="4">
        <f t="shared" si="4"/>
        <v>34326799</v>
      </c>
      <c r="D39" s="2">
        <f t="shared" si="0"/>
        <v>33495951.84</v>
      </c>
      <c r="E39" s="19">
        <f t="shared" si="5"/>
        <v>830847.16</v>
      </c>
      <c r="F39" s="2">
        <f t="shared" si="6"/>
        <v>67390936.420000017</v>
      </c>
      <c r="G39" s="2">
        <f t="shared" si="7"/>
        <v>33894984.580000013</v>
      </c>
      <c r="H39" s="14"/>
      <c r="I39" s="16"/>
    </row>
    <row r="40" spans="1:9" x14ac:dyDescent="0.25">
      <c r="A40" s="29">
        <v>42952</v>
      </c>
      <c r="B40" s="1">
        <f t="shared" si="3"/>
        <v>31</v>
      </c>
      <c r="C40" s="4">
        <f t="shared" si="4"/>
        <v>34326799</v>
      </c>
      <c r="D40" s="2">
        <f t="shared" si="0"/>
        <v>33894984.580000013</v>
      </c>
      <c r="E40" s="19">
        <v>431814.4199999866</v>
      </c>
      <c r="F40" s="2">
        <f t="shared" si="6"/>
        <v>33894984.580000013</v>
      </c>
      <c r="G40" s="2">
        <f t="shared" si="7"/>
        <v>0</v>
      </c>
      <c r="H40" s="14"/>
      <c r="I40" s="16"/>
    </row>
    <row r="41" spans="1:9" x14ac:dyDescent="0.25">
      <c r="A41" s="21">
        <v>42160</v>
      </c>
      <c r="B41" s="1" t="s">
        <v>50</v>
      </c>
      <c r="C41" s="4">
        <f>$D$1</f>
        <v>34326799</v>
      </c>
      <c r="D41" s="2">
        <f t="shared" si="0"/>
        <v>24363597.34</v>
      </c>
      <c r="E41" s="19">
        <f>ROUND(F14*$B$2*B14/365,2)</f>
        <v>9963201.6600000001</v>
      </c>
      <c r="F41" s="2">
        <f>G13</f>
        <v>782057765.03999984</v>
      </c>
      <c r="G41" s="2">
        <f>F14-D14</f>
        <v>757694167.69999981</v>
      </c>
      <c r="H41" s="14"/>
      <c r="I41" s="16"/>
    </row>
    <row r="42" spans="1:9" x14ac:dyDescent="0.25">
      <c r="A42" s="21">
        <v>42190</v>
      </c>
      <c r="B42" s="1">
        <f t="shared" si="3"/>
        <v>30</v>
      </c>
      <c r="C42" s="4">
        <f>$F$1</f>
        <v>34073095</v>
      </c>
      <c r="D42" s="2">
        <f t="shared" si="0"/>
        <v>24800701.149999999</v>
      </c>
      <c r="E42" s="19">
        <f>ROUND(F42*$B$2*B42/365,2)</f>
        <v>9272393.8499999996</v>
      </c>
      <c r="F42" s="2">
        <f>G14-J1</f>
        <v>752094167.69999981</v>
      </c>
      <c r="G42" s="2">
        <f>F42-D42</f>
        <v>727293466.54999983</v>
      </c>
      <c r="H42" s="14"/>
      <c r="I42" s="16"/>
    </row>
    <row r="43" spans="1:9" x14ac:dyDescent="0.25">
      <c r="A43" s="21">
        <v>42221</v>
      </c>
      <c r="B43" s="1">
        <f t="shared" si="3"/>
        <v>31</v>
      </c>
      <c r="C43" s="4">
        <f t="shared" ref="C43:C53" si="8">$F$1</f>
        <v>34073095</v>
      </c>
      <c r="D43" s="2">
        <f t="shared" si="0"/>
        <v>24807575.490000002</v>
      </c>
      <c r="E43" s="19">
        <f t="shared" ref="E43:E66" si="9">ROUND(F43*$B$2*B43/365,2)</f>
        <v>9265519.5099999998</v>
      </c>
      <c r="F43" s="2">
        <f>G42</f>
        <v>727293466.54999983</v>
      </c>
      <c r="G43" s="2">
        <f t="shared" ref="G43:G67" si="10">F43-D43</f>
        <v>702485891.05999982</v>
      </c>
      <c r="H43" s="14"/>
      <c r="I43" s="16"/>
    </row>
    <row r="44" spans="1:9" x14ac:dyDescent="0.25">
      <c r="A44" s="21">
        <v>42252</v>
      </c>
      <c r="B44" s="1">
        <f t="shared" si="3"/>
        <v>31</v>
      </c>
      <c r="C44" s="4">
        <f t="shared" si="8"/>
        <v>34073095</v>
      </c>
      <c r="D44" s="2">
        <f t="shared" si="0"/>
        <v>25123617.210000001</v>
      </c>
      <c r="E44" s="19">
        <f t="shared" si="9"/>
        <v>8949477.7899999991</v>
      </c>
      <c r="F44" s="2">
        <f t="shared" ref="F44:F67" si="11">G43</f>
        <v>702485891.05999982</v>
      </c>
      <c r="G44" s="2">
        <f t="shared" si="10"/>
        <v>677362273.84999979</v>
      </c>
      <c r="H44" s="14"/>
      <c r="I44" s="16"/>
    </row>
    <row r="45" spans="1:9" x14ac:dyDescent="0.25">
      <c r="A45" s="21">
        <v>42282</v>
      </c>
      <c r="B45" s="1">
        <f t="shared" si="3"/>
        <v>30</v>
      </c>
      <c r="C45" s="4">
        <f t="shared" si="8"/>
        <v>34073095</v>
      </c>
      <c r="D45" s="2">
        <f t="shared" si="0"/>
        <v>25722053.27</v>
      </c>
      <c r="E45" s="19">
        <f t="shared" si="9"/>
        <v>8351041.7300000004</v>
      </c>
      <c r="F45" s="2">
        <f t="shared" si="11"/>
        <v>677362273.84999979</v>
      </c>
      <c r="G45" s="2">
        <f t="shared" si="10"/>
        <v>651640220.5799998</v>
      </c>
      <c r="H45" s="14"/>
      <c r="I45" s="16"/>
    </row>
    <row r="46" spans="1:9" x14ac:dyDescent="0.25">
      <c r="A46" s="21">
        <v>42313</v>
      </c>
      <c r="B46" s="1">
        <f t="shared" si="3"/>
        <v>31</v>
      </c>
      <c r="C46" s="4">
        <f t="shared" si="8"/>
        <v>34073095</v>
      </c>
      <c r="D46" s="2">
        <f t="shared" si="0"/>
        <v>25771377.120000001</v>
      </c>
      <c r="E46" s="19">
        <f t="shared" si="9"/>
        <v>8301717.8799999999</v>
      </c>
      <c r="F46" s="2">
        <f t="shared" si="11"/>
        <v>651640220.5799998</v>
      </c>
      <c r="G46" s="2">
        <f t="shared" si="10"/>
        <v>625868843.4599998</v>
      </c>
      <c r="H46" s="14"/>
      <c r="I46" s="16"/>
    </row>
    <row r="47" spans="1:9" x14ac:dyDescent="0.25">
      <c r="A47" s="21">
        <v>42343</v>
      </c>
      <c r="B47" s="1">
        <f t="shared" si="3"/>
        <v>30</v>
      </c>
      <c r="C47" s="4">
        <f t="shared" si="8"/>
        <v>34073095</v>
      </c>
      <c r="D47" s="2">
        <f t="shared" si="0"/>
        <v>26356903.780000001</v>
      </c>
      <c r="E47" s="19">
        <f t="shared" si="9"/>
        <v>7716191.2199999997</v>
      </c>
      <c r="F47" s="2">
        <f t="shared" si="11"/>
        <v>625868843.4599998</v>
      </c>
      <c r="G47" s="2">
        <f t="shared" si="10"/>
        <v>599511939.67999983</v>
      </c>
      <c r="H47" s="14"/>
      <c r="I47" s="16"/>
    </row>
    <row r="48" spans="1:9" x14ac:dyDescent="0.25">
      <c r="A48" s="21">
        <v>42374</v>
      </c>
      <c r="B48" s="1">
        <f t="shared" si="3"/>
        <v>31</v>
      </c>
      <c r="C48" s="4">
        <f t="shared" si="8"/>
        <v>34073095</v>
      </c>
      <c r="D48" s="2">
        <f t="shared" si="0"/>
        <v>26435477.140000001</v>
      </c>
      <c r="E48" s="19">
        <f t="shared" si="9"/>
        <v>7637617.8600000003</v>
      </c>
      <c r="F48" s="2">
        <f t="shared" si="11"/>
        <v>599511939.67999983</v>
      </c>
      <c r="G48" s="2">
        <f t="shared" si="10"/>
        <v>573076462.53999984</v>
      </c>
      <c r="H48" s="14"/>
      <c r="I48" s="16"/>
    </row>
    <row r="49" spans="1:9" x14ac:dyDescent="0.25">
      <c r="A49" s="21">
        <v>42405</v>
      </c>
      <c r="B49" s="1">
        <f t="shared" si="3"/>
        <v>31</v>
      </c>
      <c r="C49" s="4">
        <f t="shared" si="8"/>
        <v>34073095</v>
      </c>
      <c r="D49" s="2">
        <f t="shared" si="0"/>
        <v>26772257.870000001</v>
      </c>
      <c r="E49" s="19">
        <f t="shared" si="9"/>
        <v>7300837.1299999999</v>
      </c>
      <c r="F49" s="2">
        <f t="shared" si="11"/>
        <v>573076462.53999984</v>
      </c>
      <c r="G49" s="2">
        <f t="shared" si="10"/>
        <v>546304204.66999984</v>
      </c>
      <c r="H49" s="14"/>
      <c r="I49" s="16"/>
    </row>
    <row r="50" spans="1:9" x14ac:dyDescent="0.25">
      <c r="A50" s="21">
        <v>42434</v>
      </c>
      <c r="B50" s="1">
        <f t="shared" si="3"/>
        <v>29</v>
      </c>
      <c r="C50" s="4">
        <f t="shared" si="8"/>
        <v>34073095</v>
      </c>
      <c r="D50" s="2">
        <f t="shared" si="0"/>
        <v>27562346.259999998</v>
      </c>
      <c r="E50" s="19">
        <f t="shared" si="9"/>
        <v>6510748.7400000002</v>
      </c>
      <c r="F50" s="2">
        <f t="shared" si="11"/>
        <v>546304204.66999984</v>
      </c>
      <c r="G50" s="2">
        <f t="shared" si="10"/>
        <v>518741858.40999985</v>
      </c>
      <c r="H50" s="14"/>
      <c r="I50" s="16"/>
    </row>
    <row r="51" spans="1:9" x14ac:dyDescent="0.25">
      <c r="A51" s="21">
        <v>42465</v>
      </c>
      <c r="B51" s="1">
        <f t="shared" si="3"/>
        <v>31</v>
      </c>
      <c r="C51" s="4">
        <f t="shared" si="8"/>
        <v>34073095</v>
      </c>
      <c r="D51" s="2">
        <f t="shared" si="0"/>
        <v>27464465.84</v>
      </c>
      <c r="E51" s="19">
        <f t="shared" si="9"/>
        <v>6608629.1600000001</v>
      </c>
      <c r="F51" s="2">
        <f t="shared" si="11"/>
        <v>518741858.40999985</v>
      </c>
      <c r="G51" s="2">
        <f t="shared" si="10"/>
        <v>491277392.56999987</v>
      </c>
      <c r="H51" s="14"/>
      <c r="I51" s="16"/>
    </row>
    <row r="52" spans="1:9" x14ac:dyDescent="0.25">
      <c r="A52" s="21">
        <v>42495</v>
      </c>
      <c r="B52" s="1">
        <f t="shared" si="3"/>
        <v>30</v>
      </c>
      <c r="C52" s="4">
        <f t="shared" si="8"/>
        <v>34073095</v>
      </c>
      <c r="D52" s="2">
        <f t="shared" si="0"/>
        <v>28016250.43</v>
      </c>
      <c r="E52" s="19">
        <f t="shared" si="9"/>
        <v>6056844.5700000003</v>
      </c>
      <c r="F52" s="2">
        <f t="shared" si="11"/>
        <v>491277392.56999987</v>
      </c>
      <c r="G52" s="2">
        <f t="shared" si="10"/>
        <v>463261142.13999987</v>
      </c>
      <c r="H52" s="14"/>
      <c r="I52" s="16"/>
    </row>
    <row r="53" spans="1:9" x14ac:dyDescent="0.25">
      <c r="A53" s="21">
        <v>42526</v>
      </c>
      <c r="B53" s="1">
        <f t="shared" si="3"/>
        <v>31</v>
      </c>
      <c r="C53" s="4">
        <f t="shared" si="8"/>
        <v>34073095</v>
      </c>
      <c r="D53" s="2">
        <f t="shared" si="0"/>
        <v>28171274.969999999</v>
      </c>
      <c r="E53" s="19">
        <f t="shared" si="9"/>
        <v>5901820.0300000003</v>
      </c>
      <c r="F53" s="2">
        <f t="shared" si="11"/>
        <v>463261142.13999987</v>
      </c>
      <c r="G53" s="2">
        <f t="shared" si="10"/>
        <v>435089867.16999984</v>
      </c>
      <c r="H53" s="14"/>
      <c r="I53" s="16"/>
    </row>
    <row r="54" spans="1:9" x14ac:dyDescent="0.25">
      <c r="A54" s="21">
        <v>42556</v>
      </c>
      <c r="B54" s="1">
        <f t="shared" si="3"/>
        <v>30</v>
      </c>
      <c r="C54" s="4">
        <f>$D$2</f>
        <v>33634544</v>
      </c>
      <c r="D54" s="2">
        <f t="shared" si="0"/>
        <v>28339463.449999999</v>
      </c>
      <c r="E54" s="19">
        <f t="shared" si="9"/>
        <v>5295080.55</v>
      </c>
      <c r="F54" s="2">
        <f>G53-H2</f>
        <v>429489867.16999984</v>
      </c>
      <c r="G54" s="2">
        <f t="shared" si="10"/>
        <v>401150403.71999985</v>
      </c>
      <c r="H54" s="14"/>
      <c r="I54" s="16"/>
    </row>
    <row r="55" spans="1:9" x14ac:dyDescent="0.25">
      <c r="A55" s="21">
        <v>42587</v>
      </c>
      <c r="B55" s="1">
        <f t="shared" si="3"/>
        <v>31</v>
      </c>
      <c r="C55" s="4">
        <f t="shared" ref="C55:C67" si="12">$D$2</f>
        <v>33634544</v>
      </c>
      <c r="D55" s="2">
        <f t="shared" si="0"/>
        <v>28523997.759999998</v>
      </c>
      <c r="E55" s="19">
        <f t="shared" si="9"/>
        <v>5110546.24</v>
      </c>
      <c r="F55" s="2">
        <f t="shared" si="11"/>
        <v>401150403.71999985</v>
      </c>
      <c r="G55" s="2">
        <f t="shared" si="10"/>
        <v>372626405.95999986</v>
      </c>
      <c r="H55" s="14"/>
      <c r="I55" s="16"/>
    </row>
    <row r="56" spans="1:9" x14ac:dyDescent="0.25">
      <c r="A56" s="21">
        <v>42618</v>
      </c>
      <c r="B56" s="1">
        <f t="shared" si="3"/>
        <v>31</v>
      </c>
      <c r="C56" s="4">
        <f t="shared" si="12"/>
        <v>33634544</v>
      </c>
      <c r="D56" s="2">
        <f t="shared" si="0"/>
        <v>28887385.68</v>
      </c>
      <c r="E56" s="19">
        <f t="shared" si="9"/>
        <v>4747158.32</v>
      </c>
      <c r="F56" s="2">
        <f t="shared" si="11"/>
        <v>372626405.95999986</v>
      </c>
      <c r="G56" s="2">
        <f t="shared" si="10"/>
        <v>343739020.27999985</v>
      </c>
      <c r="H56" s="14"/>
      <c r="I56" s="16"/>
    </row>
    <row r="57" spans="1:9" x14ac:dyDescent="0.25">
      <c r="A57" s="21">
        <v>42648</v>
      </c>
      <c r="B57" s="1">
        <f t="shared" si="3"/>
        <v>30</v>
      </c>
      <c r="C57" s="4">
        <f t="shared" si="12"/>
        <v>33634544</v>
      </c>
      <c r="D57" s="2">
        <f t="shared" si="0"/>
        <v>29396665.670000002</v>
      </c>
      <c r="E57" s="19">
        <f t="shared" si="9"/>
        <v>4237878.33</v>
      </c>
      <c r="F57" s="2">
        <f t="shared" si="11"/>
        <v>343739020.27999985</v>
      </c>
      <c r="G57" s="2">
        <f t="shared" si="10"/>
        <v>314342354.60999984</v>
      </c>
      <c r="H57" s="14"/>
      <c r="I57" s="16"/>
    </row>
    <row r="58" spans="1:9" x14ac:dyDescent="0.25">
      <c r="A58" s="21">
        <v>42679</v>
      </c>
      <c r="B58" s="1">
        <f t="shared" si="3"/>
        <v>31</v>
      </c>
      <c r="C58" s="4">
        <f t="shared" si="12"/>
        <v>33634544</v>
      </c>
      <c r="D58" s="2">
        <f t="shared" si="0"/>
        <v>29629908.52</v>
      </c>
      <c r="E58" s="19">
        <f t="shared" si="9"/>
        <v>4004635.48</v>
      </c>
      <c r="F58" s="2">
        <f t="shared" si="11"/>
        <v>314342354.60999984</v>
      </c>
      <c r="G58" s="2">
        <f t="shared" si="10"/>
        <v>284712446.08999985</v>
      </c>
      <c r="H58" s="14"/>
      <c r="I58" s="16"/>
    </row>
    <row r="59" spans="1:9" x14ac:dyDescent="0.25">
      <c r="A59" s="21">
        <v>42709</v>
      </c>
      <c r="B59" s="1">
        <f t="shared" si="3"/>
        <v>30</v>
      </c>
      <c r="C59" s="4">
        <f t="shared" si="12"/>
        <v>33634544</v>
      </c>
      <c r="D59" s="2">
        <f t="shared" si="0"/>
        <v>30124390.559999999</v>
      </c>
      <c r="E59" s="19">
        <f t="shared" si="9"/>
        <v>3510153.44</v>
      </c>
      <c r="F59" s="2">
        <f t="shared" si="11"/>
        <v>284712446.08999985</v>
      </c>
      <c r="G59" s="2">
        <f t="shared" si="10"/>
        <v>254588055.52999985</v>
      </c>
      <c r="H59" s="14"/>
      <c r="I59" s="16"/>
    </row>
    <row r="60" spans="1:9" x14ac:dyDescent="0.25">
      <c r="A60" s="21">
        <v>42740</v>
      </c>
      <c r="B60" s="1">
        <f t="shared" si="3"/>
        <v>31</v>
      </c>
      <c r="C60" s="4">
        <f t="shared" si="12"/>
        <v>33634544</v>
      </c>
      <c r="D60" s="2">
        <f t="shared" si="0"/>
        <v>30391161.920000002</v>
      </c>
      <c r="E60" s="19">
        <f t="shared" si="9"/>
        <v>3243382.08</v>
      </c>
      <c r="F60" s="2">
        <f t="shared" si="11"/>
        <v>254588055.52999985</v>
      </c>
      <c r="G60" s="2">
        <f t="shared" si="10"/>
        <v>224196893.60999984</v>
      </c>
      <c r="H60" s="14"/>
      <c r="I60" s="16"/>
    </row>
    <row r="61" spans="1:9" x14ac:dyDescent="0.25">
      <c r="A61" s="21">
        <v>42771</v>
      </c>
      <c r="B61" s="1">
        <f t="shared" si="3"/>
        <v>31</v>
      </c>
      <c r="C61" s="4">
        <f t="shared" si="12"/>
        <v>33634544</v>
      </c>
      <c r="D61" s="2">
        <f t="shared" si="0"/>
        <v>30778337</v>
      </c>
      <c r="E61" s="19">
        <f t="shared" si="9"/>
        <v>2856207</v>
      </c>
      <c r="F61" s="2">
        <f t="shared" si="11"/>
        <v>224196893.60999984</v>
      </c>
      <c r="G61" s="2">
        <f t="shared" si="10"/>
        <v>193418556.60999984</v>
      </c>
      <c r="H61" s="14"/>
      <c r="I61" s="16"/>
    </row>
    <row r="62" spans="1:9" x14ac:dyDescent="0.25">
      <c r="A62" s="21">
        <v>42799</v>
      </c>
      <c r="B62" s="1">
        <f t="shared" si="3"/>
        <v>28</v>
      </c>
      <c r="C62" s="4">
        <f t="shared" si="12"/>
        <v>33634544</v>
      </c>
      <c r="D62" s="2">
        <f t="shared" si="0"/>
        <v>31408905.809999999</v>
      </c>
      <c r="E62" s="19">
        <f t="shared" si="9"/>
        <v>2225638.19</v>
      </c>
      <c r="F62" s="2">
        <f t="shared" si="11"/>
        <v>193418556.60999984</v>
      </c>
      <c r="G62" s="2">
        <f t="shared" si="10"/>
        <v>162009650.79999983</v>
      </c>
      <c r="H62" s="14"/>
      <c r="I62" s="16"/>
    </row>
    <row r="63" spans="1:9" x14ac:dyDescent="0.25">
      <c r="A63" s="21">
        <v>42830</v>
      </c>
      <c r="B63" s="1">
        <f t="shared" si="3"/>
        <v>31</v>
      </c>
      <c r="C63" s="4">
        <f t="shared" si="12"/>
        <v>33634544</v>
      </c>
      <c r="D63" s="2">
        <f t="shared" si="0"/>
        <v>31570585.440000001</v>
      </c>
      <c r="E63" s="19">
        <f t="shared" si="9"/>
        <v>2063958.56</v>
      </c>
      <c r="F63" s="2">
        <f t="shared" si="11"/>
        <v>162009650.79999983</v>
      </c>
      <c r="G63" s="2">
        <f t="shared" si="10"/>
        <v>130439065.35999984</v>
      </c>
      <c r="H63" s="14"/>
      <c r="I63" s="16"/>
    </row>
    <row r="64" spans="1:9" x14ac:dyDescent="0.25">
      <c r="A64" s="21">
        <v>42860</v>
      </c>
      <c r="B64" s="1">
        <f t="shared" si="3"/>
        <v>30</v>
      </c>
      <c r="C64" s="4">
        <f t="shared" si="12"/>
        <v>33634544</v>
      </c>
      <c r="D64" s="2">
        <f t="shared" si="0"/>
        <v>32026391.140000001</v>
      </c>
      <c r="E64" s="19">
        <f t="shared" si="9"/>
        <v>1608152.86</v>
      </c>
      <c r="F64" s="2">
        <f t="shared" si="11"/>
        <v>130439065.35999984</v>
      </c>
      <c r="G64" s="2">
        <f t="shared" si="10"/>
        <v>98412674.219999835</v>
      </c>
      <c r="H64" s="14"/>
      <c r="I64" s="16"/>
    </row>
    <row r="65" spans="1:9" x14ac:dyDescent="0.25">
      <c r="A65" s="21">
        <v>42891</v>
      </c>
      <c r="B65" s="1">
        <f t="shared" si="3"/>
        <v>31</v>
      </c>
      <c r="C65" s="4">
        <f t="shared" si="12"/>
        <v>33634544</v>
      </c>
      <c r="D65" s="2">
        <f t="shared" si="0"/>
        <v>32380793.489999998</v>
      </c>
      <c r="E65" s="19">
        <f t="shared" si="9"/>
        <v>1253750.51</v>
      </c>
      <c r="F65" s="2">
        <f t="shared" si="11"/>
        <v>98412674.219999835</v>
      </c>
      <c r="G65" s="2">
        <f t="shared" si="10"/>
        <v>66031880.72999984</v>
      </c>
      <c r="H65" s="14"/>
      <c r="I65" s="16"/>
    </row>
    <row r="66" spans="1:9" x14ac:dyDescent="0.25">
      <c r="A66" s="21">
        <v>42921</v>
      </c>
      <c r="B66" s="1">
        <f t="shared" si="3"/>
        <v>30</v>
      </c>
      <c r="C66" s="4">
        <f t="shared" si="12"/>
        <v>33634544</v>
      </c>
      <c r="D66" s="2">
        <f t="shared" si="0"/>
        <v>32820452.32</v>
      </c>
      <c r="E66" s="19">
        <f t="shared" si="9"/>
        <v>814091.68</v>
      </c>
      <c r="F66" s="2">
        <f t="shared" si="11"/>
        <v>66031880.72999984</v>
      </c>
      <c r="G66" s="2">
        <f t="shared" si="10"/>
        <v>33211428.40999984</v>
      </c>
      <c r="H66" s="14"/>
      <c r="I66" s="16"/>
    </row>
    <row r="67" spans="1:9" x14ac:dyDescent="0.25">
      <c r="A67" s="21">
        <v>42952</v>
      </c>
      <c r="B67" s="1">
        <f t="shared" si="3"/>
        <v>31</v>
      </c>
      <c r="C67" s="4">
        <f t="shared" si="12"/>
        <v>33634544</v>
      </c>
      <c r="D67" s="2">
        <f t="shared" si="0"/>
        <v>33211428.40999984</v>
      </c>
      <c r="E67" s="19">
        <v>423115.59000016004</v>
      </c>
      <c r="F67" s="2">
        <f t="shared" si="11"/>
        <v>33211428.40999984</v>
      </c>
      <c r="G67" s="2">
        <f t="shared" si="10"/>
        <v>0</v>
      </c>
      <c r="H67" s="14"/>
      <c r="I67" s="16"/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723D6E-FC1D-4382-884E-A7FA59BFBE90}">
  <dimension ref="A1:J67"/>
  <sheetViews>
    <sheetView zoomScale="90" zoomScaleNormal="70" workbookViewId="0">
      <pane ySplit="3" topLeftCell="A57" activePane="bottomLeft" state="frozen"/>
      <selection activeCell="U2" sqref="U2"/>
      <selection pane="bottomLeft" activeCell="U2" sqref="U2"/>
    </sheetView>
  </sheetViews>
  <sheetFormatPr defaultRowHeight="15" x14ac:dyDescent="0.25"/>
  <cols>
    <col min="1" max="1" width="15.28515625" bestFit="1" customWidth="1"/>
    <col min="2" max="2" width="13.42578125" bestFit="1" customWidth="1"/>
    <col min="3" max="3" width="23" bestFit="1" customWidth="1"/>
    <col min="4" max="4" width="17.85546875" bestFit="1" customWidth="1"/>
    <col min="5" max="5" width="20.5703125" bestFit="1" customWidth="1"/>
    <col min="6" max="6" width="18.7109375" bestFit="1" customWidth="1"/>
    <col min="7" max="7" width="24.42578125" bestFit="1" customWidth="1"/>
    <col min="8" max="8" width="16.7109375" bestFit="1" customWidth="1"/>
    <col min="9" max="9" width="27.85546875" bestFit="1" customWidth="1"/>
    <col min="10" max="10" width="15.42578125" bestFit="1" customWidth="1"/>
  </cols>
  <sheetData>
    <row r="1" spans="1:10" x14ac:dyDescent="0.25">
      <c r="A1" s="17" t="s">
        <v>33</v>
      </c>
      <c r="B1" s="22">
        <v>41855</v>
      </c>
      <c r="C1" s="15" t="s">
        <v>37</v>
      </c>
      <c r="D1" s="23">
        <f>ROUNDUP(34318675.2191522,0)</f>
        <v>34318676</v>
      </c>
      <c r="E1" s="25" t="s">
        <v>338</v>
      </c>
      <c r="F1" s="24">
        <f>ROUNDUP(34065066.0482889,0)</f>
        <v>34065067</v>
      </c>
      <c r="G1" s="28" t="s">
        <v>52</v>
      </c>
      <c r="H1" s="26">
        <v>42160</v>
      </c>
      <c r="I1" s="28" t="s">
        <v>53</v>
      </c>
      <c r="J1" s="27">
        <v>5600000</v>
      </c>
    </row>
    <row r="2" spans="1:10" x14ac:dyDescent="0.25">
      <c r="A2" s="17" t="s">
        <v>34</v>
      </c>
      <c r="B2" s="18">
        <v>0.15</v>
      </c>
      <c r="C2" s="25" t="s">
        <v>339</v>
      </c>
      <c r="D2" s="24">
        <f>ROUNDUP(33626556.2706467,0)</f>
        <v>33626557</v>
      </c>
      <c r="E2" s="28" t="s">
        <v>340</v>
      </c>
      <c r="F2" s="26">
        <v>42526</v>
      </c>
      <c r="G2" s="28" t="s">
        <v>341</v>
      </c>
      <c r="H2" s="27">
        <v>5600000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41856</v>
      </c>
      <c r="B4" s="1">
        <f>DAYS360(B1,A4,TRUE)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-5650.6849315068685</v>
      </c>
    </row>
    <row r="5" spans="1:10" x14ac:dyDescent="0.25">
      <c r="A5" s="29">
        <v>41887</v>
      </c>
      <c r="B5" s="1">
        <f>DAYS360(A4,A5)</f>
        <v>30</v>
      </c>
      <c r="C5" s="4">
        <f>$D$1</f>
        <v>34318676</v>
      </c>
      <c r="D5" s="2">
        <f t="shared" ref="D5:D67" si="0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>
        <f t="shared" ref="H5:H33" si="1">F5*$B$2*B5/365</f>
        <v>12205479.452054795</v>
      </c>
      <c r="I5" s="16">
        <f t="shared" ref="I5:I33" si="2">H5-E5</f>
        <v>-169520.54794520512</v>
      </c>
    </row>
    <row r="6" spans="1:10" x14ac:dyDescent="0.25">
      <c r="A6" s="29">
        <v>41917</v>
      </c>
      <c r="B6" s="1">
        <f t="shared" ref="B6:B40" si="3">DAYS360(A5,A6)</f>
        <v>30</v>
      </c>
      <c r="C6" s="4">
        <f t="shared" ref="C6:C41" si="4">$D$1</f>
        <v>34318676</v>
      </c>
      <c r="D6" s="2">
        <f t="shared" si="0"/>
        <v>22217971.949999999</v>
      </c>
      <c r="E6" s="19">
        <f t="shared" ref="E6:E39" si="5">ROUND(F6*$B$2*B6/360,2)</f>
        <v>12100704.050000001</v>
      </c>
      <c r="F6" s="2">
        <f t="shared" ref="F6:F40" si="6">G5</f>
        <v>968056324</v>
      </c>
      <c r="G6" s="2">
        <f t="shared" ref="G6:G40" si="7">F6-D6</f>
        <v>945838352.04999995</v>
      </c>
      <c r="H6" s="14">
        <f t="shared" si="1"/>
        <v>11934940.980821919</v>
      </c>
      <c r="I6" s="16">
        <f t="shared" si="2"/>
        <v>-165763.06917808205</v>
      </c>
    </row>
    <row r="7" spans="1:10" x14ac:dyDescent="0.25">
      <c r="A7" s="29">
        <v>41948</v>
      </c>
      <c r="B7" s="1">
        <f t="shared" si="3"/>
        <v>30</v>
      </c>
      <c r="C7" s="4">
        <f t="shared" si="4"/>
        <v>34318676</v>
      </c>
      <c r="D7" s="2">
        <f t="shared" si="0"/>
        <v>22495696.600000001</v>
      </c>
      <c r="E7" s="19">
        <f t="shared" si="5"/>
        <v>11822979.4</v>
      </c>
      <c r="F7" s="2">
        <f t="shared" si="6"/>
        <v>945838352.04999995</v>
      </c>
      <c r="G7" s="2">
        <f t="shared" si="7"/>
        <v>923342655.44999993</v>
      </c>
      <c r="H7" s="14">
        <f t="shared" si="1"/>
        <v>11661020.778698629</v>
      </c>
      <c r="I7" s="16">
        <f t="shared" si="2"/>
        <v>-161958.6213013716</v>
      </c>
    </row>
    <row r="8" spans="1:10" x14ac:dyDescent="0.25">
      <c r="A8" s="29">
        <v>41978</v>
      </c>
      <c r="B8" s="1">
        <f t="shared" si="3"/>
        <v>30</v>
      </c>
      <c r="C8" s="4">
        <f t="shared" si="4"/>
        <v>34318676</v>
      </c>
      <c r="D8" s="2">
        <f t="shared" si="0"/>
        <v>22776892.810000002</v>
      </c>
      <c r="E8" s="19">
        <f t="shared" si="5"/>
        <v>11541783.189999999</v>
      </c>
      <c r="F8" s="2">
        <f t="shared" si="6"/>
        <v>923342655.44999993</v>
      </c>
      <c r="G8" s="2">
        <f t="shared" si="7"/>
        <v>900565762.63999987</v>
      </c>
      <c r="H8" s="14">
        <f t="shared" si="1"/>
        <v>11383676.574041095</v>
      </c>
      <c r="I8" s="16">
        <f t="shared" si="2"/>
        <v>-158106.61595890485</v>
      </c>
    </row>
    <row r="9" spans="1:10" x14ac:dyDescent="0.25">
      <c r="A9" s="29">
        <v>42009</v>
      </c>
      <c r="B9" s="1">
        <f t="shared" si="3"/>
        <v>30</v>
      </c>
      <c r="C9" s="4">
        <f t="shared" si="4"/>
        <v>34318676</v>
      </c>
      <c r="D9" s="2">
        <f t="shared" si="0"/>
        <v>23061603.969999999</v>
      </c>
      <c r="E9" s="19">
        <f t="shared" si="5"/>
        <v>11257072.029999999</v>
      </c>
      <c r="F9" s="2">
        <f t="shared" si="6"/>
        <v>900565762.63999987</v>
      </c>
      <c r="G9" s="2">
        <f t="shared" si="7"/>
        <v>877504158.66999984</v>
      </c>
      <c r="H9" s="14">
        <f t="shared" si="1"/>
        <v>11102865.566794518</v>
      </c>
      <c r="I9" s="16">
        <f t="shared" si="2"/>
        <v>-154206.46320548095</v>
      </c>
    </row>
    <row r="10" spans="1:10" x14ac:dyDescent="0.25">
      <c r="A10" s="29">
        <v>42040</v>
      </c>
      <c r="B10" s="1">
        <f t="shared" si="3"/>
        <v>30</v>
      </c>
      <c r="C10" s="4">
        <f t="shared" si="4"/>
        <v>34318676</v>
      </c>
      <c r="D10" s="2">
        <f t="shared" si="0"/>
        <v>23349874.02</v>
      </c>
      <c r="E10" s="19">
        <f t="shared" si="5"/>
        <v>10968801.98</v>
      </c>
      <c r="F10" s="2">
        <f t="shared" si="6"/>
        <v>877504158.66999984</v>
      </c>
      <c r="G10" s="2">
        <f t="shared" si="7"/>
        <v>854154284.64999986</v>
      </c>
      <c r="H10" s="14">
        <f t="shared" si="1"/>
        <v>10818544.421958903</v>
      </c>
      <c r="I10" s="16">
        <f t="shared" si="2"/>
        <v>-150257.5580410976</v>
      </c>
    </row>
    <row r="11" spans="1:10" x14ac:dyDescent="0.25">
      <c r="A11" s="29">
        <v>42068</v>
      </c>
      <c r="B11" s="1">
        <f t="shared" si="3"/>
        <v>30</v>
      </c>
      <c r="C11" s="4">
        <f t="shared" si="4"/>
        <v>34318676</v>
      </c>
      <c r="D11" s="2">
        <f t="shared" si="0"/>
        <v>23641747.439999998</v>
      </c>
      <c r="E11" s="19">
        <f t="shared" si="5"/>
        <v>10676928.560000001</v>
      </c>
      <c r="F11" s="2">
        <f t="shared" si="6"/>
        <v>854154284.64999986</v>
      </c>
      <c r="G11" s="2">
        <f t="shared" si="7"/>
        <v>830512537.2099998</v>
      </c>
      <c r="H11" s="14">
        <f t="shared" si="1"/>
        <v>10530669.262808217</v>
      </c>
      <c r="I11" s="16">
        <f t="shared" si="2"/>
        <v>-146259.29719178379</v>
      </c>
    </row>
    <row r="12" spans="1:10" x14ac:dyDescent="0.25">
      <c r="A12" s="29">
        <v>42099</v>
      </c>
      <c r="B12" s="1">
        <f t="shared" si="3"/>
        <v>30</v>
      </c>
      <c r="C12" s="4">
        <f t="shared" si="4"/>
        <v>34318676</v>
      </c>
      <c r="D12" s="2">
        <f t="shared" si="0"/>
        <v>23937269.280000001</v>
      </c>
      <c r="E12" s="19">
        <f t="shared" si="5"/>
        <v>10381406.720000001</v>
      </c>
      <c r="F12" s="2">
        <f t="shared" si="6"/>
        <v>830512537.2099998</v>
      </c>
      <c r="G12" s="2">
        <f t="shared" si="7"/>
        <v>806575267.92999983</v>
      </c>
      <c r="H12" s="14">
        <f t="shared" si="1"/>
        <v>10239195.664232872</v>
      </c>
      <c r="I12" s="16">
        <f t="shared" si="2"/>
        <v>-142211.05576712824</v>
      </c>
    </row>
    <row r="13" spans="1:10" x14ac:dyDescent="0.25">
      <c r="A13" s="29">
        <v>42129</v>
      </c>
      <c r="B13" s="1">
        <f t="shared" si="3"/>
        <v>30</v>
      </c>
      <c r="C13" s="4">
        <f t="shared" si="4"/>
        <v>34318676</v>
      </c>
      <c r="D13" s="2">
        <f t="shared" si="0"/>
        <v>24236485.149999999</v>
      </c>
      <c r="E13" s="19">
        <f t="shared" si="5"/>
        <v>10082190.85</v>
      </c>
      <c r="F13" s="2">
        <f t="shared" si="6"/>
        <v>806575267.92999983</v>
      </c>
      <c r="G13" s="2">
        <f t="shared" si="7"/>
        <v>782338782.77999985</v>
      </c>
      <c r="H13" s="14">
        <f t="shared" si="1"/>
        <v>9944078.6457123272</v>
      </c>
      <c r="I13" s="16">
        <f t="shared" si="2"/>
        <v>-138112.20428767242</v>
      </c>
    </row>
    <row r="14" spans="1:10" x14ac:dyDescent="0.25">
      <c r="A14" s="29">
        <v>42160</v>
      </c>
      <c r="B14" s="1">
        <f t="shared" si="3"/>
        <v>30</v>
      </c>
      <c r="C14" s="4">
        <f t="shared" si="4"/>
        <v>34318676</v>
      </c>
      <c r="D14" s="2">
        <f t="shared" si="0"/>
        <v>24539441.219999999</v>
      </c>
      <c r="E14" s="19">
        <f t="shared" si="5"/>
        <v>9779234.7799999993</v>
      </c>
      <c r="F14" s="2">
        <f t="shared" si="6"/>
        <v>782338782.77999985</v>
      </c>
      <c r="G14" s="2">
        <f t="shared" si="7"/>
        <v>757799341.55999982</v>
      </c>
      <c r="H14" s="14">
        <f t="shared" si="1"/>
        <v>9645272.6644109562</v>
      </c>
      <c r="I14" s="16">
        <f t="shared" si="2"/>
        <v>-133962.11558904313</v>
      </c>
    </row>
    <row r="15" spans="1:10" x14ac:dyDescent="0.25">
      <c r="A15" s="29">
        <v>42190</v>
      </c>
      <c r="B15" s="1">
        <f t="shared" si="3"/>
        <v>30</v>
      </c>
      <c r="C15" s="4">
        <f t="shared" si="4"/>
        <v>34318676</v>
      </c>
      <c r="D15" s="2">
        <f t="shared" si="0"/>
        <v>24846184.23</v>
      </c>
      <c r="E15" s="19">
        <f t="shared" si="5"/>
        <v>9472491.7699999996</v>
      </c>
      <c r="F15" s="2">
        <f t="shared" si="6"/>
        <v>757799341.55999982</v>
      </c>
      <c r="G15" s="2">
        <f t="shared" si="7"/>
        <v>732953157.3299998</v>
      </c>
      <c r="H15" s="14">
        <f t="shared" si="1"/>
        <v>9342731.60827397</v>
      </c>
      <c r="I15" s="16">
        <f t="shared" si="2"/>
        <v>-129760.16172602959</v>
      </c>
    </row>
    <row r="16" spans="1:10" x14ac:dyDescent="0.25">
      <c r="A16" s="29">
        <v>42221</v>
      </c>
      <c r="B16" s="1">
        <f t="shared" si="3"/>
        <v>30</v>
      </c>
      <c r="C16" s="4">
        <f t="shared" si="4"/>
        <v>34318676</v>
      </c>
      <c r="D16" s="2">
        <f t="shared" si="0"/>
        <v>25156761.530000001</v>
      </c>
      <c r="E16" s="19">
        <f t="shared" si="5"/>
        <v>9161914.4700000007</v>
      </c>
      <c r="F16" s="2">
        <f t="shared" si="6"/>
        <v>732953157.3299998</v>
      </c>
      <c r="G16" s="2">
        <f t="shared" si="7"/>
        <v>707796395.79999983</v>
      </c>
      <c r="H16" s="14">
        <f t="shared" si="1"/>
        <v>9036408.7889999971</v>
      </c>
      <c r="I16" s="16">
        <f t="shared" si="2"/>
        <v>-125505.68100000359</v>
      </c>
    </row>
    <row r="17" spans="1:9" x14ac:dyDescent="0.25">
      <c r="A17" s="29">
        <v>42252</v>
      </c>
      <c r="B17" s="1">
        <f t="shared" si="3"/>
        <v>30</v>
      </c>
      <c r="C17" s="4">
        <f t="shared" si="4"/>
        <v>34318676</v>
      </c>
      <c r="D17" s="2">
        <f t="shared" si="0"/>
        <v>25471221.050000001</v>
      </c>
      <c r="E17" s="19">
        <f t="shared" si="5"/>
        <v>8847454.9499999993</v>
      </c>
      <c r="F17" s="2">
        <f t="shared" si="6"/>
        <v>707796395.79999983</v>
      </c>
      <c r="G17" s="2">
        <f t="shared" si="7"/>
        <v>682325174.74999988</v>
      </c>
      <c r="H17" s="14">
        <f t="shared" si="1"/>
        <v>8726256.9345205463</v>
      </c>
      <c r="I17" s="16">
        <f t="shared" si="2"/>
        <v>-121198.01547945291</v>
      </c>
    </row>
    <row r="18" spans="1:9" x14ac:dyDescent="0.25">
      <c r="A18" s="29">
        <v>42282</v>
      </c>
      <c r="B18" s="1">
        <f t="shared" si="3"/>
        <v>30</v>
      </c>
      <c r="C18" s="4">
        <f t="shared" si="4"/>
        <v>34318676</v>
      </c>
      <c r="D18" s="2">
        <f t="shared" si="0"/>
        <v>25789611.32</v>
      </c>
      <c r="E18" s="19">
        <f t="shared" si="5"/>
        <v>8529064.6799999997</v>
      </c>
      <c r="F18" s="2">
        <f t="shared" si="6"/>
        <v>682325174.74999988</v>
      </c>
      <c r="G18" s="2">
        <f t="shared" si="7"/>
        <v>656535563.42999983</v>
      </c>
      <c r="H18" s="14">
        <f t="shared" si="1"/>
        <v>8412228.181849312</v>
      </c>
      <c r="I18" s="16">
        <f t="shared" si="2"/>
        <v>-116836.49815068766</v>
      </c>
    </row>
    <row r="19" spans="1:9" x14ac:dyDescent="0.25">
      <c r="A19" s="29">
        <v>42313</v>
      </c>
      <c r="B19" s="1">
        <f t="shared" si="3"/>
        <v>30</v>
      </c>
      <c r="C19" s="4">
        <f t="shared" si="4"/>
        <v>34318676</v>
      </c>
      <c r="D19" s="2">
        <f t="shared" si="0"/>
        <v>26111981.460000001</v>
      </c>
      <c r="E19" s="19">
        <f t="shared" si="5"/>
        <v>8206694.54</v>
      </c>
      <c r="F19" s="2">
        <f t="shared" si="6"/>
        <v>656535563.42999983</v>
      </c>
      <c r="G19" s="2">
        <f t="shared" si="7"/>
        <v>630423581.96999979</v>
      </c>
      <c r="H19" s="14">
        <f t="shared" si="1"/>
        <v>8094274.0696849301</v>
      </c>
      <c r="I19" s="16">
        <f t="shared" si="2"/>
        <v>-112420.47031506989</v>
      </c>
    </row>
    <row r="20" spans="1:9" x14ac:dyDescent="0.25">
      <c r="A20" s="29">
        <v>42343</v>
      </c>
      <c r="B20" s="1">
        <f t="shared" si="3"/>
        <v>30</v>
      </c>
      <c r="C20" s="4">
        <f t="shared" si="4"/>
        <v>34318676</v>
      </c>
      <c r="D20" s="2">
        <f t="shared" si="0"/>
        <v>26438381.23</v>
      </c>
      <c r="E20" s="19">
        <f t="shared" si="5"/>
        <v>7880294.7699999996</v>
      </c>
      <c r="F20" s="2">
        <f t="shared" si="6"/>
        <v>630423581.96999979</v>
      </c>
      <c r="G20" s="2">
        <f t="shared" si="7"/>
        <v>603985200.73999977</v>
      </c>
      <c r="H20" s="14">
        <f t="shared" si="1"/>
        <v>7772345.5311369831</v>
      </c>
      <c r="I20" s="16">
        <f t="shared" si="2"/>
        <v>-107949.23886301648</v>
      </c>
    </row>
    <row r="21" spans="1:9" x14ac:dyDescent="0.25">
      <c r="A21" s="29">
        <v>42374</v>
      </c>
      <c r="B21" s="1">
        <f t="shared" si="3"/>
        <v>30</v>
      </c>
      <c r="C21" s="4">
        <f t="shared" si="4"/>
        <v>34318676</v>
      </c>
      <c r="D21" s="2">
        <f t="shared" si="0"/>
        <v>26768860.990000002</v>
      </c>
      <c r="E21" s="19">
        <f t="shared" si="5"/>
        <v>7549815.0099999998</v>
      </c>
      <c r="F21" s="2">
        <f t="shared" si="6"/>
        <v>603985200.73999977</v>
      </c>
      <c r="G21" s="2">
        <f t="shared" si="7"/>
        <v>577216339.74999976</v>
      </c>
      <c r="H21" s="14">
        <f t="shared" si="1"/>
        <v>7446392.8858356122</v>
      </c>
      <c r="I21" s="16">
        <f t="shared" si="2"/>
        <v>-103422.12416438758</v>
      </c>
    </row>
    <row r="22" spans="1:9" x14ac:dyDescent="0.25">
      <c r="A22" s="29">
        <v>42405</v>
      </c>
      <c r="B22" s="1">
        <f t="shared" si="3"/>
        <v>30</v>
      </c>
      <c r="C22" s="4">
        <f t="shared" si="4"/>
        <v>34318676</v>
      </c>
      <c r="D22" s="2">
        <f t="shared" si="0"/>
        <v>27103471.75</v>
      </c>
      <c r="E22" s="19">
        <f t="shared" si="5"/>
        <v>7215204.25</v>
      </c>
      <c r="F22" s="2">
        <f t="shared" si="6"/>
        <v>577216339.74999976</v>
      </c>
      <c r="G22" s="2">
        <f t="shared" si="7"/>
        <v>550112867.99999976</v>
      </c>
      <c r="H22" s="14">
        <f t="shared" si="1"/>
        <v>7116365.8325342443</v>
      </c>
      <c r="I22" s="16">
        <f t="shared" si="2"/>
        <v>-98838.417465755716</v>
      </c>
    </row>
    <row r="23" spans="1:9" x14ac:dyDescent="0.25">
      <c r="A23" s="29">
        <v>42434</v>
      </c>
      <c r="B23" s="1">
        <f t="shared" si="3"/>
        <v>30</v>
      </c>
      <c r="C23" s="4">
        <f t="shared" si="4"/>
        <v>34318676</v>
      </c>
      <c r="D23" s="2">
        <f t="shared" si="0"/>
        <v>27442265.149999999</v>
      </c>
      <c r="E23" s="19">
        <f t="shared" si="5"/>
        <v>6876410.8499999996</v>
      </c>
      <c r="F23" s="2">
        <f t="shared" si="6"/>
        <v>550112867.99999976</v>
      </c>
      <c r="G23" s="2">
        <f t="shared" si="7"/>
        <v>522670602.84999979</v>
      </c>
      <c r="H23" s="14">
        <f t="shared" si="1"/>
        <v>6782213.4410958868</v>
      </c>
      <c r="I23" s="16">
        <f t="shared" si="2"/>
        <v>-94197.408904112875</v>
      </c>
    </row>
    <row r="24" spans="1:9" x14ac:dyDescent="0.25">
      <c r="A24" s="29">
        <v>42465</v>
      </c>
      <c r="B24" s="1">
        <f t="shared" si="3"/>
        <v>30</v>
      </c>
      <c r="C24" s="4">
        <f t="shared" si="4"/>
        <v>34318676</v>
      </c>
      <c r="D24" s="2">
        <f t="shared" si="0"/>
        <v>27785293.460000001</v>
      </c>
      <c r="E24" s="19">
        <f t="shared" si="5"/>
        <v>6533382.54</v>
      </c>
      <c r="F24" s="2">
        <f t="shared" si="6"/>
        <v>522670602.84999979</v>
      </c>
      <c r="G24" s="2">
        <f t="shared" si="7"/>
        <v>494885309.38999981</v>
      </c>
      <c r="H24" s="14">
        <f t="shared" si="1"/>
        <v>6443884.144726024</v>
      </c>
      <c r="I24" s="16">
        <f t="shared" si="2"/>
        <v>-89498.395273976028</v>
      </c>
    </row>
    <row r="25" spans="1:9" x14ac:dyDescent="0.25">
      <c r="A25" s="29">
        <v>42495</v>
      </c>
      <c r="B25" s="1">
        <f t="shared" si="3"/>
        <v>30</v>
      </c>
      <c r="C25" s="4">
        <f t="shared" si="4"/>
        <v>34318676</v>
      </c>
      <c r="D25" s="2">
        <f t="shared" si="0"/>
        <v>28132609.629999999</v>
      </c>
      <c r="E25" s="19">
        <f t="shared" si="5"/>
        <v>6186066.3700000001</v>
      </c>
      <c r="F25" s="2">
        <f t="shared" si="6"/>
        <v>494885309.38999981</v>
      </c>
      <c r="G25" s="2">
        <f t="shared" si="7"/>
        <v>466752699.75999981</v>
      </c>
      <c r="H25" s="14">
        <f t="shared" si="1"/>
        <v>6101325.7322054775</v>
      </c>
      <c r="I25" s="16">
        <f t="shared" si="2"/>
        <v>-84740.637794522569</v>
      </c>
    </row>
    <row r="26" spans="1:9" x14ac:dyDescent="0.25">
      <c r="A26" s="29">
        <v>42526</v>
      </c>
      <c r="B26" s="1">
        <f t="shared" si="3"/>
        <v>30</v>
      </c>
      <c r="C26" s="4">
        <f t="shared" si="4"/>
        <v>34318676</v>
      </c>
      <c r="D26" s="2">
        <f t="shared" si="0"/>
        <v>28484267.25</v>
      </c>
      <c r="E26" s="19">
        <f t="shared" si="5"/>
        <v>5834408.75</v>
      </c>
      <c r="F26" s="2">
        <f t="shared" si="6"/>
        <v>466752699.75999981</v>
      </c>
      <c r="G26" s="2">
        <f t="shared" si="7"/>
        <v>438268432.50999981</v>
      </c>
      <c r="H26" s="14">
        <f t="shared" si="1"/>
        <v>5754485.3395068469</v>
      </c>
      <c r="I26" s="16">
        <f t="shared" si="2"/>
        <v>-79923.410493153147</v>
      </c>
    </row>
    <row r="27" spans="1:9" x14ac:dyDescent="0.25">
      <c r="A27" s="29">
        <v>42556</v>
      </c>
      <c r="B27" s="1">
        <f t="shared" si="3"/>
        <v>30</v>
      </c>
      <c r="C27" s="4">
        <f t="shared" si="4"/>
        <v>34318676</v>
      </c>
      <c r="D27" s="2">
        <f t="shared" si="0"/>
        <v>28840320.59</v>
      </c>
      <c r="E27" s="19">
        <f t="shared" si="5"/>
        <v>5478355.4100000001</v>
      </c>
      <c r="F27" s="2">
        <f t="shared" si="6"/>
        <v>438268432.50999981</v>
      </c>
      <c r="G27" s="2">
        <f t="shared" si="7"/>
        <v>409428111.91999984</v>
      </c>
      <c r="H27" s="14">
        <f t="shared" si="1"/>
        <v>5403309.4419041062</v>
      </c>
      <c r="I27" s="16">
        <f t="shared" si="2"/>
        <v>-75045.968095893972</v>
      </c>
    </row>
    <row r="28" spans="1:9" x14ac:dyDescent="0.25">
      <c r="A28" s="29">
        <v>42587</v>
      </c>
      <c r="B28" s="1">
        <f t="shared" si="3"/>
        <v>30</v>
      </c>
      <c r="C28" s="4">
        <f t="shared" si="4"/>
        <v>34318676</v>
      </c>
      <c r="D28" s="2">
        <f t="shared" si="0"/>
        <v>29200824.600000001</v>
      </c>
      <c r="E28" s="19">
        <f t="shared" si="5"/>
        <v>5117851.4000000004</v>
      </c>
      <c r="F28" s="2">
        <f t="shared" si="6"/>
        <v>409428111.91999984</v>
      </c>
      <c r="G28" s="2">
        <f t="shared" si="7"/>
        <v>380227287.31999981</v>
      </c>
      <c r="H28" s="14">
        <f t="shared" si="1"/>
        <v>5047743.8455890389</v>
      </c>
      <c r="I28" s="16">
        <f t="shared" si="2"/>
        <v>-70107.554410961457</v>
      </c>
    </row>
    <row r="29" spans="1:9" x14ac:dyDescent="0.25">
      <c r="A29" s="29">
        <v>42618</v>
      </c>
      <c r="B29" s="1">
        <f t="shared" si="3"/>
        <v>30</v>
      </c>
      <c r="C29" s="4">
        <f t="shared" si="4"/>
        <v>34318676</v>
      </c>
      <c r="D29" s="2">
        <f t="shared" si="0"/>
        <v>29565834.91</v>
      </c>
      <c r="E29" s="19">
        <f t="shared" si="5"/>
        <v>4752841.09</v>
      </c>
      <c r="F29" s="2">
        <f t="shared" si="6"/>
        <v>380227287.31999981</v>
      </c>
      <c r="G29" s="2">
        <f t="shared" si="7"/>
        <v>350661452.40999979</v>
      </c>
      <c r="H29" s="14">
        <f t="shared" si="1"/>
        <v>4687733.6792876683</v>
      </c>
      <c r="I29" s="16">
        <f t="shared" si="2"/>
        <v>-65107.410712331533</v>
      </c>
    </row>
    <row r="30" spans="1:9" x14ac:dyDescent="0.25">
      <c r="A30" s="29">
        <v>42648</v>
      </c>
      <c r="B30" s="1">
        <f t="shared" si="3"/>
        <v>30</v>
      </c>
      <c r="C30" s="4">
        <f t="shared" si="4"/>
        <v>34318676</v>
      </c>
      <c r="D30" s="2">
        <f t="shared" si="0"/>
        <v>29935407.84</v>
      </c>
      <c r="E30" s="19">
        <f t="shared" si="5"/>
        <v>4383268.16</v>
      </c>
      <c r="F30" s="2">
        <f t="shared" si="6"/>
        <v>350661452.40999979</v>
      </c>
      <c r="G30" s="2">
        <f t="shared" si="7"/>
        <v>320726044.56999981</v>
      </c>
      <c r="H30" s="14">
        <f t="shared" si="1"/>
        <v>4323223.3858767096</v>
      </c>
      <c r="I30" s="16">
        <f t="shared" si="2"/>
        <v>-60044.774123290554</v>
      </c>
    </row>
    <row r="31" spans="1:9" x14ac:dyDescent="0.25">
      <c r="A31" s="29">
        <v>42679</v>
      </c>
      <c r="B31" s="1">
        <f t="shared" si="3"/>
        <v>30</v>
      </c>
      <c r="C31" s="4">
        <f t="shared" si="4"/>
        <v>34318676</v>
      </c>
      <c r="D31" s="2">
        <f t="shared" si="0"/>
        <v>30309600.440000001</v>
      </c>
      <c r="E31" s="19">
        <f t="shared" si="5"/>
        <v>4009075.56</v>
      </c>
      <c r="F31" s="2">
        <f t="shared" si="6"/>
        <v>320726044.56999981</v>
      </c>
      <c r="G31" s="2">
        <f t="shared" si="7"/>
        <v>290416444.12999982</v>
      </c>
      <c r="H31" s="14">
        <f t="shared" si="1"/>
        <v>3954156.7138767098</v>
      </c>
      <c r="I31" s="16">
        <f t="shared" si="2"/>
        <v>-54918.846123290248</v>
      </c>
    </row>
    <row r="32" spans="1:9" x14ac:dyDescent="0.25">
      <c r="A32" s="29">
        <v>42709</v>
      </c>
      <c r="B32" s="1">
        <f t="shared" si="3"/>
        <v>30</v>
      </c>
      <c r="C32" s="4">
        <f t="shared" si="4"/>
        <v>34318676</v>
      </c>
      <c r="D32" s="2">
        <f t="shared" si="0"/>
        <v>30688470.449999999</v>
      </c>
      <c r="E32" s="19">
        <f t="shared" si="5"/>
        <v>3630205.55</v>
      </c>
      <c r="F32" s="2">
        <f t="shared" si="6"/>
        <v>290416444.12999982</v>
      </c>
      <c r="G32" s="2">
        <f t="shared" si="7"/>
        <v>259727973.67999983</v>
      </c>
      <c r="H32" s="14">
        <f t="shared" si="1"/>
        <v>3580476.7084520529</v>
      </c>
      <c r="I32" s="16">
        <f t="shared" si="2"/>
        <v>-49728.841547946911</v>
      </c>
    </row>
    <row r="33" spans="1:9" x14ac:dyDescent="0.25">
      <c r="A33" s="29">
        <v>42740</v>
      </c>
      <c r="B33" s="1">
        <f t="shared" si="3"/>
        <v>30</v>
      </c>
      <c r="C33" s="4">
        <f t="shared" si="4"/>
        <v>34318676</v>
      </c>
      <c r="D33" s="2">
        <f t="shared" si="0"/>
        <v>31072076.329999998</v>
      </c>
      <c r="E33" s="19">
        <f t="shared" si="5"/>
        <v>3246599.67</v>
      </c>
      <c r="F33" s="2">
        <f t="shared" si="6"/>
        <v>259727973.67999983</v>
      </c>
      <c r="G33" s="2">
        <f t="shared" si="7"/>
        <v>228655897.34999985</v>
      </c>
      <c r="H33" s="14">
        <f t="shared" si="1"/>
        <v>3202125.7029041075</v>
      </c>
      <c r="I33" s="16">
        <f t="shared" si="2"/>
        <v>-44473.967095892411</v>
      </c>
    </row>
    <row r="34" spans="1:9" x14ac:dyDescent="0.25">
      <c r="A34" s="29">
        <v>42771</v>
      </c>
      <c r="B34" s="1">
        <f t="shared" si="3"/>
        <v>30</v>
      </c>
      <c r="C34" s="4">
        <f t="shared" si="4"/>
        <v>34318676</v>
      </c>
      <c r="D34" s="2">
        <f t="shared" si="0"/>
        <v>31460477.280000001</v>
      </c>
      <c r="E34" s="19">
        <f t="shared" si="5"/>
        <v>2858198.72</v>
      </c>
      <c r="F34" s="2">
        <f t="shared" si="6"/>
        <v>228655897.34999985</v>
      </c>
      <c r="G34" s="2">
        <f t="shared" si="7"/>
        <v>197195420.06999984</v>
      </c>
      <c r="H34" s="14"/>
      <c r="I34" s="16"/>
    </row>
    <row r="35" spans="1:9" x14ac:dyDescent="0.25">
      <c r="A35" s="29">
        <v>42799</v>
      </c>
      <c r="B35" s="1">
        <f t="shared" si="3"/>
        <v>30</v>
      </c>
      <c r="C35" s="4">
        <f t="shared" si="4"/>
        <v>34318676</v>
      </c>
      <c r="D35" s="2">
        <f t="shared" si="0"/>
        <v>31853733.25</v>
      </c>
      <c r="E35" s="19">
        <f t="shared" si="5"/>
        <v>2464942.75</v>
      </c>
      <c r="F35" s="2">
        <f t="shared" si="6"/>
        <v>197195420.06999984</v>
      </c>
      <c r="G35" s="2">
        <f t="shared" si="7"/>
        <v>165341686.81999984</v>
      </c>
      <c r="H35" s="14"/>
      <c r="I35" s="16"/>
    </row>
    <row r="36" spans="1:9" x14ac:dyDescent="0.25">
      <c r="A36" s="29">
        <v>42830</v>
      </c>
      <c r="B36" s="1">
        <f t="shared" si="3"/>
        <v>30</v>
      </c>
      <c r="C36" s="4">
        <f t="shared" si="4"/>
        <v>34318676</v>
      </c>
      <c r="D36" s="2">
        <f t="shared" si="0"/>
        <v>32251904.91</v>
      </c>
      <c r="E36" s="19">
        <f t="shared" si="5"/>
        <v>2066771.09</v>
      </c>
      <c r="F36" s="2">
        <f t="shared" si="6"/>
        <v>165341686.81999984</v>
      </c>
      <c r="G36" s="2">
        <f t="shared" si="7"/>
        <v>133089781.90999985</v>
      </c>
      <c r="H36" s="14"/>
      <c r="I36" s="16"/>
    </row>
    <row r="37" spans="1:9" x14ac:dyDescent="0.25">
      <c r="A37" s="29">
        <v>42860</v>
      </c>
      <c r="B37" s="1">
        <f t="shared" si="3"/>
        <v>30</v>
      </c>
      <c r="C37" s="4">
        <f t="shared" si="4"/>
        <v>34318676</v>
      </c>
      <c r="D37" s="2">
        <f t="shared" si="0"/>
        <v>32655053.73</v>
      </c>
      <c r="E37" s="19">
        <f t="shared" si="5"/>
        <v>1663622.27</v>
      </c>
      <c r="F37" s="2">
        <f t="shared" si="6"/>
        <v>133089781.90999985</v>
      </c>
      <c r="G37" s="2">
        <f t="shared" si="7"/>
        <v>100434728.17999984</v>
      </c>
      <c r="H37" s="14"/>
      <c r="I37" s="16"/>
    </row>
    <row r="38" spans="1:9" x14ac:dyDescent="0.25">
      <c r="A38" s="29">
        <v>42891</v>
      </c>
      <c r="B38" s="1">
        <f t="shared" si="3"/>
        <v>30</v>
      </c>
      <c r="C38" s="4">
        <f t="shared" si="4"/>
        <v>34318676</v>
      </c>
      <c r="D38" s="2">
        <f t="shared" si="0"/>
        <v>33063241.899999999</v>
      </c>
      <c r="E38" s="19">
        <f t="shared" si="5"/>
        <v>1255434.1000000001</v>
      </c>
      <c r="F38" s="2">
        <f t="shared" si="6"/>
        <v>100434728.17999984</v>
      </c>
      <c r="G38" s="2">
        <f t="shared" si="7"/>
        <v>67371486.279999852</v>
      </c>
      <c r="H38" s="14"/>
      <c r="I38" s="16"/>
    </row>
    <row r="39" spans="1:9" x14ac:dyDescent="0.25">
      <c r="A39" s="29">
        <v>42921</v>
      </c>
      <c r="B39" s="1">
        <f t="shared" si="3"/>
        <v>30</v>
      </c>
      <c r="C39" s="4">
        <f t="shared" si="4"/>
        <v>34318676</v>
      </c>
      <c r="D39" s="2">
        <f t="shared" si="0"/>
        <v>33476532.420000002</v>
      </c>
      <c r="E39" s="19">
        <f t="shared" si="5"/>
        <v>842143.58</v>
      </c>
      <c r="F39" s="2">
        <f t="shared" si="6"/>
        <v>67371486.279999852</v>
      </c>
      <c r="G39" s="2">
        <f t="shared" si="7"/>
        <v>33894953.85999985</v>
      </c>
      <c r="H39" s="14"/>
      <c r="I39" s="16"/>
    </row>
    <row r="40" spans="1:9" x14ac:dyDescent="0.25">
      <c r="A40" s="29">
        <v>42952</v>
      </c>
      <c r="B40" s="1">
        <f t="shared" si="3"/>
        <v>30</v>
      </c>
      <c r="C40" s="4">
        <f t="shared" si="4"/>
        <v>34318676</v>
      </c>
      <c r="D40" s="2">
        <f t="shared" si="0"/>
        <v>33894953.85999985</v>
      </c>
      <c r="E40" s="19">
        <v>423722.1400001478</v>
      </c>
      <c r="F40" s="2">
        <f t="shared" si="6"/>
        <v>33894953.85999985</v>
      </c>
      <c r="G40" s="2">
        <f t="shared" si="7"/>
        <v>0</v>
      </c>
      <c r="H40" s="14"/>
      <c r="I40" s="16"/>
    </row>
    <row r="41" spans="1:9" x14ac:dyDescent="0.25">
      <c r="A41" s="21">
        <v>42160</v>
      </c>
      <c r="B41" s="1" t="s">
        <v>55</v>
      </c>
      <c r="C41" s="4">
        <f t="shared" si="4"/>
        <v>34318676</v>
      </c>
      <c r="D41" s="2">
        <f t="shared" si="0"/>
        <v>24539441.219999999</v>
      </c>
      <c r="E41" s="19">
        <f>ROUND(F14*$B$2*B14/360,2)</f>
        <v>9779234.7799999993</v>
      </c>
      <c r="F41" s="2">
        <f>G13</f>
        <v>782338782.77999985</v>
      </c>
      <c r="G41" s="2">
        <f>F14-D14</f>
        <v>757799341.55999982</v>
      </c>
      <c r="H41" s="14"/>
      <c r="I41" s="16"/>
    </row>
    <row r="42" spans="1:9" x14ac:dyDescent="0.25">
      <c r="A42" s="21">
        <v>42190</v>
      </c>
      <c r="B42" s="1">
        <f>DAYS360(A41,A42)</f>
        <v>30</v>
      </c>
      <c r="C42" s="4">
        <f>$F$1</f>
        <v>34065067</v>
      </c>
      <c r="D42" s="2">
        <f t="shared" si="0"/>
        <v>24662575.23</v>
      </c>
      <c r="E42" s="19">
        <f>ROUND(F42*$B$2*B42/360,2)</f>
        <v>9402491.7699999996</v>
      </c>
      <c r="F42" s="2">
        <f>G14-J1</f>
        <v>752199341.55999982</v>
      </c>
      <c r="G42" s="2">
        <f>F42-D42</f>
        <v>727536766.3299998</v>
      </c>
      <c r="H42" s="14"/>
      <c r="I42" s="16"/>
    </row>
    <row r="43" spans="1:9" x14ac:dyDescent="0.25">
      <c r="A43" s="21">
        <v>42221</v>
      </c>
      <c r="B43" s="1">
        <f t="shared" ref="B43:B67" si="8">DAYS360(A42,A43)</f>
        <v>30</v>
      </c>
      <c r="C43" s="4">
        <f t="shared" ref="C43:C53" si="9">$F$1</f>
        <v>34065067</v>
      </c>
      <c r="D43" s="2">
        <f t="shared" si="0"/>
        <v>24970857.420000002</v>
      </c>
      <c r="E43" s="19">
        <f t="shared" ref="E43:E66" si="10">ROUND(F43*$B$2*B43/360,2)</f>
        <v>9094209.5800000001</v>
      </c>
      <c r="F43" s="2">
        <f>G42</f>
        <v>727536766.3299998</v>
      </c>
      <c r="G43" s="2">
        <f t="shared" ref="G43:G67" si="11">F43-D43</f>
        <v>702565908.90999985</v>
      </c>
      <c r="H43" s="14"/>
      <c r="I43" s="16"/>
    </row>
    <row r="44" spans="1:9" x14ac:dyDescent="0.25">
      <c r="A44" s="21">
        <v>42252</v>
      </c>
      <c r="B44" s="1">
        <f t="shared" si="8"/>
        <v>30</v>
      </c>
      <c r="C44" s="4">
        <f t="shared" si="9"/>
        <v>34065067</v>
      </c>
      <c r="D44" s="2">
        <f t="shared" si="0"/>
        <v>25282993.140000001</v>
      </c>
      <c r="E44" s="19">
        <f t="shared" si="10"/>
        <v>8782073.8599999994</v>
      </c>
      <c r="F44" s="2">
        <f t="shared" ref="F44:F67" si="12">G43</f>
        <v>702565908.90999985</v>
      </c>
      <c r="G44" s="2">
        <f t="shared" si="11"/>
        <v>677282915.76999986</v>
      </c>
      <c r="H44" s="14"/>
      <c r="I44" s="16"/>
    </row>
    <row r="45" spans="1:9" x14ac:dyDescent="0.25">
      <c r="A45" s="21">
        <v>42282</v>
      </c>
      <c r="B45" s="1">
        <f t="shared" si="8"/>
        <v>30</v>
      </c>
      <c r="C45" s="4">
        <f t="shared" si="9"/>
        <v>34065067</v>
      </c>
      <c r="D45" s="2">
        <f t="shared" si="0"/>
        <v>25599030.550000001</v>
      </c>
      <c r="E45" s="19">
        <f t="shared" si="10"/>
        <v>8466036.4499999993</v>
      </c>
      <c r="F45" s="2">
        <f t="shared" si="12"/>
        <v>677282915.76999986</v>
      </c>
      <c r="G45" s="2">
        <f t="shared" si="11"/>
        <v>651683885.21999991</v>
      </c>
      <c r="H45" s="14"/>
      <c r="I45" s="16"/>
    </row>
    <row r="46" spans="1:9" x14ac:dyDescent="0.25">
      <c r="A46" s="21">
        <v>42313</v>
      </c>
      <c r="B46" s="1">
        <f t="shared" si="8"/>
        <v>30</v>
      </c>
      <c r="C46" s="4">
        <f t="shared" si="9"/>
        <v>34065067</v>
      </c>
      <c r="D46" s="2">
        <f t="shared" si="0"/>
        <v>25919018.43</v>
      </c>
      <c r="E46" s="19">
        <f t="shared" si="10"/>
        <v>8146048.5700000003</v>
      </c>
      <c r="F46" s="2">
        <f t="shared" si="12"/>
        <v>651683885.21999991</v>
      </c>
      <c r="G46" s="2">
        <f t="shared" si="11"/>
        <v>625764866.78999996</v>
      </c>
      <c r="H46" s="14"/>
      <c r="I46" s="16"/>
    </row>
    <row r="47" spans="1:9" x14ac:dyDescent="0.25">
      <c r="A47" s="21">
        <v>42343</v>
      </c>
      <c r="B47" s="1">
        <f t="shared" si="8"/>
        <v>30</v>
      </c>
      <c r="C47" s="4">
        <f t="shared" si="9"/>
        <v>34065067</v>
      </c>
      <c r="D47" s="2">
        <f t="shared" si="0"/>
        <v>26243006.170000002</v>
      </c>
      <c r="E47" s="19">
        <f t="shared" si="10"/>
        <v>7822060.8300000001</v>
      </c>
      <c r="F47" s="2">
        <f t="shared" si="12"/>
        <v>625764866.78999996</v>
      </c>
      <c r="G47" s="2">
        <f t="shared" si="11"/>
        <v>599521860.62</v>
      </c>
      <c r="H47" s="14"/>
      <c r="I47" s="16"/>
    </row>
    <row r="48" spans="1:9" x14ac:dyDescent="0.25">
      <c r="A48" s="21">
        <v>42374</v>
      </c>
      <c r="B48" s="1">
        <f t="shared" si="8"/>
        <v>30</v>
      </c>
      <c r="C48" s="4">
        <f t="shared" si="9"/>
        <v>34065067</v>
      </c>
      <c r="D48" s="2">
        <f t="shared" si="0"/>
        <v>26571043.740000002</v>
      </c>
      <c r="E48" s="19">
        <f t="shared" si="10"/>
        <v>7494023.2599999998</v>
      </c>
      <c r="F48" s="2">
        <f t="shared" si="12"/>
        <v>599521860.62</v>
      </c>
      <c r="G48" s="2">
        <f t="shared" si="11"/>
        <v>572950816.88</v>
      </c>
      <c r="H48" s="14"/>
      <c r="I48" s="16"/>
    </row>
    <row r="49" spans="1:9" x14ac:dyDescent="0.25">
      <c r="A49" s="21">
        <v>42405</v>
      </c>
      <c r="B49" s="1">
        <f t="shared" si="8"/>
        <v>30</v>
      </c>
      <c r="C49" s="4">
        <f t="shared" si="9"/>
        <v>34065067</v>
      </c>
      <c r="D49" s="2">
        <f t="shared" si="0"/>
        <v>26903181.789999999</v>
      </c>
      <c r="E49" s="19">
        <f t="shared" si="10"/>
        <v>7161885.21</v>
      </c>
      <c r="F49" s="2">
        <f t="shared" si="12"/>
        <v>572950816.88</v>
      </c>
      <c r="G49" s="2">
        <f t="shared" si="11"/>
        <v>546047635.09000003</v>
      </c>
      <c r="H49" s="14"/>
      <c r="I49" s="16"/>
    </row>
    <row r="50" spans="1:9" x14ac:dyDescent="0.25">
      <c r="A50" s="21">
        <v>42434</v>
      </c>
      <c r="B50" s="1">
        <f t="shared" si="8"/>
        <v>30</v>
      </c>
      <c r="C50" s="4">
        <f t="shared" si="9"/>
        <v>34065067</v>
      </c>
      <c r="D50" s="2">
        <f t="shared" si="0"/>
        <v>27239471.559999999</v>
      </c>
      <c r="E50" s="19">
        <f t="shared" si="10"/>
        <v>6825595.4400000004</v>
      </c>
      <c r="F50" s="2">
        <f t="shared" si="12"/>
        <v>546047635.09000003</v>
      </c>
      <c r="G50" s="2">
        <f t="shared" si="11"/>
        <v>518808163.53000003</v>
      </c>
      <c r="H50" s="14"/>
      <c r="I50" s="16"/>
    </row>
    <row r="51" spans="1:9" x14ac:dyDescent="0.25">
      <c r="A51" s="21">
        <v>42465</v>
      </c>
      <c r="B51" s="1">
        <f t="shared" si="8"/>
        <v>30</v>
      </c>
      <c r="C51" s="4">
        <f t="shared" si="9"/>
        <v>34065067</v>
      </c>
      <c r="D51" s="2">
        <f t="shared" si="0"/>
        <v>27579964.960000001</v>
      </c>
      <c r="E51" s="19">
        <f t="shared" si="10"/>
        <v>6485102.04</v>
      </c>
      <c r="F51" s="2">
        <f t="shared" si="12"/>
        <v>518808163.53000003</v>
      </c>
      <c r="G51" s="2">
        <f t="shared" si="11"/>
        <v>491228198.57000005</v>
      </c>
      <c r="H51" s="14"/>
      <c r="I51" s="16"/>
    </row>
    <row r="52" spans="1:9" x14ac:dyDescent="0.25">
      <c r="A52" s="21">
        <v>42495</v>
      </c>
      <c r="B52" s="1">
        <f t="shared" si="8"/>
        <v>30</v>
      </c>
      <c r="C52" s="4">
        <f t="shared" si="9"/>
        <v>34065067</v>
      </c>
      <c r="D52" s="2">
        <f t="shared" si="0"/>
        <v>27924714.52</v>
      </c>
      <c r="E52" s="19">
        <f t="shared" si="10"/>
        <v>6140352.4800000004</v>
      </c>
      <c r="F52" s="2">
        <f t="shared" si="12"/>
        <v>491228198.57000005</v>
      </c>
      <c r="G52" s="2">
        <f t="shared" si="11"/>
        <v>463303484.05000007</v>
      </c>
      <c r="H52" s="14"/>
      <c r="I52" s="16"/>
    </row>
    <row r="53" spans="1:9" x14ac:dyDescent="0.25">
      <c r="A53" s="21">
        <v>42526</v>
      </c>
      <c r="B53" s="1">
        <f t="shared" si="8"/>
        <v>30</v>
      </c>
      <c r="C53" s="4">
        <f t="shared" si="9"/>
        <v>34065067</v>
      </c>
      <c r="D53" s="2">
        <f t="shared" si="0"/>
        <v>28273773.449999999</v>
      </c>
      <c r="E53" s="19">
        <f t="shared" si="10"/>
        <v>5791293.5499999998</v>
      </c>
      <c r="F53" s="2">
        <f t="shared" si="12"/>
        <v>463303484.05000007</v>
      </c>
      <c r="G53" s="2">
        <f t="shared" si="11"/>
        <v>435029710.60000008</v>
      </c>
      <c r="H53" s="14"/>
      <c r="I53" s="16"/>
    </row>
    <row r="54" spans="1:9" x14ac:dyDescent="0.25">
      <c r="A54" s="21">
        <v>42556</v>
      </c>
      <c r="B54" s="1">
        <f t="shared" si="8"/>
        <v>30</v>
      </c>
      <c r="C54" s="4">
        <f>$D$2</f>
        <v>33626557</v>
      </c>
      <c r="D54" s="2">
        <f t="shared" si="0"/>
        <v>28258685.620000001</v>
      </c>
      <c r="E54" s="19">
        <f t="shared" si="10"/>
        <v>5367871.38</v>
      </c>
      <c r="F54" s="2">
        <f>G53-H2</f>
        <v>429429710.60000008</v>
      </c>
      <c r="G54" s="2">
        <f t="shared" si="11"/>
        <v>401171024.98000008</v>
      </c>
      <c r="H54" s="14"/>
      <c r="I54" s="16"/>
    </row>
    <row r="55" spans="1:9" x14ac:dyDescent="0.25">
      <c r="A55" s="21">
        <v>42587</v>
      </c>
      <c r="B55" s="1">
        <f t="shared" si="8"/>
        <v>30</v>
      </c>
      <c r="C55" s="4">
        <f t="shared" ref="C55:C67" si="13">$D$2</f>
        <v>33626557</v>
      </c>
      <c r="D55" s="2">
        <f t="shared" si="0"/>
        <v>28611919.190000001</v>
      </c>
      <c r="E55" s="19">
        <f t="shared" si="10"/>
        <v>5014637.8099999996</v>
      </c>
      <c r="F55" s="2">
        <f t="shared" si="12"/>
        <v>401171024.98000008</v>
      </c>
      <c r="G55" s="2">
        <f t="shared" si="11"/>
        <v>372559105.79000008</v>
      </c>
      <c r="H55" s="14"/>
      <c r="I55" s="16"/>
    </row>
    <row r="56" spans="1:9" x14ac:dyDescent="0.25">
      <c r="A56" s="21">
        <v>42618</v>
      </c>
      <c r="B56" s="1">
        <f t="shared" si="8"/>
        <v>30</v>
      </c>
      <c r="C56" s="4">
        <f t="shared" si="13"/>
        <v>33626557</v>
      </c>
      <c r="D56" s="2">
        <f t="shared" si="0"/>
        <v>28969568.18</v>
      </c>
      <c r="E56" s="19">
        <f t="shared" si="10"/>
        <v>4656988.82</v>
      </c>
      <c r="F56" s="2">
        <f t="shared" si="12"/>
        <v>372559105.79000008</v>
      </c>
      <c r="G56" s="2">
        <f t="shared" si="11"/>
        <v>343589537.61000007</v>
      </c>
      <c r="H56" s="14"/>
      <c r="I56" s="16"/>
    </row>
    <row r="57" spans="1:9" x14ac:dyDescent="0.25">
      <c r="A57" s="21">
        <v>42648</v>
      </c>
      <c r="B57" s="1">
        <f t="shared" si="8"/>
        <v>30</v>
      </c>
      <c r="C57" s="4">
        <f t="shared" si="13"/>
        <v>33626557</v>
      </c>
      <c r="D57" s="2">
        <f t="shared" si="0"/>
        <v>29331687.780000001</v>
      </c>
      <c r="E57" s="19">
        <f t="shared" si="10"/>
        <v>4294869.22</v>
      </c>
      <c r="F57" s="2">
        <f t="shared" si="12"/>
        <v>343589537.61000007</v>
      </c>
      <c r="G57" s="2">
        <f t="shared" si="11"/>
        <v>314257849.83000004</v>
      </c>
      <c r="H57" s="14"/>
      <c r="I57" s="16"/>
    </row>
    <row r="58" spans="1:9" x14ac:dyDescent="0.25">
      <c r="A58" s="21">
        <v>42679</v>
      </c>
      <c r="B58" s="1">
        <f t="shared" si="8"/>
        <v>30</v>
      </c>
      <c r="C58" s="4">
        <f t="shared" si="13"/>
        <v>33626557</v>
      </c>
      <c r="D58" s="2">
        <f t="shared" si="0"/>
        <v>29698333.879999999</v>
      </c>
      <c r="E58" s="19">
        <f t="shared" si="10"/>
        <v>3928223.12</v>
      </c>
      <c r="F58" s="2">
        <f t="shared" si="12"/>
        <v>314257849.83000004</v>
      </c>
      <c r="G58" s="2">
        <f t="shared" si="11"/>
        <v>284559515.95000005</v>
      </c>
      <c r="H58" s="14"/>
      <c r="I58" s="16"/>
    </row>
    <row r="59" spans="1:9" x14ac:dyDescent="0.25">
      <c r="A59" s="21">
        <v>42709</v>
      </c>
      <c r="B59" s="1">
        <f t="shared" si="8"/>
        <v>30</v>
      </c>
      <c r="C59" s="4">
        <f t="shared" si="13"/>
        <v>33626557</v>
      </c>
      <c r="D59" s="2">
        <f t="shared" si="0"/>
        <v>30069563.050000001</v>
      </c>
      <c r="E59" s="19">
        <f t="shared" si="10"/>
        <v>3556993.95</v>
      </c>
      <c r="F59" s="2">
        <f t="shared" si="12"/>
        <v>284559515.95000005</v>
      </c>
      <c r="G59" s="2">
        <f t="shared" si="11"/>
        <v>254489952.90000004</v>
      </c>
      <c r="H59" s="14"/>
      <c r="I59" s="16"/>
    </row>
    <row r="60" spans="1:9" x14ac:dyDescent="0.25">
      <c r="A60" s="21">
        <v>42740</v>
      </c>
      <c r="B60" s="1">
        <f t="shared" si="8"/>
        <v>30</v>
      </c>
      <c r="C60" s="4">
        <f t="shared" si="13"/>
        <v>33626557</v>
      </c>
      <c r="D60" s="2">
        <f t="shared" si="0"/>
        <v>30445432.59</v>
      </c>
      <c r="E60" s="19">
        <f t="shared" si="10"/>
        <v>3181124.41</v>
      </c>
      <c r="F60" s="2">
        <f t="shared" si="12"/>
        <v>254489952.90000004</v>
      </c>
      <c r="G60" s="2">
        <f t="shared" si="11"/>
        <v>224044520.31000003</v>
      </c>
      <c r="H60" s="14"/>
      <c r="I60" s="16"/>
    </row>
    <row r="61" spans="1:9" x14ac:dyDescent="0.25">
      <c r="A61" s="21">
        <v>42771</v>
      </c>
      <c r="B61" s="1">
        <f t="shared" si="8"/>
        <v>30</v>
      </c>
      <c r="C61" s="4">
        <f t="shared" si="13"/>
        <v>33626557</v>
      </c>
      <c r="D61" s="2">
        <f t="shared" si="0"/>
        <v>30826000.5</v>
      </c>
      <c r="E61" s="19">
        <f t="shared" si="10"/>
        <v>2800556.5</v>
      </c>
      <c r="F61" s="2">
        <f t="shared" si="12"/>
        <v>224044520.31000003</v>
      </c>
      <c r="G61" s="2">
        <f t="shared" si="11"/>
        <v>193218519.81000003</v>
      </c>
      <c r="H61" s="14"/>
      <c r="I61" s="16"/>
    </row>
    <row r="62" spans="1:9" x14ac:dyDescent="0.25">
      <c r="A62" s="21">
        <v>42799</v>
      </c>
      <c r="B62" s="1">
        <f t="shared" si="8"/>
        <v>30</v>
      </c>
      <c r="C62" s="4">
        <f t="shared" si="13"/>
        <v>33626557</v>
      </c>
      <c r="D62" s="2">
        <f t="shared" si="0"/>
        <v>31211325.5</v>
      </c>
      <c r="E62" s="19">
        <f t="shared" si="10"/>
        <v>2415231.5</v>
      </c>
      <c r="F62" s="2">
        <f t="shared" si="12"/>
        <v>193218519.81000003</v>
      </c>
      <c r="G62" s="2">
        <f t="shared" si="11"/>
        <v>162007194.31000003</v>
      </c>
      <c r="H62" s="14"/>
      <c r="I62" s="16"/>
    </row>
    <row r="63" spans="1:9" x14ac:dyDescent="0.25">
      <c r="A63" s="21">
        <v>42830</v>
      </c>
      <c r="B63" s="1">
        <f t="shared" si="8"/>
        <v>30</v>
      </c>
      <c r="C63" s="4">
        <f t="shared" si="13"/>
        <v>33626557</v>
      </c>
      <c r="D63" s="2">
        <f t="shared" si="0"/>
        <v>31601467.07</v>
      </c>
      <c r="E63" s="19">
        <f t="shared" si="10"/>
        <v>2025089.93</v>
      </c>
      <c r="F63" s="2">
        <f t="shared" si="12"/>
        <v>162007194.31000003</v>
      </c>
      <c r="G63" s="2">
        <f t="shared" si="11"/>
        <v>130405727.24000004</v>
      </c>
      <c r="H63" s="14"/>
      <c r="I63" s="16"/>
    </row>
    <row r="64" spans="1:9" x14ac:dyDescent="0.25">
      <c r="A64" s="21">
        <v>42860</v>
      </c>
      <c r="B64" s="1">
        <f t="shared" si="8"/>
        <v>30</v>
      </c>
      <c r="C64" s="4">
        <f t="shared" si="13"/>
        <v>33626557</v>
      </c>
      <c r="D64" s="2">
        <f t="shared" si="0"/>
        <v>31996485.41</v>
      </c>
      <c r="E64" s="19">
        <f t="shared" si="10"/>
        <v>1630071.59</v>
      </c>
      <c r="F64" s="2">
        <f t="shared" si="12"/>
        <v>130405727.24000004</v>
      </c>
      <c r="G64" s="2">
        <f t="shared" si="11"/>
        <v>98409241.830000043</v>
      </c>
      <c r="H64" s="14"/>
      <c r="I64" s="16"/>
    </row>
    <row r="65" spans="1:9" x14ac:dyDescent="0.25">
      <c r="A65" s="21">
        <v>42891</v>
      </c>
      <c r="B65" s="1">
        <f t="shared" si="8"/>
        <v>30</v>
      </c>
      <c r="C65" s="4">
        <f t="shared" si="13"/>
        <v>33626557</v>
      </c>
      <c r="D65" s="2">
        <f t="shared" si="0"/>
        <v>32396441.48</v>
      </c>
      <c r="E65" s="19">
        <f t="shared" si="10"/>
        <v>1230115.52</v>
      </c>
      <c r="F65" s="2">
        <f t="shared" si="12"/>
        <v>98409241.830000043</v>
      </c>
      <c r="G65" s="2">
        <f t="shared" si="11"/>
        <v>66012800.350000039</v>
      </c>
      <c r="H65" s="14"/>
      <c r="I65" s="16"/>
    </row>
    <row r="66" spans="1:9" x14ac:dyDescent="0.25">
      <c r="A66" s="21">
        <v>42921</v>
      </c>
      <c r="B66" s="1">
        <f t="shared" si="8"/>
        <v>30</v>
      </c>
      <c r="C66" s="4">
        <f t="shared" si="13"/>
        <v>33626557</v>
      </c>
      <c r="D66" s="2">
        <f t="shared" si="0"/>
        <v>32801397</v>
      </c>
      <c r="E66" s="19">
        <f t="shared" si="10"/>
        <v>825160</v>
      </c>
      <c r="F66" s="2">
        <f t="shared" si="12"/>
        <v>66012800.350000039</v>
      </c>
      <c r="G66" s="2">
        <f t="shared" si="11"/>
        <v>33211403.350000039</v>
      </c>
      <c r="H66" s="14"/>
      <c r="I66" s="16"/>
    </row>
    <row r="67" spans="1:9" x14ac:dyDescent="0.25">
      <c r="A67" s="21">
        <v>42952</v>
      </c>
      <c r="B67" s="1">
        <f t="shared" si="8"/>
        <v>30</v>
      </c>
      <c r="C67" s="4">
        <f t="shared" si="13"/>
        <v>33626557</v>
      </c>
      <c r="D67" s="2">
        <f t="shared" si="0"/>
        <v>33211403.350000039</v>
      </c>
      <c r="E67" s="19">
        <v>415153.64999996213</v>
      </c>
      <c r="F67" s="2">
        <f t="shared" si="12"/>
        <v>33211403.350000039</v>
      </c>
      <c r="G67" s="2">
        <f t="shared" si="11"/>
        <v>0</v>
      </c>
      <c r="H67" s="14"/>
      <c r="I67" s="16"/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357EE9-B08E-444D-B927-D125F7B10DA2}">
  <dimension ref="A1:U3"/>
  <sheetViews>
    <sheetView workbookViewId="0">
      <selection activeCell="S3" sqref="S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131.710937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0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343</v>
      </c>
      <c r="P2" s="20" t="s">
        <v>45</v>
      </c>
      <c r="Q2" s="20" t="s">
        <v>46</v>
      </c>
      <c r="R2" s="20" t="s">
        <v>342</v>
      </c>
      <c r="S2" s="20" t="s">
        <v>45</v>
      </c>
      <c r="T2" s="20" t="s">
        <v>46</v>
      </c>
      <c r="U2" s="9" t="s">
        <v>360</v>
      </c>
    </row>
    <row r="3" spans="1:21" x14ac:dyDescent="0.25">
      <c r="A3" s="12" t="s">
        <v>0</v>
      </c>
      <c r="B3" s="7" t="s">
        <v>9</v>
      </c>
      <c r="C3" s="7" t="s">
        <v>39</v>
      </c>
      <c r="D3" s="8" t="s">
        <v>40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0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343</v>
      </c>
      <c r="P3" s="20" t="s">
        <v>45</v>
      </c>
      <c r="Q3" s="20" t="s">
        <v>46</v>
      </c>
      <c r="R3" s="20" t="s">
        <v>342</v>
      </c>
      <c r="S3" s="20" t="s">
        <v>45</v>
      </c>
      <c r="T3" s="20" t="s">
        <v>46</v>
      </c>
      <c r="U3" s="9" t="s">
        <v>361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4DE7323-CDF7-43BC-9A50-2809AC1DD5E4}">
  <dimension ref="A1:M59"/>
  <sheetViews>
    <sheetView zoomScale="96" zoomScaleNormal="100" workbookViewId="0">
      <pane ySplit="3" topLeftCell="A30" activePane="bottomLeft" state="frozen"/>
      <selection activeCell="S3" sqref="S3"/>
      <selection pane="bottomLeft" activeCell="S3" sqref="S3"/>
    </sheetView>
  </sheetViews>
  <sheetFormatPr defaultRowHeight="15" x14ac:dyDescent="0.25"/>
  <cols>
    <col min="1" max="1" width="16.5703125" bestFit="1" customWidth="1"/>
    <col min="2" max="2" width="13" bestFit="1" customWidth="1"/>
    <col min="3" max="5" width="15.140625" bestFit="1" customWidth="1"/>
    <col min="6" max="7" width="16.28515625" bestFit="1" customWidth="1"/>
    <col min="8" max="8" width="15.7109375" bestFit="1" customWidth="1"/>
    <col min="9" max="9" width="10" bestFit="1" customWidth="1"/>
    <col min="10" max="10" width="15.140625" bestFit="1" customWidth="1"/>
    <col min="11" max="11" width="14.7109375" bestFit="1" customWidth="1"/>
    <col min="12" max="12" width="13.28515625" bestFit="1" customWidth="1"/>
    <col min="13" max="13" width="11.28515625" bestFit="1" customWidth="1"/>
  </cols>
  <sheetData>
    <row r="1" spans="1:13" x14ac:dyDescent="0.25">
      <c r="A1" s="17" t="s">
        <v>33</v>
      </c>
      <c r="B1" s="78">
        <v>41855</v>
      </c>
      <c r="C1" s="17" t="s">
        <v>355</v>
      </c>
      <c r="D1" s="124" t="s">
        <v>347</v>
      </c>
      <c r="E1" s="124" t="s">
        <v>354</v>
      </c>
      <c r="F1" s="124" t="s">
        <v>345</v>
      </c>
      <c r="G1" s="124" t="s">
        <v>349</v>
      </c>
      <c r="H1" s="124" t="s">
        <v>350</v>
      </c>
      <c r="I1" s="132" t="s">
        <v>346</v>
      </c>
      <c r="J1" s="132" t="s">
        <v>352</v>
      </c>
      <c r="K1" s="132" t="s">
        <v>344</v>
      </c>
      <c r="L1" s="132" t="s">
        <v>348</v>
      </c>
      <c r="M1" s="133" t="s">
        <v>351</v>
      </c>
    </row>
    <row r="2" spans="1:13" x14ac:dyDescent="0.25">
      <c r="A2" s="17" t="s">
        <v>353</v>
      </c>
      <c r="B2" s="18">
        <v>0.15</v>
      </c>
      <c r="C2" s="17">
        <f>ROUNDUP(34326798.9648496,0)</f>
        <v>34326799</v>
      </c>
      <c r="D2" s="125">
        <v>42416</v>
      </c>
      <c r="E2" s="126">
        <f>ROUNDUP(33979086.1905556,0)</f>
        <v>33979087</v>
      </c>
      <c r="F2" s="127">
        <v>5600000</v>
      </c>
      <c r="G2" s="124">
        <f>D2-A41</f>
        <v>11</v>
      </c>
      <c r="H2" s="124">
        <f>A42-D2</f>
        <v>18</v>
      </c>
      <c r="I2" s="134">
        <v>42804</v>
      </c>
      <c r="J2" s="135">
        <f>ROUNDUP(32818836.4400086,0)</f>
        <v>32818837</v>
      </c>
      <c r="K2" s="136">
        <v>5600000</v>
      </c>
      <c r="L2" s="133">
        <f>I2-A54</f>
        <v>5</v>
      </c>
      <c r="M2" s="133">
        <f>A55-I2</f>
        <v>26</v>
      </c>
    </row>
    <row r="3" spans="1:13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23" t="s">
        <v>36</v>
      </c>
    </row>
    <row r="4" spans="1:13" x14ac:dyDescent="0.25">
      <c r="A4" s="29">
        <v>41856</v>
      </c>
      <c r="B4" s="1">
        <f>_xlfn.DAYS(A4,B1)</f>
        <v>1</v>
      </c>
      <c r="C4" s="10" t="s">
        <v>28</v>
      </c>
      <c r="D4" s="3" t="s">
        <v>15</v>
      </c>
      <c r="E4" s="19">
        <f>ROUNDUP(F4*$B$2*B4/365,0)</f>
        <v>406850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-0.68493150686845183</v>
      </c>
    </row>
    <row r="5" spans="1:13" x14ac:dyDescent="0.25">
      <c r="A5" s="29">
        <v>41887</v>
      </c>
      <c r="B5" s="1">
        <f>_xlfn.DAYS(A5,A4)</f>
        <v>31</v>
      </c>
      <c r="C5" s="4">
        <f>$C$2</f>
        <v>34326799</v>
      </c>
      <c r="D5" s="2">
        <f t="shared" ref="D5:D40" si="0">C5-E5</f>
        <v>21714470.23</v>
      </c>
      <c r="E5" s="19">
        <f>ROUND(F5*$B$2*B5/365,2)</f>
        <v>12612328.77</v>
      </c>
      <c r="F5" s="2">
        <f>G4</f>
        <v>990000000</v>
      </c>
      <c r="G5" s="2">
        <f>F5-D5</f>
        <v>968285529.76999998</v>
      </c>
      <c r="H5" s="14">
        <f t="shared" ref="H5:H33" si="1">F5*$B$2*B5/365</f>
        <v>12612328.767123288</v>
      </c>
      <c r="I5" s="16">
        <f t="shared" ref="I5:I33" si="2">H5-E5</f>
        <v>-2.8767120093107224E-3</v>
      </c>
    </row>
    <row r="6" spans="1:13" x14ac:dyDescent="0.25">
      <c r="A6" s="29">
        <v>41917</v>
      </c>
      <c r="B6" s="1">
        <f t="shared" ref="B6:B40" si="3">_xlfn.DAYS(A6,A5)</f>
        <v>30</v>
      </c>
      <c r="C6" s="4">
        <f t="shared" ref="C6:C41" si="4">$C$2</f>
        <v>34326799</v>
      </c>
      <c r="D6" s="2">
        <f t="shared" si="0"/>
        <v>22389032.189999998</v>
      </c>
      <c r="E6" s="19">
        <f t="shared" ref="E6:E39" si="5">ROUND(F6*$B$2*B6/365,2)</f>
        <v>11937766.810000001</v>
      </c>
      <c r="F6" s="2">
        <f t="shared" ref="F6:F40" si="6">G5</f>
        <v>968285529.76999998</v>
      </c>
      <c r="G6" s="2">
        <f t="shared" ref="G6:G40" si="7">F6-D6</f>
        <v>945896497.57999992</v>
      </c>
      <c r="H6" s="14">
        <f t="shared" si="1"/>
        <v>11937766.805383561</v>
      </c>
      <c r="I6" s="16">
        <f t="shared" si="2"/>
        <v>-4.6164393424987793E-3</v>
      </c>
    </row>
    <row r="7" spans="1:13" x14ac:dyDescent="0.25">
      <c r="A7" s="29">
        <v>41948</v>
      </c>
      <c r="B7" s="1">
        <f t="shared" si="3"/>
        <v>31</v>
      </c>
      <c r="C7" s="4">
        <f t="shared" si="4"/>
        <v>34326799</v>
      </c>
      <c r="D7" s="2">
        <f t="shared" si="0"/>
        <v>22276336.77</v>
      </c>
      <c r="E7" s="19">
        <f t="shared" si="5"/>
        <v>12050462.23</v>
      </c>
      <c r="F7" s="2">
        <f t="shared" si="6"/>
        <v>945896497.57999992</v>
      </c>
      <c r="G7" s="2">
        <f t="shared" si="7"/>
        <v>923620160.80999994</v>
      </c>
      <c r="H7" s="14">
        <f t="shared" si="1"/>
        <v>12050462.229443835</v>
      </c>
      <c r="I7" s="16">
        <f t="shared" si="2"/>
        <v>-5.5616535246372223E-4</v>
      </c>
    </row>
    <row r="8" spans="1:13" x14ac:dyDescent="0.25">
      <c r="A8" s="29">
        <v>41978</v>
      </c>
      <c r="B8" s="1">
        <f t="shared" si="3"/>
        <v>30</v>
      </c>
      <c r="C8" s="4">
        <f t="shared" si="4"/>
        <v>34326799</v>
      </c>
      <c r="D8" s="2">
        <f t="shared" si="0"/>
        <v>22939701.130000003</v>
      </c>
      <c r="E8" s="19">
        <f t="shared" si="5"/>
        <v>11387097.869999999</v>
      </c>
      <c r="F8" s="2">
        <f t="shared" si="6"/>
        <v>923620160.80999994</v>
      </c>
      <c r="G8" s="2">
        <f t="shared" si="7"/>
        <v>900680459.67999995</v>
      </c>
      <c r="H8" s="14">
        <f t="shared" si="1"/>
        <v>11387097.872999998</v>
      </c>
      <c r="I8" s="16">
        <f t="shared" si="2"/>
        <v>2.9999986290931702E-3</v>
      </c>
    </row>
    <row r="9" spans="1:13" x14ac:dyDescent="0.25">
      <c r="A9" s="29">
        <v>42009</v>
      </c>
      <c r="B9" s="1">
        <f t="shared" si="3"/>
        <v>31</v>
      </c>
      <c r="C9" s="4">
        <f t="shared" si="4"/>
        <v>34326799</v>
      </c>
      <c r="D9" s="2">
        <f t="shared" si="0"/>
        <v>22852376.710000001</v>
      </c>
      <c r="E9" s="19">
        <f t="shared" si="5"/>
        <v>11474422.289999999</v>
      </c>
      <c r="F9" s="2">
        <f t="shared" si="6"/>
        <v>900680459.67999995</v>
      </c>
      <c r="G9" s="2">
        <f t="shared" si="7"/>
        <v>877828082.96999991</v>
      </c>
      <c r="H9" s="14">
        <f t="shared" si="1"/>
        <v>11474422.294553423</v>
      </c>
      <c r="I9" s="16">
        <f t="shared" si="2"/>
        <v>4.5534241944551468E-3</v>
      </c>
    </row>
    <row r="10" spans="1:13" x14ac:dyDescent="0.25">
      <c r="A10" s="29">
        <v>42040</v>
      </c>
      <c r="B10" s="1">
        <f t="shared" si="3"/>
        <v>31</v>
      </c>
      <c r="C10" s="4">
        <f t="shared" si="4"/>
        <v>34326799</v>
      </c>
      <c r="D10" s="2">
        <f t="shared" si="0"/>
        <v>23143509.719999999</v>
      </c>
      <c r="E10" s="19">
        <f t="shared" si="5"/>
        <v>11183289.279999999</v>
      </c>
      <c r="F10" s="2">
        <f t="shared" si="6"/>
        <v>877828082.96999991</v>
      </c>
      <c r="G10" s="2">
        <f t="shared" si="7"/>
        <v>854684573.24999988</v>
      </c>
      <c r="H10" s="14">
        <f t="shared" si="1"/>
        <v>11183289.276193149</v>
      </c>
      <c r="I10" s="16">
        <f t="shared" si="2"/>
        <v>-3.80684994161129E-3</v>
      </c>
    </row>
    <row r="11" spans="1:13" x14ac:dyDescent="0.25">
      <c r="A11" s="29">
        <v>42068</v>
      </c>
      <c r="B11" s="1">
        <f t="shared" si="3"/>
        <v>28</v>
      </c>
      <c r="C11" s="4">
        <f t="shared" si="4"/>
        <v>34326799</v>
      </c>
      <c r="D11" s="2">
        <f t="shared" si="0"/>
        <v>24492072.399999999</v>
      </c>
      <c r="E11" s="19">
        <f t="shared" si="5"/>
        <v>9834726.5999999996</v>
      </c>
      <c r="F11" s="2">
        <f t="shared" si="6"/>
        <v>854684573.24999988</v>
      </c>
      <c r="G11" s="2">
        <f t="shared" si="7"/>
        <v>830192500.8499999</v>
      </c>
      <c r="H11" s="14">
        <f t="shared" si="1"/>
        <v>9834726.5963013694</v>
      </c>
      <c r="I11" s="16">
        <f t="shared" si="2"/>
        <v>-3.6986302584409714E-3</v>
      </c>
    </row>
    <row r="12" spans="1:13" x14ac:dyDescent="0.25">
      <c r="A12" s="29">
        <v>42099</v>
      </c>
      <c r="B12" s="1">
        <f t="shared" si="3"/>
        <v>31</v>
      </c>
      <c r="C12" s="4">
        <f t="shared" si="4"/>
        <v>34326799</v>
      </c>
      <c r="D12" s="2">
        <f t="shared" si="0"/>
        <v>23750373.990000002</v>
      </c>
      <c r="E12" s="19">
        <f t="shared" si="5"/>
        <v>10576425.01</v>
      </c>
      <c r="F12" s="2">
        <f t="shared" si="6"/>
        <v>830192500.8499999</v>
      </c>
      <c r="G12" s="2">
        <f t="shared" si="7"/>
        <v>806442126.8599999</v>
      </c>
      <c r="H12" s="14">
        <f t="shared" si="1"/>
        <v>10576425.010828765</v>
      </c>
      <c r="I12" s="16">
        <f t="shared" si="2"/>
        <v>8.2876533269882202E-4</v>
      </c>
    </row>
    <row r="13" spans="1:13" x14ac:dyDescent="0.25">
      <c r="A13" s="29">
        <v>42129</v>
      </c>
      <c r="B13" s="1">
        <f t="shared" si="3"/>
        <v>30</v>
      </c>
      <c r="C13" s="4">
        <f t="shared" si="4"/>
        <v>34326799</v>
      </c>
      <c r="D13" s="2">
        <f t="shared" si="0"/>
        <v>24384361.82</v>
      </c>
      <c r="E13" s="19">
        <f t="shared" si="5"/>
        <v>9942437.1799999997</v>
      </c>
      <c r="F13" s="2">
        <f t="shared" si="6"/>
        <v>806442126.8599999</v>
      </c>
      <c r="G13" s="2">
        <f t="shared" si="7"/>
        <v>782057765.03999984</v>
      </c>
      <c r="H13" s="14">
        <f t="shared" si="1"/>
        <v>9942437.1804657523</v>
      </c>
      <c r="I13" s="16">
        <f t="shared" si="2"/>
        <v>4.6575255692005157E-4</v>
      </c>
    </row>
    <row r="14" spans="1:13" x14ac:dyDescent="0.25">
      <c r="A14" s="29">
        <v>42160</v>
      </c>
      <c r="B14" s="1">
        <f t="shared" si="3"/>
        <v>31</v>
      </c>
      <c r="C14" s="4">
        <f t="shared" si="4"/>
        <v>34326799</v>
      </c>
      <c r="D14" s="2">
        <f t="shared" si="0"/>
        <v>24363597.34</v>
      </c>
      <c r="E14" s="19">
        <f t="shared" si="5"/>
        <v>9963201.6600000001</v>
      </c>
      <c r="F14" s="2">
        <f t="shared" si="6"/>
        <v>782057765.03999984</v>
      </c>
      <c r="G14" s="2">
        <f t="shared" si="7"/>
        <v>757694167.69999981</v>
      </c>
      <c r="H14" s="14">
        <f t="shared" si="1"/>
        <v>9963201.6642082166</v>
      </c>
      <c r="I14" s="16">
        <f t="shared" si="2"/>
        <v>4.2082164436578751E-3</v>
      </c>
    </row>
    <row r="15" spans="1:13" x14ac:dyDescent="0.25">
      <c r="A15" s="29">
        <v>42190</v>
      </c>
      <c r="B15" s="1">
        <f t="shared" si="3"/>
        <v>30</v>
      </c>
      <c r="C15" s="4">
        <f t="shared" si="4"/>
        <v>34326799</v>
      </c>
      <c r="D15" s="2">
        <f t="shared" si="0"/>
        <v>24985364.060000002</v>
      </c>
      <c r="E15" s="19">
        <f t="shared" si="5"/>
        <v>9341434.9399999995</v>
      </c>
      <c r="F15" s="2">
        <f t="shared" si="6"/>
        <v>757694167.69999981</v>
      </c>
      <c r="G15" s="2">
        <f t="shared" si="7"/>
        <v>732708803.63999987</v>
      </c>
      <c r="H15" s="14">
        <f t="shared" si="1"/>
        <v>9341434.9442465734</v>
      </c>
      <c r="I15" s="16">
        <f t="shared" si="2"/>
        <v>4.2465738952159882E-3</v>
      </c>
    </row>
    <row r="16" spans="1:13" x14ac:dyDescent="0.25">
      <c r="A16" s="29">
        <v>42221</v>
      </c>
      <c r="B16" s="1">
        <f t="shared" si="3"/>
        <v>31</v>
      </c>
      <c r="C16" s="4">
        <f t="shared" si="4"/>
        <v>34326799</v>
      </c>
      <c r="D16" s="2">
        <f t="shared" si="0"/>
        <v>24992289.579999998</v>
      </c>
      <c r="E16" s="19">
        <f t="shared" si="5"/>
        <v>9334509.4199999999</v>
      </c>
      <c r="F16" s="2">
        <f t="shared" si="6"/>
        <v>732708803.63999987</v>
      </c>
      <c r="G16" s="2">
        <f t="shared" si="7"/>
        <v>707716514.05999982</v>
      </c>
      <c r="H16" s="14">
        <f t="shared" si="1"/>
        <v>9334509.4162356146</v>
      </c>
      <c r="I16" s="16">
        <f t="shared" si="2"/>
        <v>-3.7643853574991226E-3</v>
      </c>
    </row>
    <row r="17" spans="1:9" x14ac:dyDescent="0.25">
      <c r="A17" s="29">
        <v>42252</v>
      </c>
      <c r="B17" s="1">
        <f t="shared" si="3"/>
        <v>31</v>
      </c>
      <c r="C17" s="4">
        <f t="shared" si="4"/>
        <v>34326799</v>
      </c>
      <c r="D17" s="2">
        <f t="shared" si="0"/>
        <v>25310684.509999998</v>
      </c>
      <c r="E17" s="19">
        <f t="shared" si="5"/>
        <v>9016114.4900000002</v>
      </c>
      <c r="F17" s="2">
        <f t="shared" si="6"/>
        <v>707716514.05999982</v>
      </c>
      <c r="G17" s="2">
        <f t="shared" si="7"/>
        <v>682405829.54999983</v>
      </c>
      <c r="H17" s="14">
        <f t="shared" si="1"/>
        <v>9016114.494189037</v>
      </c>
      <c r="I17" s="16">
        <f t="shared" si="2"/>
        <v>4.1890367865562439E-3</v>
      </c>
    </row>
    <row r="18" spans="1:9" x14ac:dyDescent="0.25">
      <c r="A18" s="29">
        <v>42282</v>
      </c>
      <c r="B18" s="1">
        <f t="shared" si="3"/>
        <v>30</v>
      </c>
      <c r="C18" s="4">
        <f t="shared" si="4"/>
        <v>34326799</v>
      </c>
      <c r="D18" s="2">
        <f t="shared" si="0"/>
        <v>25913576.439999998</v>
      </c>
      <c r="E18" s="19">
        <f t="shared" si="5"/>
        <v>8413222.5600000005</v>
      </c>
      <c r="F18" s="2">
        <f t="shared" si="6"/>
        <v>682405829.54999983</v>
      </c>
      <c r="G18" s="2">
        <f t="shared" si="7"/>
        <v>656492253.1099999</v>
      </c>
      <c r="H18" s="14">
        <f t="shared" si="1"/>
        <v>8413222.5560958888</v>
      </c>
      <c r="I18" s="16">
        <f t="shared" si="2"/>
        <v>-3.9041116833686829E-3</v>
      </c>
    </row>
    <row r="19" spans="1:9" x14ac:dyDescent="0.25">
      <c r="A19" s="29">
        <v>42313</v>
      </c>
      <c r="B19" s="1">
        <f t="shared" si="3"/>
        <v>31</v>
      </c>
      <c r="C19" s="4">
        <f t="shared" si="4"/>
        <v>34326799</v>
      </c>
      <c r="D19" s="2">
        <f t="shared" si="0"/>
        <v>25963267.559999999</v>
      </c>
      <c r="E19" s="19">
        <f t="shared" si="5"/>
        <v>8363531.4400000004</v>
      </c>
      <c r="F19" s="2">
        <f t="shared" si="6"/>
        <v>656492253.1099999</v>
      </c>
      <c r="G19" s="2">
        <f t="shared" si="7"/>
        <v>630528985.54999995</v>
      </c>
      <c r="H19" s="14">
        <f t="shared" si="1"/>
        <v>8363531.4437301364</v>
      </c>
      <c r="I19" s="16">
        <f t="shared" si="2"/>
        <v>3.7301359698176384E-3</v>
      </c>
    </row>
    <row r="20" spans="1:9" x14ac:dyDescent="0.25">
      <c r="A20" s="29">
        <v>42343</v>
      </c>
      <c r="B20" s="1">
        <f t="shared" si="3"/>
        <v>30</v>
      </c>
      <c r="C20" s="4">
        <f t="shared" si="4"/>
        <v>34326799</v>
      </c>
      <c r="D20" s="2">
        <f t="shared" si="0"/>
        <v>26553153.969999999</v>
      </c>
      <c r="E20" s="19">
        <f t="shared" si="5"/>
        <v>7773645.0300000003</v>
      </c>
      <c r="F20" s="2">
        <f t="shared" si="6"/>
        <v>630528985.54999995</v>
      </c>
      <c r="G20" s="2">
        <f t="shared" si="7"/>
        <v>603975831.57999992</v>
      </c>
      <c r="H20" s="14">
        <f t="shared" si="1"/>
        <v>7773645.0273287669</v>
      </c>
      <c r="I20" s="16">
        <f t="shared" si="2"/>
        <v>-2.6712333783507347E-3</v>
      </c>
    </row>
    <row r="21" spans="1:9" x14ac:dyDescent="0.25">
      <c r="A21" s="29">
        <v>42374</v>
      </c>
      <c r="B21" s="1">
        <f t="shared" si="3"/>
        <v>31</v>
      </c>
      <c r="C21" s="4">
        <f t="shared" si="4"/>
        <v>34326799</v>
      </c>
      <c r="D21" s="2">
        <f t="shared" si="0"/>
        <v>26632312.379999999</v>
      </c>
      <c r="E21" s="19">
        <f t="shared" si="5"/>
        <v>7694486.6200000001</v>
      </c>
      <c r="F21" s="2">
        <f t="shared" si="6"/>
        <v>603975831.57999992</v>
      </c>
      <c r="G21" s="2">
        <f t="shared" si="7"/>
        <v>577343519.19999993</v>
      </c>
      <c r="H21" s="14">
        <f t="shared" si="1"/>
        <v>7694486.6214986295</v>
      </c>
      <c r="I21" s="16">
        <f t="shared" si="2"/>
        <v>1.4986293390393257E-3</v>
      </c>
    </row>
    <row r="22" spans="1:9" x14ac:dyDescent="0.25">
      <c r="A22" s="29">
        <v>42405</v>
      </c>
      <c r="B22" s="1">
        <f t="shared" si="3"/>
        <v>31</v>
      </c>
      <c r="C22" s="4">
        <f t="shared" si="4"/>
        <v>34326799</v>
      </c>
      <c r="D22" s="2">
        <f t="shared" si="0"/>
        <v>26971600.740000002</v>
      </c>
      <c r="E22" s="19">
        <f t="shared" si="5"/>
        <v>7355198.2599999998</v>
      </c>
      <c r="F22" s="2">
        <f t="shared" si="6"/>
        <v>577343519.19999993</v>
      </c>
      <c r="G22" s="2">
        <f t="shared" si="7"/>
        <v>550371918.45999992</v>
      </c>
      <c r="H22" s="14">
        <f t="shared" si="1"/>
        <v>7355198.258301368</v>
      </c>
      <c r="I22" s="16">
        <f t="shared" si="2"/>
        <v>-1.6986317932605743E-3</v>
      </c>
    </row>
    <row r="23" spans="1:9" x14ac:dyDescent="0.25">
      <c r="A23" s="29">
        <v>42434</v>
      </c>
      <c r="B23" s="1">
        <f t="shared" si="3"/>
        <v>29</v>
      </c>
      <c r="C23" s="4">
        <f t="shared" si="4"/>
        <v>34326799</v>
      </c>
      <c r="D23" s="2">
        <f t="shared" si="0"/>
        <v>27767572.030000001</v>
      </c>
      <c r="E23" s="19">
        <f t="shared" si="5"/>
        <v>6559226.9699999997</v>
      </c>
      <c r="F23" s="2">
        <f t="shared" si="6"/>
        <v>550371918.45999992</v>
      </c>
      <c r="G23" s="2">
        <f t="shared" si="7"/>
        <v>522604346.42999995</v>
      </c>
      <c r="H23" s="14">
        <f t="shared" si="1"/>
        <v>6559226.9734273953</v>
      </c>
      <c r="I23" s="16">
        <f t="shared" si="2"/>
        <v>3.4273955971002579E-3</v>
      </c>
    </row>
    <row r="24" spans="1:9" x14ac:dyDescent="0.25">
      <c r="A24" s="29">
        <v>42465</v>
      </c>
      <c r="B24" s="1">
        <f t="shared" si="3"/>
        <v>31</v>
      </c>
      <c r="C24" s="4">
        <f t="shared" si="4"/>
        <v>34326799</v>
      </c>
      <c r="D24" s="2">
        <f t="shared" si="0"/>
        <v>27668962.809999999</v>
      </c>
      <c r="E24" s="19">
        <f t="shared" si="5"/>
        <v>6657836.1900000004</v>
      </c>
      <c r="F24" s="2">
        <f t="shared" si="6"/>
        <v>522604346.42999995</v>
      </c>
      <c r="G24" s="2">
        <f t="shared" si="7"/>
        <v>494935383.61999995</v>
      </c>
      <c r="H24" s="14">
        <f t="shared" si="1"/>
        <v>6657836.1942452053</v>
      </c>
      <c r="I24" s="16">
        <f t="shared" si="2"/>
        <v>4.2452048510313034E-3</v>
      </c>
    </row>
    <row r="25" spans="1:9" x14ac:dyDescent="0.25">
      <c r="A25" s="29">
        <v>42495</v>
      </c>
      <c r="B25" s="1">
        <f t="shared" si="3"/>
        <v>30</v>
      </c>
      <c r="C25" s="4">
        <f t="shared" si="4"/>
        <v>34326799</v>
      </c>
      <c r="D25" s="2">
        <f t="shared" si="0"/>
        <v>28224855.91</v>
      </c>
      <c r="E25" s="19">
        <f t="shared" si="5"/>
        <v>6101943.0899999999</v>
      </c>
      <c r="F25" s="2">
        <f t="shared" si="6"/>
        <v>494935383.61999995</v>
      </c>
      <c r="G25" s="2">
        <f t="shared" si="7"/>
        <v>466710527.70999992</v>
      </c>
      <c r="H25" s="14">
        <f t="shared" si="1"/>
        <v>6101943.0857260264</v>
      </c>
      <c r="I25" s="16">
        <f t="shared" si="2"/>
        <v>-4.2739734053611755E-3</v>
      </c>
    </row>
    <row r="26" spans="1:9" x14ac:dyDescent="0.25">
      <c r="A26" s="29">
        <v>42526</v>
      </c>
      <c r="B26" s="1">
        <f t="shared" si="3"/>
        <v>31</v>
      </c>
      <c r="C26" s="4">
        <f t="shared" si="4"/>
        <v>34326799</v>
      </c>
      <c r="D26" s="2">
        <f t="shared" si="0"/>
        <v>28381034.740000002</v>
      </c>
      <c r="E26" s="19">
        <f t="shared" si="5"/>
        <v>5945764.2599999998</v>
      </c>
      <c r="F26" s="2">
        <f t="shared" si="6"/>
        <v>466710527.70999992</v>
      </c>
      <c r="G26" s="2">
        <f t="shared" si="7"/>
        <v>438329492.96999991</v>
      </c>
      <c r="H26" s="14">
        <f t="shared" si="1"/>
        <v>5945764.2571273958</v>
      </c>
      <c r="I26" s="16">
        <f t="shared" si="2"/>
        <v>-2.8726039454340935E-3</v>
      </c>
    </row>
    <row r="27" spans="1:9" x14ac:dyDescent="0.25">
      <c r="A27" s="29">
        <v>42556</v>
      </c>
      <c r="B27" s="1">
        <f t="shared" si="3"/>
        <v>30</v>
      </c>
      <c r="C27" s="4">
        <f t="shared" si="4"/>
        <v>34326799</v>
      </c>
      <c r="D27" s="2">
        <f t="shared" si="0"/>
        <v>28922736.759999998</v>
      </c>
      <c r="E27" s="19">
        <f t="shared" si="5"/>
        <v>5404062.2400000002</v>
      </c>
      <c r="F27" s="2">
        <f t="shared" si="6"/>
        <v>438329492.96999991</v>
      </c>
      <c r="G27" s="2">
        <f t="shared" si="7"/>
        <v>409406756.20999992</v>
      </c>
      <c r="H27" s="14">
        <f t="shared" si="1"/>
        <v>5404062.2420958895</v>
      </c>
      <c r="I27" s="16">
        <f t="shared" si="2"/>
        <v>2.0958893001079559E-3</v>
      </c>
    </row>
    <row r="28" spans="1:9" x14ac:dyDescent="0.25">
      <c r="A28" s="29">
        <v>42587</v>
      </c>
      <c r="B28" s="1">
        <f t="shared" si="3"/>
        <v>31</v>
      </c>
      <c r="C28" s="4">
        <f t="shared" si="4"/>
        <v>34326799</v>
      </c>
      <c r="D28" s="2">
        <f t="shared" si="0"/>
        <v>29111069.09</v>
      </c>
      <c r="E28" s="19">
        <f t="shared" si="5"/>
        <v>5215729.91</v>
      </c>
      <c r="F28" s="2">
        <f t="shared" si="6"/>
        <v>409406756.20999992</v>
      </c>
      <c r="G28" s="2">
        <f t="shared" si="7"/>
        <v>380295687.11999995</v>
      </c>
      <c r="H28" s="14">
        <f t="shared" si="1"/>
        <v>5215729.9078808213</v>
      </c>
      <c r="I28" s="16">
        <f t="shared" si="2"/>
        <v>-2.1191788837313652E-3</v>
      </c>
    </row>
    <row r="29" spans="1:9" x14ac:dyDescent="0.25">
      <c r="A29" s="29">
        <v>42618</v>
      </c>
      <c r="B29" s="1">
        <f t="shared" si="3"/>
        <v>31</v>
      </c>
      <c r="C29" s="4">
        <f t="shared" si="4"/>
        <v>34326799</v>
      </c>
      <c r="D29" s="2">
        <f t="shared" si="0"/>
        <v>29481936.140000001</v>
      </c>
      <c r="E29" s="19">
        <f t="shared" si="5"/>
        <v>4844862.8600000003</v>
      </c>
      <c r="F29" s="2">
        <f t="shared" si="6"/>
        <v>380295687.11999995</v>
      </c>
      <c r="G29" s="2">
        <f t="shared" si="7"/>
        <v>350813750.97999996</v>
      </c>
      <c r="H29" s="14">
        <f t="shared" si="1"/>
        <v>4844862.8633095883</v>
      </c>
      <c r="I29" s="16">
        <f t="shared" si="2"/>
        <v>3.3095879480242729E-3</v>
      </c>
    </row>
    <row r="30" spans="1:9" x14ac:dyDescent="0.25">
      <c r="A30" s="29">
        <v>42648</v>
      </c>
      <c r="B30" s="1">
        <f t="shared" si="3"/>
        <v>30</v>
      </c>
      <c r="C30" s="4">
        <f t="shared" si="4"/>
        <v>34326799</v>
      </c>
      <c r="D30" s="2">
        <f t="shared" si="0"/>
        <v>30001697.960000001</v>
      </c>
      <c r="E30" s="19">
        <f t="shared" si="5"/>
        <v>4325101.04</v>
      </c>
      <c r="F30" s="2">
        <f t="shared" si="6"/>
        <v>350813750.97999996</v>
      </c>
      <c r="G30" s="2">
        <f t="shared" si="7"/>
        <v>320812053.01999998</v>
      </c>
      <c r="H30" s="14">
        <f t="shared" si="1"/>
        <v>4325101.0394794513</v>
      </c>
      <c r="I30" s="16">
        <f t="shared" si="2"/>
        <v>-5.2054878324270248E-4</v>
      </c>
    </row>
    <row r="31" spans="1:9" x14ac:dyDescent="0.25">
      <c r="A31" s="29">
        <v>42679</v>
      </c>
      <c r="B31" s="1">
        <f t="shared" si="3"/>
        <v>31</v>
      </c>
      <c r="C31" s="4">
        <f t="shared" si="4"/>
        <v>34326799</v>
      </c>
      <c r="D31" s="2">
        <f t="shared" si="0"/>
        <v>30239741.34</v>
      </c>
      <c r="E31" s="19">
        <f t="shared" si="5"/>
        <v>4087057.66</v>
      </c>
      <c r="F31" s="2">
        <f t="shared" si="6"/>
        <v>320812053.01999998</v>
      </c>
      <c r="G31" s="2">
        <f t="shared" si="7"/>
        <v>290572311.68000001</v>
      </c>
      <c r="H31" s="14">
        <f t="shared" si="1"/>
        <v>4087057.6617616434</v>
      </c>
      <c r="I31" s="16">
        <f t="shared" si="2"/>
        <v>1.7616432160139084E-3</v>
      </c>
    </row>
    <row r="32" spans="1:9" x14ac:dyDescent="0.25">
      <c r="A32" s="29">
        <v>42709</v>
      </c>
      <c r="B32" s="1">
        <f t="shared" si="3"/>
        <v>30</v>
      </c>
      <c r="C32" s="4">
        <f t="shared" si="4"/>
        <v>34326799</v>
      </c>
      <c r="D32" s="2">
        <f t="shared" si="0"/>
        <v>30744400.640000001</v>
      </c>
      <c r="E32" s="19">
        <f t="shared" si="5"/>
        <v>3582398.36</v>
      </c>
      <c r="F32" s="2">
        <f t="shared" si="6"/>
        <v>290572311.68000001</v>
      </c>
      <c r="G32" s="2">
        <f t="shared" si="7"/>
        <v>259827911.04000002</v>
      </c>
      <c r="H32" s="14">
        <f t="shared" si="1"/>
        <v>3582398.3631780818</v>
      </c>
      <c r="I32" s="16">
        <f t="shared" si="2"/>
        <v>3.1780819408595562E-3</v>
      </c>
    </row>
    <row r="33" spans="1:9" x14ac:dyDescent="0.25">
      <c r="A33" s="29">
        <v>42740</v>
      </c>
      <c r="B33" s="1">
        <f t="shared" si="3"/>
        <v>31</v>
      </c>
      <c r="C33" s="4">
        <f t="shared" si="4"/>
        <v>34326799</v>
      </c>
      <c r="D33" s="2">
        <f t="shared" si="0"/>
        <v>31016662.600000001</v>
      </c>
      <c r="E33" s="19">
        <f t="shared" si="5"/>
        <v>3310136.4</v>
      </c>
      <c r="F33" s="2">
        <f t="shared" si="6"/>
        <v>259827911.04000002</v>
      </c>
      <c r="G33" s="2">
        <f t="shared" si="7"/>
        <v>228811248.44000003</v>
      </c>
      <c r="H33" s="14">
        <f t="shared" si="1"/>
        <v>3310136.4009205485</v>
      </c>
      <c r="I33" s="16">
        <f t="shared" si="2"/>
        <v>9.2054856941103935E-4</v>
      </c>
    </row>
    <row r="34" spans="1:9" x14ac:dyDescent="0.25">
      <c r="A34" s="29">
        <v>42771</v>
      </c>
      <c r="B34" s="1">
        <f t="shared" si="3"/>
        <v>31</v>
      </c>
      <c r="C34" s="4">
        <f t="shared" si="4"/>
        <v>34326799</v>
      </c>
      <c r="D34" s="2">
        <f t="shared" si="0"/>
        <v>31411806.379999999</v>
      </c>
      <c r="E34" s="19">
        <f t="shared" si="5"/>
        <v>2914992.62</v>
      </c>
      <c r="F34" s="2">
        <f t="shared" si="6"/>
        <v>228811248.44000003</v>
      </c>
      <c r="G34" s="2">
        <f t="shared" si="7"/>
        <v>197399442.06000003</v>
      </c>
      <c r="H34" s="14"/>
      <c r="I34" s="16"/>
    </row>
    <row r="35" spans="1:9" x14ac:dyDescent="0.25">
      <c r="A35" s="29">
        <v>42799</v>
      </c>
      <c r="B35" s="1">
        <f t="shared" si="3"/>
        <v>28</v>
      </c>
      <c r="C35" s="4">
        <f t="shared" si="4"/>
        <v>34326799</v>
      </c>
      <c r="D35" s="2">
        <f t="shared" si="0"/>
        <v>32055353.370000001</v>
      </c>
      <c r="E35" s="19">
        <f t="shared" si="5"/>
        <v>2271445.63</v>
      </c>
      <c r="F35" s="2">
        <f t="shared" si="6"/>
        <v>197399442.06000003</v>
      </c>
      <c r="G35" s="2">
        <f t="shared" si="7"/>
        <v>165344088.69000003</v>
      </c>
      <c r="H35" s="14"/>
      <c r="I35" s="16"/>
    </row>
    <row r="36" spans="1:9" x14ac:dyDescent="0.25">
      <c r="A36" s="29">
        <v>42830</v>
      </c>
      <c r="B36" s="1">
        <f t="shared" si="3"/>
        <v>31</v>
      </c>
      <c r="C36" s="4">
        <f t="shared" si="4"/>
        <v>34326799</v>
      </c>
      <c r="D36" s="2">
        <f t="shared" si="0"/>
        <v>32220360.609999999</v>
      </c>
      <c r="E36" s="19">
        <f t="shared" si="5"/>
        <v>2106438.39</v>
      </c>
      <c r="F36" s="2">
        <f t="shared" si="6"/>
        <v>165344088.69000003</v>
      </c>
      <c r="G36" s="2">
        <f t="shared" si="7"/>
        <v>133123728.08000003</v>
      </c>
      <c r="H36" s="14"/>
      <c r="I36" s="16"/>
    </row>
    <row r="37" spans="1:9" x14ac:dyDescent="0.25">
      <c r="A37" s="29">
        <v>42860</v>
      </c>
      <c r="B37" s="1">
        <f t="shared" si="3"/>
        <v>30</v>
      </c>
      <c r="C37" s="4">
        <f t="shared" si="4"/>
        <v>34326799</v>
      </c>
      <c r="D37" s="2">
        <f t="shared" si="0"/>
        <v>32685547.559999999</v>
      </c>
      <c r="E37" s="19">
        <f t="shared" si="5"/>
        <v>1641251.44</v>
      </c>
      <c r="F37" s="2">
        <f t="shared" si="6"/>
        <v>133123728.08000003</v>
      </c>
      <c r="G37" s="2">
        <f t="shared" si="7"/>
        <v>100438180.52000003</v>
      </c>
      <c r="H37" s="14"/>
      <c r="I37" s="16"/>
    </row>
    <row r="38" spans="1:9" x14ac:dyDescent="0.25">
      <c r="A38" s="29">
        <v>42891</v>
      </c>
      <c r="B38" s="1">
        <f t="shared" si="3"/>
        <v>31</v>
      </c>
      <c r="C38" s="4">
        <f t="shared" si="4"/>
        <v>34326799</v>
      </c>
      <c r="D38" s="2">
        <f t="shared" si="0"/>
        <v>33047244.100000001</v>
      </c>
      <c r="E38" s="19">
        <f t="shared" si="5"/>
        <v>1279554.8999999999</v>
      </c>
      <c r="F38" s="2">
        <f t="shared" si="6"/>
        <v>100438180.52000003</v>
      </c>
      <c r="G38" s="2">
        <f t="shared" si="7"/>
        <v>67390936.420000017</v>
      </c>
      <c r="H38" s="14"/>
      <c r="I38" s="16"/>
    </row>
    <row r="39" spans="1:9" x14ac:dyDescent="0.25">
      <c r="A39" s="29">
        <v>42921</v>
      </c>
      <c r="B39" s="1">
        <f t="shared" si="3"/>
        <v>30</v>
      </c>
      <c r="C39" s="4">
        <f t="shared" si="4"/>
        <v>34326799</v>
      </c>
      <c r="D39" s="2">
        <f t="shared" si="0"/>
        <v>33495951.84</v>
      </c>
      <c r="E39" s="19">
        <f t="shared" si="5"/>
        <v>830847.16</v>
      </c>
      <c r="F39" s="2">
        <f t="shared" si="6"/>
        <v>67390936.420000017</v>
      </c>
      <c r="G39" s="2">
        <f t="shared" si="7"/>
        <v>33894984.580000013</v>
      </c>
      <c r="H39" s="14"/>
      <c r="I39" s="16"/>
    </row>
    <row r="40" spans="1:9" x14ac:dyDescent="0.25">
      <c r="A40" s="29">
        <v>42952</v>
      </c>
      <c r="B40" s="1">
        <f t="shared" si="3"/>
        <v>31</v>
      </c>
      <c r="C40" s="4">
        <f t="shared" si="4"/>
        <v>34326799</v>
      </c>
      <c r="D40" s="2">
        <f t="shared" si="0"/>
        <v>33894984.580000013</v>
      </c>
      <c r="E40" s="19">
        <v>431814.4199999866</v>
      </c>
      <c r="F40" s="2">
        <f t="shared" si="6"/>
        <v>33894984.580000013</v>
      </c>
      <c r="G40" s="2">
        <f t="shared" si="7"/>
        <v>0</v>
      </c>
      <c r="H40" s="14"/>
      <c r="I40" s="16"/>
    </row>
    <row r="41" spans="1:9" x14ac:dyDescent="0.25">
      <c r="A41" s="118">
        <v>42405</v>
      </c>
      <c r="B41" s="119">
        <f>_xlfn.DAYS(A22,A21)</f>
        <v>31</v>
      </c>
      <c r="C41" s="4">
        <f t="shared" si="4"/>
        <v>34326799</v>
      </c>
      <c r="D41" s="120">
        <f>C22-E22</f>
        <v>26971600.740000002</v>
      </c>
      <c r="E41" s="121">
        <f>ROUND(F22*$B$2*B22/365,2)</f>
        <v>7355198.2599999998</v>
      </c>
      <c r="F41" s="120">
        <f>G21</f>
        <v>577343519.19999993</v>
      </c>
      <c r="G41" s="120">
        <f t="shared" ref="G41:G59" si="8">F41-D41</f>
        <v>550371918.45999992</v>
      </c>
    </row>
    <row r="42" spans="1:9" x14ac:dyDescent="0.25">
      <c r="A42" s="29">
        <v>42434</v>
      </c>
      <c r="B42" s="1">
        <f t="shared" ref="B42:B59" si="9">_xlfn.DAYS(A42,A41)</f>
        <v>29</v>
      </c>
      <c r="C42" s="4">
        <f t="shared" ref="C42:C54" si="10">$E$2</f>
        <v>33979087</v>
      </c>
      <c r="D42" s="2">
        <f t="shared" ref="D42:D59" si="11">C42-E42</f>
        <v>27461284.68</v>
      </c>
      <c r="E42" s="19">
        <f>ROUND(((G41*$B$2*G2/365)+(F42*$B$2*H2/365)),2)</f>
        <v>6517802.3200000003</v>
      </c>
      <c r="F42" s="2">
        <f>G41-F2</f>
        <v>544771918.45999992</v>
      </c>
      <c r="G42" s="2">
        <f t="shared" si="8"/>
        <v>517310633.77999991</v>
      </c>
    </row>
    <row r="43" spans="1:9" x14ac:dyDescent="0.25">
      <c r="A43" s="29">
        <v>42465</v>
      </c>
      <c r="B43" s="1">
        <f t="shared" si="9"/>
        <v>31</v>
      </c>
      <c r="C43" s="4">
        <f t="shared" si="10"/>
        <v>33979087</v>
      </c>
      <c r="D43" s="2">
        <f t="shared" si="11"/>
        <v>27388691.25</v>
      </c>
      <c r="E43" s="19">
        <f t="shared" ref="E43:E58" si="12">ROUND(F43*$B$2*B43/365,2)</f>
        <v>6590395.75</v>
      </c>
      <c r="F43" s="2">
        <f t="shared" ref="F43:F59" si="13">G42</f>
        <v>517310633.77999991</v>
      </c>
      <c r="G43" s="2">
        <f t="shared" si="8"/>
        <v>489921942.52999991</v>
      </c>
    </row>
    <row r="44" spans="1:9" x14ac:dyDescent="0.25">
      <c r="A44" s="29">
        <v>42495</v>
      </c>
      <c r="B44" s="1">
        <f t="shared" si="9"/>
        <v>30</v>
      </c>
      <c r="C44" s="4">
        <f t="shared" si="10"/>
        <v>33979087</v>
      </c>
      <c r="D44" s="2">
        <f t="shared" si="11"/>
        <v>27938953.460000001</v>
      </c>
      <c r="E44" s="19">
        <f t="shared" si="12"/>
        <v>6040133.54</v>
      </c>
      <c r="F44" s="2">
        <f t="shared" si="13"/>
        <v>489921942.52999991</v>
      </c>
      <c r="G44" s="2">
        <f t="shared" si="8"/>
        <v>461982989.06999993</v>
      </c>
    </row>
    <row r="45" spans="1:9" x14ac:dyDescent="0.25">
      <c r="A45" s="29">
        <v>42526</v>
      </c>
      <c r="B45" s="1">
        <f t="shared" si="9"/>
        <v>31</v>
      </c>
      <c r="C45" s="4">
        <f t="shared" si="10"/>
        <v>33979087</v>
      </c>
      <c r="D45" s="2">
        <f t="shared" si="11"/>
        <v>28093550.289999999</v>
      </c>
      <c r="E45" s="19">
        <f t="shared" si="12"/>
        <v>5885536.71</v>
      </c>
      <c r="F45" s="2">
        <f t="shared" si="13"/>
        <v>461982989.06999993</v>
      </c>
      <c r="G45" s="2">
        <f t="shared" si="8"/>
        <v>433889438.77999991</v>
      </c>
    </row>
    <row r="46" spans="1:9" x14ac:dyDescent="0.25">
      <c r="A46" s="29">
        <v>42556</v>
      </c>
      <c r="B46" s="1">
        <f t="shared" si="9"/>
        <v>30</v>
      </c>
      <c r="C46" s="4">
        <f t="shared" si="10"/>
        <v>33979087</v>
      </c>
      <c r="D46" s="2">
        <f t="shared" si="11"/>
        <v>28629765.149999999</v>
      </c>
      <c r="E46" s="19">
        <f t="shared" si="12"/>
        <v>5349321.8499999996</v>
      </c>
      <c r="F46" s="2">
        <f t="shared" si="13"/>
        <v>433889438.77999991</v>
      </c>
      <c r="G46" s="2">
        <f t="shared" si="8"/>
        <v>405259673.62999994</v>
      </c>
    </row>
    <row r="47" spans="1:9" x14ac:dyDescent="0.25">
      <c r="A47" s="29">
        <v>42587</v>
      </c>
      <c r="B47" s="1">
        <f t="shared" si="9"/>
        <v>31</v>
      </c>
      <c r="C47" s="4">
        <f t="shared" si="10"/>
        <v>33979087</v>
      </c>
      <c r="D47" s="2">
        <f t="shared" si="11"/>
        <v>28816189.789999999</v>
      </c>
      <c r="E47" s="19">
        <f t="shared" si="12"/>
        <v>5162897.21</v>
      </c>
      <c r="F47" s="2">
        <f t="shared" si="13"/>
        <v>405259673.62999994</v>
      </c>
      <c r="G47" s="2">
        <f t="shared" si="8"/>
        <v>376443483.83999991</v>
      </c>
    </row>
    <row r="48" spans="1:9" x14ac:dyDescent="0.25">
      <c r="A48" s="29">
        <v>42618</v>
      </c>
      <c r="B48" s="1">
        <f t="shared" si="9"/>
        <v>31</v>
      </c>
      <c r="C48" s="4">
        <f t="shared" si="10"/>
        <v>33979087</v>
      </c>
      <c r="D48" s="2">
        <f t="shared" si="11"/>
        <v>29183300.149999999</v>
      </c>
      <c r="E48" s="19">
        <f t="shared" si="12"/>
        <v>4795786.8499999996</v>
      </c>
      <c r="F48" s="2">
        <f t="shared" si="13"/>
        <v>376443483.83999991</v>
      </c>
      <c r="G48" s="2">
        <f t="shared" si="8"/>
        <v>347260183.68999994</v>
      </c>
    </row>
    <row r="49" spans="1:7" x14ac:dyDescent="0.25">
      <c r="A49" s="29">
        <v>42648</v>
      </c>
      <c r="B49" s="1">
        <f t="shared" si="9"/>
        <v>30</v>
      </c>
      <c r="C49" s="4">
        <f t="shared" si="10"/>
        <v>33979087</v>
      </c>
      <c r="D49" s="2">
        <f t="shared" si="11"/>
        <v>29697797.059999999</v>
      </c>
      <c r="E49" s="19">
        <f t="shared" si="12"/>
        <v>4281289.9400000004</v>
      </c>
      <c r="F49" s="2">
        <f t="shared" si="13"/>
        <v>347260183.68999994</v>
      </c>
      <c r="G49" s="2">
        <f t="shared" si="8"/>
        <v>317562386.62999994</v>
      </c>
    </row>
    <row r="50" spans="1:7" x14ac:dyDescent="0.25">
      <c r="A50" s="29">
        <v>42679</v>
      </c>
      <c r="B50" s="1">
        <f t="shared" si="9"/>
        <v>31</v>
      </c>
      <c r="C50" s="4">
        <f t="shared" si="10"/>
        <v>33979087</v>
      </c>
      <c r="D50" s="2">
        <f t="shared" si="11"/>
        <v>29933429.199999999</v>
      </c>
      <c r="E50" s="19">
        <f t="shared" si="12"/>
        <v>4045657.8</v>
      </c>
      <c r="F50" s="2">
        <f t="shared" si="13"/>
        <v>317562386.62999994</v>
      </c>
      <c r="G50" s="2">
        <f t="shared" si="8"/>
        <v>287628957.42999995</v>
      </c>
    </row>
    <row r="51" spans="1:7" x14ac:dyDescent="0.25">
      <c r="A51" s="29">
        <v>42709</v>
      </c>
      <c r="B51" s="1">
        <f t="shared" si="9"/>
        <v>30</v>
      </c>
      <c r="C51" s="4">
        <f t="shared" si="10"/>
        <v>33979087</v>
      </c>
      <c r="D51" s="2">
        <f t="shared" si="11"/>
        <v>30432976.57</v>
      </c>
      <c r="E51" s="19">
        <f t="shared" si="12"/>
        <v>3546110.43</v>
      </c>
      <c r="F51" s="2">
        <f t="shared" si="13"/>
        <v>287628957.42999995</v>
      </c>
      <c r="G51" s="2">
        <f t="shared" si="8"/>
        <v>257195980.85999995</v>
      </c>
    </row>
    <row r="52" spans="1:7" x14ac:dyDescent="0.25">
      <c r="A52" s="29">
        <v>42740</v>
      </c>
      <c r="B52" s="1">
        <f t="shared" si="9"/>
        <v>31</v>
      </c>
      <c r="C52" s="4">
        <f t="shared" si="10"/>
        <v>33979087</v>
      </c>
      <c r="D52" s="2">
        <f t="shared" si="11"/>
        <v>30702480.670000002</v>
      </c>
      <c r="E52" s="19">
        <f t="shared" si="12"/>
        <v>3276606.33</v>
      </c>
      <c r="F52" s="2">
        <f t="shared" si="13"/>
        <v>257195980.85999995</v>
      </c>
      <c r="G52" s="2">
        <f t="shared" si="8"/>
        <v>226493500.18999994</v>
      </c>
    </row>
    <row r="53" spans="1:7" x14ac:dyDescent="0.25">
      <c r="A53" s="29">
        <v>42771</v>
      </c>
      <c r="B53" s="1">
        <f t="shared" si="9"/>
        <v>31</v>
      </c>
      <c r="C53" s="4">
        <f t="shared" si="10"/>
        <v>33979087</v>
      </c>
      <c r="D53" s="2">
        <f t="shared" si="11"/>
        <v>31093621.859999999</v>
      </c>
      <c r="E53" s="19">
        <f t="shared" si="12"/>
        <v>2885465.14</v>
      </c>
      <c r="F53" s="2">
        <f t="shared" si="13"/>
        <v>226493500.18999994</v>
      </c>
      <c r="G53" s="2">
        <f t="shared" si="8"/>
        <v>195399878.32999992</v>
      </c>
    </row>
    <row r="54" spans="1:7" x14ac:dyDescent="0.25">
      <c r="A54" s="56">
        <v>42799</v>
      </c>
      <c r="B54" s="128">
        <f t="shared" si="9"/>
        <v>28</v>
      </c>
      <c r="C54" s="129">
        <f t="shared" si="10"/>
        <v>33979087</v>
      </c>
      <c r="D54" s="130">
        <f t="shared" si="11"/>
        <v>31730650.039999999</v>
      </c>
      <c r="E54" s="131">
        <f t="shared" si="12"/>
        <v>2248436.96</v>
      </c>
      <c r="F54" s="130">
        <f t="shared" si="13"/>
        <v>195399878.32999992</v>
      </c>
      <c r="G54" s="130">
        <f t="shared" si="8"/>
        <v>163669228.28999993</v>
      </c>
    </row>
    <row r="55" spans="1:7" x14ac:dyDescent="0.25">
      <c r="A55" s="29">
        <v>42830</v>
      </c>
      <c r="B55" s="1">
        <f t="shared" si="9"/>
        <v>31</v>
      </c>
      <c r="C55" s="4">
        <f>$J$2</f>
        <v>32818837</v>
      </c>
      <c r="D55" s="2">
        <f t="shared" si="11"/>
        <v>30793571.489999998</v>
      </c>
      <c r="E55" s="19">
        <f>ROUND(((G54*$B$2*L2/365)+(F55*$B$2*M2/365)),2)</f>
        <v>2025265.51</v>
      </c>
      <c r="F55" s="2">
        <f>G54-K2</f>
        <v>158069228.28999993</v>
      </c>
      <c r="G55" s="2">
        <f t="shared" si="8"/>
        <v>127275656.79999994</v>
      </c>
    </row>
    <row r="56" spans="1:7" x14ac:dyDescent="0.25">
      <c r="A56" s="29">
        <v>42860</v>
      </c>
      <c r="B56" s="1">
        <f t="shared" si="9"/>
        <v>30</v>
      </c>
      <c r="C56" s="4">
        <f t="shared" ref="C56:C59" si="14">$J$2</f>
        <v>32818837</v>
      </c>
      <c r="D56" s="2">
        <f t="shared" si="11"/>
        <v>31249685.07</v>
      </c>
      <c r="E56" s="19">
        <f t="shared" si="12"/>
        <v>1569151.93</v>
      </c>
      <c r="F56" s="2">
        <f t="shared" si="13"/>
        <v>127275656.79999994</v>
      </c>
      <c r="G56" s="2">
        <f t="shared" si="8"/>
        <v>96025971.72999993</v>
      </c>
    </row>
    <row r="57" spans="1:7" x14ac:dyDescent="0.25">
      <c r="A57" s="29">
        <v>42891</v>
      </c>
      <c r="B57" s="1">
        <f t="shared" si="9"/>
        <v>31</v>
      </c>
      <c r="C57" s="4">
        <f t="shared" si="14"/>
        <v>32818837</v>
      </c>
      <c r="D57" s="2">
        <f t="shared" si="11"/>
        <v>31595492.43</v>
      </c>
      <c r="E57" s="19">
        <f t="shared" si="12"/>
        <v>1223344.57</v>
      </c>
      <c r="F57" s="2">
        <f t="shared" si="13"/>
        <v>96025971.72999993</v>
      </c>
      <c r="G57" s="2">
        <f t="shared" si="8"/>
        <v>64430479.29999993</v>
      </c>
    </row>
    <row r="58" spans="1:7" x14ac:dyDescent="0.25">
      <c r="A58" s="29">
        <v>42921</v>
      </c>
      <c r="B58" s="1">
        <f t="shared" si="9"/>
        <v>30</v>
      </c>
      <c r="C58" s="4">
        <f t="shared" si="14"/>
        <v>32818837</v>
      </c>
      <c r="D58" s="2">
        <f t="shared" si="11"/>
        <v>32024488.629999999</v>
      </c>
      <c r="E58" s="19">
        <f t="shared" si="12"/>
        <v>794348.37</v>
      </c>
      <c r="F58" s="2">
        <f t="shared" si="13"/>
        <v>64430479.29999993</v>
      </c>
      <c r="G58" s="2">
        <f t="shared" si="8"/>
        <v>32405990.669999931</v>
      </c>
    </row>
    <row r="59" spans="1:7" x14ac:dyDescent="0.25">
      <c r="A59" s="29">
        <v>42952</v>
      </c>
      <c r="B59" s="1">
        <f t="shared" si="9"/>
        <v>31</v>
      </c>
      <c r="C59" s="4">
        <f t="shared" si="14"/>
        <v>32818837</v>
      </c>
      <c r="D59" s="2">
        <f t="shared" si="11"/>
        <v>32405990.669999931</v>
      </c>
      <c r="E59" s="19">
        <v>412846.33000006765</v>
      </c>
      <c r="F59" s="2">
        <f t="shared" si="13"/>
        <v>32405990.669999931</v>
      </c>
      <c r="G59" s="2">
        <f t="shared" si="8"/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D955A7-FD87-4B79-A6E5-BC40DB65308E}">
  <dimension ref="A1:M59"/>
  <sheetViews>
    <sheetView zoomScale="96" zoomScaleNormal="100" workbookViewId="0">
      <pane ySplit="3" topLeftCell="A42" activePane="bottomLeft" state="frozen"/>
      <selection activeCell="S3" sqref="S3"/>
      <selection pane="bottomLeft" activeCell="S3" sqref="S3"/>
    </sheetView>
  </sheetViews>
  <sheetFormatPr defaultRowHeight="15" x14ac:dyDescent="0.25"/>
  <cols>
    <col min="1" max="1" width="15.7109375" bestFit="1" customWidth="1"/>
    <col min="2" max="2" width="13" bestFit="1" customWidth="1"/>
    <col min="3" max="5" width="15.140625" bestFit="1" customWidth="1"/>
    <col min="6" max="7" width="16.28515625" bestFit="1" customWidth="1"/>
    <col min="8" max="8" width="15.7109375" bestFit="1" customWidth="1"/>
    <col min="9" max="9" width="12" bestFit="1" customWidth="1"/>
    <col min="10" max="10" width="15.140625" bestFit="1" customWidth="1"/>
    <col min="11" max="11" width="14.7109375" bestFit="1" customWidth="1"/>
    <col min="12" max="12" width="13.28515625" bestFit="1" customWidth="1"/>
    <col min="13" max="13" width="11.28515625" bestFit="1" customWidth="1"/>
  </cols>
  <sheetData>
    <row r="1" spans="1:13" x14ac:dyDescent="0.25">
      <c r="A1" s="17" t="s">
        <v>33</v>
      </c>
      <c r="B1" s="22">
        <v>41855</v>
      </c>
      <c r="C1" s="15" t="s">
        <v>355</v>
      </c>
      <c r="D1" s="124" t="s">
        <v>347</v>
      </c>
      <c r="E1" s="124" t="s">
        <v>354</v>
      </c>
      <c r="F1" s="124" t="s">
        <v>345</v>
      </c>
      <c r="G1" s="124" t="s">
        <v>349</v>
      </c>
      <c r="H1" s="124" t="s">
        <v>350</v>
      </c>
      <c r="I1" s="132" t="s">
        <v>346</v>
      </c>
      <c r="J1" s="132" t="s">
        <v>352</v>
      </c>
      <c r="K1" s="132" t="s">
        <v>344</v>
      </c>
      <c r="L1" s="132" t="s">
        <v>348</v>
      </c>
      <c r="M1" s="133" t="s">
        <v>351</v>
      </c>
    </row>
    <row r="2" spans="1:13" x14ac:dyDescent="0.25">
      <c r="A2" s="17" t="s">
        <v>34</v>
      </c>
      <c r="B2" s="18">
        <v>0.15</v>
      </c>
      <c r="C2" s="23">
        <f>ROUNDUP(34318675.2191522,0)</f>
        <v>34318676</v>
      </c>
      <c r="D2" s="125">
        <v>42416</v>
      </c>
      <c r="E2" s="126">
        <f>ROUNDUP(33970900.8756049,0)</f>
        <v>33970901</v>
      </c>
      <c r="F2" s="127">
        <v>5600000</v>
      </c>
      <c r="G2" s="124">
        <f>DAYS360(A41,D2,TRUE)</f>
        <v>11</v>
      </c>
      <c r="H2" s="124">
        <f>DAYS360(D2,A42,TRUE)</f>
        <v>19</v>
      </c>
      <c r="I2" s="134">
        <v>42804</v>
      </c>
      <c r="J2" s="135">
        <f>ROUNDUP(32810944.366005,0)</f>
        <v>32810945</v>
      </c>
      <c r="K2" s="136">
        <v>5600000</v>
      </c>
      <c r="L2" s="133">
        <f>DAYS360(A54,I2,TRUE)</f>
        <v>5</v>
      </c>
      <c r="M2" s="133">
        <f>DAYS360(I2,A55,TRUE)</f>
        <v>25</v>
      </c>
    </row>
    <row r="3" spans="1:13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3" x14ac:dyDescent="0.25">
      <c r="A4" s="29">
        <v>41856</v>
      </c>
      <c r="B4" s="1">
        <f>DAYS360(B1,A4)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/>
      <c r="I4" s="16"/>
    </row>
    <row r="5" spans="1:13" x14ac:dyDescent="0.25">
      <c r="A5" s="29">
        <v>41887</v>
      </c>
      <c r="B5" s="1">
        <f>DAYS360(A4,A5)</f>
        <v>30</v>
      </c>
      <c r="C5" s="4">
        <f t="shared" ref="C5:C40" si="0">$C$2</f>
        <v>34318676</v>
      </c>
      <c r="D5" s="2">
        <f t="shared" ref="D5:D39" si="1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/>
      <c r="I5" s="16"/>
    </row>
    <row r="6" spans="1:13" x14ac:dyDescent="0.25">
      <c r="A6" s="29">
        <v>41917</v>
      </c>
      <c r="B6" s="1">
        <f t="shared" ref="B6:B59" si="2">DAYS360(A5,A6)</f>
        <v>30</v>
      </c>
      <c r="C6" s="4">
        <f t="shared" si="0"/>
        <v>34318676</v>
      </c>
      <c r="D6" s="2">
        <f t="shared" si="1"/>
        <v>22217971.949999999</v>
      </c>
      <c r="E6" s="19">
        <f t="shared" ref="E6:E39" si="3">ROUND(F6*$B$2*B6/360,2)</f>
        <v>12100704.050000001</v>
      </c>
      <c r="F6" s="2">
        <f t="shared" ref="F6:F40" si="4">G5</f>
        <v>968056324</v>
      </c>
      <c r="G6" s="2">
        <f t="shared" ref="G6:G43" si="5">F6-D6</f>
        <v>945838352.04999995</v>
      </c>
      <c r="H6" s="14"/>
      <c r="I6" s="16"/>
    </row>
    <row r="7" spans="1:13" x14ac:dyDescent="0.25">
      <c r="A7" s="29">
        <v>41948</v>
      </c>
      <c r="B7" s="1">
        <f t="shared" si="2"/>
        <v>30</v>
      </c>
      <c r="C7" s="4">
        <f t="shared" si="0"/>
        <v>34318676</v>
      </c>
      <c r="D7" s="2">
        <f t="shared" si="1"/>
        <v>22495696.600000001</v>
      </c>
      <c r="E7" s="19">
        <f t="shared" si="3"/>
        <v>11822979.4</v>
      </c>
      <c r="F7" s="2">
        <f t="shared" si="4"/>
        <v>945838352.04999995</v>
      </c>
      <c r="G7" s="2">
        <f t="shared" si="5"/>
        <v>923342655.44999993</v>
      </c>
      <c r="H7" s="14"/>
      <c r="I7" s="16"/>
    </row>
    <row r="8" spans="1:13" x14ac:dyDescent="0.25">
      <c r="A8" s="29">
        <v>41978</v>
      </c>
      <c r="B8" s="1">
        <f t="shared" si="2"/>
        <v>30</v>
      </c>
      <c r="C8" s="4">
        <f t="shared" si="0"/>
        <v>34318676</v>
      </c>
      <c r="D8" s="2">
        <f t="shared" si="1"/>
        <v>22776892.810000002</v>
      </c>
      <c r="E8" s="19">
        <f t="shared" si="3"/>
        <v>11541783.189999999</v>
      </c>
      <c r="F8" s="2">
        <f t="shared" si="4"/>
        <v>923342655.44999993</v>
      </c>
      <c r="G8" s="2">
        <f t="shared" si="5"/>
        <v>900565762.63999987</v>
      </c>
      <c r="H8" s="14"/>
      <c r="I8" s="16"/>
    </row>
    <row r="9" spans="1:13" x14ac:dyDescent="0.25">
      <c r="A9" s="29">
        <v>42009</v>
      </c>
      <c r="B9" s="1">
        <f t="shared" si="2"/>
        <v>30</v>
      </c>
      <c r="C9" s="4">
        <f t="shared" si="0"/>
        <v>34318676</v>
      </c>
      <c r="D9" s="2">
        <f t="shared" si="1"/>
        <v>23061603.969999999</v>
      </c>
      <c r="E9" s="19">
        <f t="shared" si="3"/>
        <v>11257072.029999999</v>
      </c>
      <c r="F9" s="2">
        <f t="shared" si="4"/>
        <v>900565762.63999987</v>
      </c>
      <c r="G9" s="2">
        <f t="shared" si="5"/>
        <v>877504158.66999984</v>
      </c>
      <c r="H9" s="14"/>
      <c r="I9" s="16"/>
    </row>
    <row r="10" spans="1:13" x14ac:dyDescent="0.25">
      <c r="A10" s="29">
        <v>42040</v>
      </c>
      <c r="B10" s="1">
        <f t="shared" si="2"/>
        <v>30</v>
      </c>
      <c r="C10" s="4">
        <f t="shared" si="0"/>
        <v>34318676</v>
      </c>
      <c r="D10" s="2">
        <f t="shared" si="1"/>
        <v>23349874.02</v>
      </c>
      <c r="E10" s="19">
        <f t="shared" si="3"/>
        <v>10968801.98</v>
      </c>
      <c r="F10" s="2">
        <f t="shared" si="4"/>
        <v>877504158.66999984</v>
      </c>
      <c r="G10" s="2">
        <f t="shared" si="5"/>
        <v>854154284.64999986</v>
      </c>
      <c r="H10" s="14"/>
      <c r="I10" s="16"/>
    </row>
    <row r="11" spans="1:13" x14ac:dyDescent="0.25">
      <c r="A11" s="29">
        <v>42068</v>
      </c>
      <c r="B11" s="1">
        <f t="shared" si="2"/>
        <v>30</v>
      </c>
      <c r="C11" s="4">
        <f t="shared" si="0"/>
        <v>34318676</v>
      </c>
      <c r="D11" s="2">
        <f t="shared" si="1"/>
        <v>23641747.439999998</v>
      </c>
      <c r="E11" s="19">
        <f t="shared" si="3"/>
        <v>10676928.560000001</v>
      </c>
      <c r="F11" s="2">
        <f t="shared" si="4"/>
        <v>854154284.64999986</v>
      </c>
      <c r="G11" s="2">
        <f t="shared" si="5"/>
        <v>830512537.2099998</v>
      </c>
      <c r="H11" s="14"/>
      <c r="I11" s="16"/>
    </row>
    <row r="12" spans="1:13" x14ac:dyDescent="0.25">
      <c r="A12" s="29">
        <v>42099</v>
      </c>
      <c r="B12" s="1">
        <f t="shared" si="2"/>
        <v>30</v>
      </c>
      <c r="C12" s="4">
        <f t="shared" si="0"/>
        <v>34318676</v>
      </c>
      <c r="D12" s="2">
        <f t="shared" si="1"/>
        <v>23937269.280000001</v>
      </c>
      <c r="E12" s="19">
        <f t="shared" si="3"/>
        <v>10381406.720000001</v>
      </c>
      <c r="F12" s="2">
        <f t="shared" si="4"/>
        <v>830512537.2099998</v>
      </c>
      <c r="G12" s="2">
        <f t="shared" si="5"/>
        <v>806575267.92999983</v>
      </c>
      <c r="H12" s="14"/>
      <c r="I12" s="16"/>
    </row>
    <row r="13" spans="1:13" x14ac:dyDescent="0.25">
      <c r="A13" s="29">
        <v>42129</v>
      </c>
      <c r="B13" s="1">
        <f t="shared" si="2"/>
        <v>30</v>
      </c>
      <c r="C13" s="4">
        <f t="shared" si="0"/>
        <v>34318676</v>
      </c>
      <c r="D13" s="2">
        <f t="shared" si="1"/>
        <v>24236485.149999999</v>
      </c>
      <c r="E13" s="19">
        <f t="shared" si="3"/>
        <v>10082190.85</v>
      </c>
      <c r="F13" s="2">
        <f t="shared" si="4"/>
        <v>806575267.92999983</v>
      </c>
      <c r="G13" s="2">
        <f t="shared" si="5"/>
        <v>782338782.77999985</v>
      </c>
      <c r="H13" s="14"/>
      <c r="I13" s="16"/>
    </row>
    <row r="14" spans="1:13" x14ac:dyDescent="0.25">
      <c r="A14" s="29">
        <v>42160</v>
      </c>
      <c r="B14" s="1">
        <f t="shared" si="2"/>
        <v>30</v>
      </c>
      <c r="C14" s="4">
        <f t="shared" si="0"/>
        <v>34318676</v>
      </c>
      <c r="D14" s="2">
        <f t="shared" si="1"/>
        <v>24539441.219999999</v>
      </c>
      <c r="E14" s="19">
        <f t="shared" si="3"/>
        <v>9779234.7799999993</v>
      </c>
      <c r="F14" s="2">
        <f t="shared" si="4"/>
        <v>782338782.77999985</v>
      </c>
      <c r="G14" s="2">
        <f t="shared" si="5"/>
        <v>757799341.55999982</v>
      </c>
      <c r="H14" s="14"/>
      <c r="I14" s="16"/>
    </row>
    <row r="15" spans="1:13" x14ac:dyDescent="0.25">
      <c r="A15" s="29">
        <v>42190</v>
      </c>
      <c r="B15" s="1">
        <f t="shared" si="2"/>
        <v>30</v>
      </c>
      <c r="C15" s="4">
        <f t="shared" si="0"/>
        <v>34318676</v>
      </c>
      <c r="D15" s="2">
        <f t="shared" si="1"/>
        <v>24846184.23</v>
      </c>
      <c r="E15" s="19">
        <f t="shared" si="3"/>
        <v>9472491.7699999996</v>
      </c>
      <c r="F15" s="2">
        <f t="shared" si="4"/>
        <v>757799341.55999982</v>
      </c>
      <c r="G15" s="2">
        <f t="shared" si="5"/>
        <v>732953157.3299998</v>
      </c>
      <c r="H15" s="14"/>
      <c r="I15" s="16"/>
    </row>
    <row r="16" spans="1:13" x14ac:dyDescent="0.25">
      <c r="A16" s="29">
        <v>42221</v>
      </c>
      <c r="B16" s="1">
        <f t="shared" si="2"/>
        <v>30</v>
      </c>
      <c r="C16" s="4">
        <f t="shared" si="0"/>
        <v>34318676</v>
      </c>
      <c r="D16" s="2">
        <f t="shared" si="1"/>
        <v>25156761.530000001</v>
      </c>
      <c r="E16" s="19">
        <f t="shared" si="3"/>
        <v>9161914.4700000007</v>
      </c>
      <c r="F16" s="2">
        <f t="shared" si="4"/>
        <v>732953157.3299998</v>
      </c>
      <c r="G16" s="2">
        <f t="shared" si="5"/>
        <v>707796395.79999983</v>
      </c>
      <c r="H16" s="14"/>
      <c r="I16" s="16"/>
    </row>
    <row r="17" spans="1:9" x14ac:dyDescent="0.25">
      <c r="A17" s="29">
        <v>42252</v>
      </c>
      <c r="B17" s="1">
        <f t="shared" si="2"/>
        <v>30</v>
      </c>
      <c r="C17" s="4">
        <f t="shared" si="0"/>
        <v>34318676</v>
      </c>
      <c r="D17" s="2">
        <f t="shared" si="1"/>
        <v>25471221.050000001</v>
      </c>
      <c r="E17" s="19">
        <f t="shared" si="3"/>
        <v>8847454.9499999993</v>
      </c>
      <c r="F17" s="2">
        <f t="shared" si="4"/>
        <v>707796395.79999983</v>
      </c>
      <c r="G17" s="2">
        <f t="shared" si="5"/>
        <v>682325174.74999988</v>
      </c>
      <c r="H17" s="14"/>
      <c r="I17" s="16"/>
    </row>
    <row r="18" spans="1:9" x14ac:dyDescent="0.25">
      <c r="A18" s="29">
        <v>42282</v>
      </c>
      <c r="B18" s="1">
        <f t="shared" si="2"/>
        <v>30</v>
      </c>
      <c r="C18" s="4">
        <f t="shared" si="0"/>
        <v>34318676</v>
      </c>
      <c r="D18" s="2">
        <f t="shared" si="1"/>
        <v>25789611.32</v>
      </c>
      <c r="E18" s="19">
        <f t="shared" si="3"/>
        <v>8529064.6799999997</v>
      </c>
      <c r="F18" s="2">
        <f t="shared" si="4"/>
        <v>682325174.74999988</v>
      </c>
      <c r="G18" s="2">
        <f t="shared" si="5"/>
        <v>656535563.42999983</v>
      </c>
    </row>
    <row r="19" spans="1:9" x14ac:dyDescent="0.25">
      <c r="A19" s="29">
        <v>42313</v>
      </c>
      <c r="B19" s="1">
        <f t="shared" si="2"/>
        <v>30</v>
      </c>
      <c r="C19" s="4">
        <f t="shared" si="0"/>
        <v>34318676</v>
      </c>
      <c r="D19" s="2">
        <f t="shared" si="1"/>
        <v>26111981.460000001</v>
      </c>
      <c r="E19" s="19">
        <f t="shared" si="3"/>
        <v>8206694.54</v>
      </c>
      <c r="F19" s="2">
        <f t="shared" si="4"/>
        <v>656535563.42999983</v>
      </c>
      <c r="G19" s="2">
        <f t="shared" si="5"/>
        <v>630423581.96999979</v>
      </c>
    </row>
    <row r="20" spans="1:9" x14ac:dyDescent="0.25">
      <c r="A20" s="29">
        <v>42343</v>
      </c>
      <c r="B20" s="1">
        <f t="shared" si="2"/>
        <v>30</v>
      </c>
      <c r="C20" s="4">
        <f t="shared" si="0"/>
        <v>34318676</v>
      </c>
      <c r="D20" s="2">
        <f t="shared" si="1"/>
        <v>26438381.23</v>
      </c>
      <c r="E20" s="19">
        <f t="shared" si="3"/>
        <v>7880294.7699999996</v>
      </c>
      <c r="F20" s="2">
        <f t="shared" si="4"/>
        <v>630423581.96999979</v>
      </c>
      <c r="G20" s="2">
        <f t="shared" si="5"/>
        <v>603985200.73999977</v>
      </c>
    </row>
    <row r="21" spans="1:9" x14ac:dyDescent="0.25">
      <c r="A21" s="29">
        <v>42374</v>
      </c>
      <c r="B21" s="1">
        <f t="shared" si="2"/>
        <v>30</v>
      </c>
      <c r="C21" s="4">
        <f t="shared" si="0"/>
        <v>34318676</v>
      </c>
      <c r="D21" s="2">
        <f t="shared" si="1"/>
        <v>26768860.990000002</v>
      </c>
      <c r="E21" s="19">
        <f t="shared" si="3"/>
        <v>7549815.0099999998</v>
      </c>
      <c r="F21" s="2">
        <f t="shared" si="4"/>
        <v>603985200.73999977</v>
      </c>
      <c r="G21" s="2">
        <f t="shared" si="5"/>
        <v>577216339.74999976</v>
      </c>
    </row>
    <row r="22" spans="1:9" x14ac:dyDescent="0.25">
      <c r="A22" s="29">
        <v>42405</v>
      </c>
      <c r="B22" s="1">
        <f t="shared" si="2"/>
        <v>30</v>
      </c>
      <c r="C22" s="4">
        <f t="shared" si="0"/>
        <v>34318676</v>
      </c>
      <c r="D22" s="2">
        <f t="shared" si="1"/>
        <v>27103471.75</v>
      </c>
      <c r="E22" s="19">
        <f t="shared" si="3"/>
        <v>7215204.25</v>
      </c>
      <c r="F22" s="2">
        <f t="shared" si="4"/>
        <v>577216339.74999976</v>
      </c>
      <c r="G22" s="2">
        <f t="shared" si="5"/>
        <v>550112867.99999976</v>
      </c>
    </row>
    <row r="23" spans="1:9" x14ac:dyDescent="0.25">
      <c r="A23" s="29">
        <v>42434</v>
      </c>
      <c r="B23" s="1">
        <f t="shared" si="2"/>
        <v>30</v>
      </c>
      <c r="C23" s="4">
        <f t="shared" si="0"/>
        <v>34318676</v>
      </c>
      <c r="D23" s="2">
        <f t="shared" si="1"/>
        <v>27442265.149999999</v>
      </c>
      <c r="E23" s="19">
        <f t="shared" si="3"/>
        <v>6876410.8499999996</v>
      </c>
      <c r="F23" s="2">
        <f t="shared" si="4"/>
        <v>550112867.99999976</v>
      </c>
      <c r="G23" s="2">
        <f t="shared" si="5"/>
        <v>522670602.84999979</v>
      </c>
    </row>
    <row r="24" spans="1:9" x14ac:dyDescent="0.25">
      <c r="A24" s="29">
        <v>42465</v>
      </c>
      <c r="B24" s="1">
        <f t="shared" si="2"/>
        <v>30</v>
      </c>
      <c r="C24" s="4">
        <f t="shared" si="0"/>
        <v>34318676</v>
      </c>
      <c r="D24" s="2">
        <f t="shared" si="1"/>
        <v>27785293.460000001</v>
      </c>
      <c r="E24" s="19">
        <f t="shared" si="3"/>
        <v>6533382.54</v>
      </c>
      <c r="F24" s="2">
        <f t="shared" si="4"/>
        <v>522670602.84999979</v>
      </c>
      <c r="G24" s="2">
        <f t="shared" si="5"/>
        <v>494885309.38999981</v>
      </c>
    </row>
    <row r="25" spans="1:9" x14ac:dyDescent="0.25">
      <c r="A25" s="29">
        <v>42495</v>
      </c>
      <c r="B25" s="1">
        <f t="shared" si="2"/>
        <v>30</v>
      </c>
      <c r="C25" s="4">
        <f t="shared" si="0"/>
        <v>34318676</v>
      </c>
      <c r="D25" s="2">
        <f t="shared" si="1"/>
        <v>28132609.629999999</v>
      </c>
      <c r="E25" s="19">
        <f t="shared" si="3"/>
        <v>6186066.3700000001</v>
      </c>
      <c r="F25" s="2">
        <f t="shared" si="4"/>
        <v>494885309.38999981</v>
      </c>
      <c r="G25" s="2">
        <f t="shared" si="5"/>
        <v>466752699.75999981</v>
      </c>
    </row>
    <row r="26" spans="1:9" x14ac:dyDescent="0.25">
      <c r="A26" s="29">
        <v>42526</v>
      </c>
      <c r="B26" s="1">
        <f t="shared" si="2"/>
        <v>30</v>
      </c>
      <c r="C26" s="4">
        <f t="shared" si="0"/>
        <v>34318676</v>
      </c>
      <c r="D26" s="2">
        <f t="shared" si="1"/>
        <v>28484267.25</v>
      </c>
      <c r="E26" s="19">
        <f t="shared" si="3"/>
        <v>5834408.75</v>
      </c>
      <c r="F26" s="2">
        <f t="shared" si="4"/>
        <v>466752699.75999981</v>
      </c>
      <c r="G26" s="2">
        <f t="shared" si="5"/>
        <v>438268432.50999981</v>
      </c>
    </row>
    <row r="27" spans="1:9" x14ac:dyDescent="0.25">
      <c r="A27" s="29">
        <v>42556</v>
      </c>
      <c r="B27" s="1">
        <f t="shared" si="2"/>
        <v>30</v>
      </c>
      <c r="C27" s="4">
        <f t="shared" si="0"/>
        <v>34318676</v>
      </c>
      <c r="D27" s="2">
        <f t="shared" si="1"/>
        <v>28840320.59</v>
      </c>
      <c r="E27" s="19">
        <f t="shared" si="3"/>
        <v>5478355.4100000001</v>
      </c>
      <c r="F27" s="2">
        <f t="shared" si="4"/>
        <v>438268432.50999981</v>
      </c>
      <c r="G27" s="2">
        <f t="shared" si="5"/>
        <v>409428111.91999984</v>
      </c>
    </row>
    <row r="28" spans="1:9" x14ac:dyDescent="0.25">
      <c r="A28" s="29">
        <v>42587</v>
      </c>
      <c r="B28" s="1">
        <f t="shared" si="2"/>
        <v>30</v>
      </c>
      <c r="C28" s="4">
        <f t="shared" si="0"/>
        <v>34318676</v>
      </c>
      <c r="D28" s="2">
        <f t="shared" si="1"/>
        <v>29200824.600000001</v>
      </c>
      <c r="E28" s="19">
        <f t="shared" si="3"/>
        <v>5117851.4000000004</v>
      </c>
      <c r="F28" s="2">
        <f t="shared" si="4"/>
        <v>409428111.91999984</v>
      </c>
      <c r="G28" s="2">
        <f t="shared" si="5"/>
        <v>380227287.31999981</v>
      </c>
    </row>
    <row r="29" spans="1:9" x14ac:dyDescent="0.25">
      <c r="A29" s="29">
        <v>42618</v>
      </c>
      <c r="B29" s="1">
        <f t="shared" si="2"/>
        <v>30</v>
      </c>
      <c r="C29" s="4">
        <f t="shared" si="0"/>
        <v>34318676</v>
      </c>
      <c r="D29" s="2">
        <f t="shared" si="1"/>
        <v>29565834.91</v>
      </c>
      <c r="E29" s="19">
        <f t="shared" si="3"/>
        <v>4752841.09</v>
      </c>
      <c r="F29" s="2">
        <f t="shared" si="4"/>
        <v>380227287.31999981</v>
      </c>
      <c r="G29" s="2">
        <f t="shared" si="5"/>
        <v>350661452.40999979</v>
      </c>
    </row>
    <row r="30" spans="1:9" x14ac:dyDescent="0.25">
      <c r="A30" s="29">
        <v>42648</v>
      </c>
      <c r="B30" s="1">
        <f t="shared" si="2"/>
        <v>30</v>
      </c>
      <c r="C30" s="4">
        <f t="shared" si="0"/>
        <v>34318676</v>
      </c>
      <c r="D30" s="2">
        <f t="shared" si="1"/>
        <v>29935407.84</v>
      </c>
      <c r="E30" s="19">
        <f t="shared" si="3"/>
        <v>4383268.16</v>
      </c>
      <c r="F30" s="2">
        <f t="shared" si="4"/>
        <v>350661452.40999979</v>
      </c>
      <c r="G30" s="2">
        <f t="shared" si="5"/>
        <v>320726044.56999981</v>
      </c>
    </row>
    <row r="31" spans="1:9" x14ac:dyDescent="0.25">
      <c r="A31" s="29">
        <v>42679</v>
      </c>
      <c r="B31" s="1">
        <f t="shared" si="2"/>
        <v>30</v>
      </c>
      <c r="C31" s="4">
        <f t="shared" si="0"/>
        <v>34318676</v>
      </c>
      <c r="D31" s="2">
        <f t="shared" si="1"/>
        <v>30309600.440000001</v>
      </c>
      <c r="E31" s="19">
        <f t="shared" si="3"/>
        <v>4009075.56</v>
      </c>
      <c r="F31" s="2">
        <f t="shared" si="4"/>
        <v>320726044.56999981</v>
      </c>
      <c r="G31" s="2">
        <f t="shared" si="5"/>
        <v>290416444.12999982</v>
      </c>
    </row>
    <row r="32" spans="1:9" x14ac:dyDescent="0.25">
      <c r="A32" s="29">
        <v>42709</v>
      </c>
      <c r="B32" s="1">
        <f t="shared" si="2"/>
        <v>30</v>
      </c>
      <c r="C32" s="4">
        <f t="shared" si="0"/>
        <v>34318676</v>
      </c>
      <c r="D32" s="2">
        <f t="shared" si="1"/>
        <v>30688470.449999999</v>
      </c>
      <c r="E32" s="19">
        <f t="shared" si="3"/>
        <v>3630205.55</v>
      </c>
      <c r="F32" s="2">
        <f t="shared" si="4"/>
        <v>290416444.12999982</v>
      </c>
      <c r="G32" s="2">
        <f t="shared" si="5"/>
        <v>259727973.67999983</v>
      </c>
    </row>
    <row r="33" spans="1:7" x14ac:dyDescent="0.25">
      <c r="A33" s="29">
        <v>42740</v>
      </c>
      <c r="B33" s="1">
        <f t="shared" si="2"/>
        <v>30</v>
      </c>
      <c r="C33" s="4">
        <f t="shared" si="0"/>
        <v>34318676</v>
      </c>
      <c r="D33" s="2">
        <f t="shared" si="1"/>
        <v>31072076.329999998</v>
      </c>
      <c r="E33" s="19">
        <f t="shared" si="3"/>
        <v>3246599.67</v>
      </c>
      <c r="F33" s="2">
        <f t="shared" si="4"/>
        <v>259727973.67999983</v>
      </c>
      <c r="G33" s="2">
        <f t="shared" si="5"/>
        <v>228655897.34999985</v>
      </c>
    </row>
    <row r="34" spans="1:7" x14ac:dyDescent="0.25">
      <c r="A34" s="29">
        <v>42771</v>
      </c>
      <c r="B34" s="1">
        <f t="shared" si="2"/>
        <v>30</v>
      </c>
      <c r="C34" s="4">
        <f t="shared" si="0"/>
        <v>34318676</v>
      </c>
      <c r="D34" s="2">
        <f t="shared" si="1"/>
        <v>31460477.280000001</v>
      </c>
      <c r="E34" s="19">
        <f t="shared" si="3"/>
        <v>2858198.72</v>
      </c>
      <c r="F34" s="2">
        <f t="shared" si="4"/>
        <v>228655897.34999985</v>
      </c>
      <c r="G34" s="2">
        <f t="shared" si="5"/>
        <v>197195420.06999984</v>
      </c>
    </row>
    <row r="35" spans="1:7" x14ac:dyDescent="0.25">
      <c r="A35" s="29">
        <v>42799</v>
      </c>
      <c r="B35" s="1">
        <f t="shared" si="2"/>
        <v>30</v>
      </c>
      <c r="C35" s="4">
        <f t="shared" si="0"/>
        <v>34318676</v>
      </c>
      <c r="D35" s="2">
        <f t="shared" si="1"/>
        <v>31853733.25</v>
      </c>
      <c r="E35" s="19">
        <f t="shared" si="3"/>
        <v>2464942.75</v>
      </c>
      <c r="F35" s="2">
        <f t="shared" si="4"/>
        <v>197195420.06999984</v>
      </c>
      <c r="G35" s="2">
        <f t="shared" si="5"/>
        <v>165341686.81999984</v>
      </c>
    </row>
    <row r="36" spans="1:7" x14ac:dyDescent="0.25">
      <c r="A36" s="29">
        <v>42830</v>
      </c>
      <c r="B36" s="1">
        <f t="shared" si="2"/>
        <v>30</v>
      </c>
      <c r="C36" s="4">
        <f t="shared" si="0"/>
        <v>34318676</v>
      </c>
      <c r="D36" s="2">
        <f t="shared" si="1"/>
        <v>32251904.91</v>
      </c>
      <c r="E36" s="19">
        <f t="shared" si="3"/>
        <v>2066771.09</v>
      </c>
      <c r="F36" s="2">
        <f t="shared" si="4"/>
        <v>165341686.81999984</v>
      </c>
      <c r="G36" s="2">
        <f t="shared" si="5"/>
        <v>133089781.90999985</v>
      </c>
    </row>
    <row r="37" spans="1:7" x14ac:dyDescent="0.25">
      <c r="A37" s="29">
        <v>42860</v>
      </c>
      <c r="B37" s="1">
        <f t="shared" si="2"/>
        <v>30</v>
      </c>
      <c r="C37" s="4">
        <f t="shared" si="0"/>
        <v>34318676</v>
      </c>
      <c r="D37" s="2">
        <f t="shared" si="1"/>
        <v>32655053.73</v>
      </c>
      <c r="E37" s="19">
        <f t="shared" si="3"/>
        <v>1663622.27</v>
      </c>
      <c r="F37" s="2">
        <f t="shared" si="4"/>
        <v>133089781.90999985</v>
      </c>
      <c r="G37" s="2">
        <f t="shared" si="5"/>
        <v>100434728.17999984</v>
      </c>
    </row>
    <row r="38" spans="1:7" x14ac:dyDescent="0.25">
      <c r="A38" s="29">
        <v>42891</v>
      </c>
      <c r="B38" s="1">
        <f t="shared" si="2"/>
        <v>30</v>
      </c>
      <c r="C38" s="4">
        <f t="shared" si="0"/>
        <v>34318676</v>
      </c>
      <c r="D38" s="2">
        <f t="shared" si="1"/>
        <v>33063241.899999999</v>
      </c>
      <c r="E38" s="19">
        <f t="shared" si="3"/>
        <v>1255434.1000000001</v>
      </c>
      <c r="F38" s="2">
        <f t="shared" si="4"/>
        <v>100434728.17999984</v>
      </c>
      <c r="G38" s="2">
        <f t="shared" si="5"/>
        <v>67371486.279999852</v>
      </c>
    </row>
    <row r="39" spans="1:7" x14ac:dyDescent="0.25">
      <c r="A39" s="29">
        <v>42921</v>
      </c>
      <c r="B39" s="1">
        <f t="shared" si="2"/>
        <v>30</v>
      </c>
      <c r="C39" s="4">
        <f t="shared" si="0"/>
        <v>34318676</v>
      </c>
      <c r="D39" s="2">
        <f t="shared" si="1"/>
        <v>33476532.420000002</v>
      </c>
      <c r="E39" s="19">
        <f t="shared" si="3"/>
        <v>842143.58</v>
      </c>
      <c r="F39" s="2">
        <f t="shared" si="4"/>
        <v>67371486.279999852</v>
      </c>
      <c r="G39" s="2">
        <f t="shared" si="5"/>
        <v>33894953.85999985</v>
      </c>
    </row>
    <row r="40" spans="1:7" x14ac:dyDescent="0.25">
      <c r="A40" s="29">
        <v>42952</v>
      </c>
      <c r="B40" s="1">
        <f t="shared" si="2"/>
        <v>30</v>
      </c>
      <c r="C40" s="4">
        <f t="shared" si="0"/>
        <v>34318676</v>
      </c>
      <c r="D40" s="2">
        <f>C40-E40</f>
        <v>33894953.85999985</v>
      </c>
      <c r="E40" s="19">
        <v>423722.1400001478</v>
      </c>
      <c r="F40" s="2">
        <f t="shared" si="4"/>
        <v>33894953.85999985</v>
      </c>
      <c r="G40" s="2">
        <f t="shared" si="5"/>
        <v>0</v>
      </c>
    </row>
    <row r="41" spans="1:7" x14ac:dyDescent="0.25">
      <c r="A41" s="118">
        <v>42405</v>
      </c>
      <c r="B41" s="119">
        <f>DAYS360(A21,A22,TRUE)</f>
        <v>30</v>
      </c>
      <c r="C41" s="4">
        <f t="shared" ref="C41" si="6">$C$2</f>
        <v>34318676</v>
      </c>
      <c r="D41" s="120">
        <f>C22-E22</f>
        <v>27103471.75</v>
      </c>
      <c r="E41" s="121">
        <f>ROUND(F22*$B$2*B22/360,2)</f>
        <v>7215204.25</v>
      </c>
      <c r="F41" s="120">
        <f>G21</f>
        <v>577216339.74999976</v>
      </c>
      <c r="G41" s="120">
        <f t="shared" si="5"/>
        <v>550112867.99999976</v>
      </c>
    </row>
    <row r="42" spans="1:7" x14ac:dyDescent="0.25">
      <c r="A42" s="29">
        <v>42434</v>
      </c>
      <c r="B42" s="1">
        <f t="shared" si="2"/>
        <v>30</v>
      </c>
      <c r="C42" s="4">
        <f>$E$2</f>
        <v>33970901</v>
      </c>
      <c r="D42" s="2">
        <f t="shared" ref="D42:D43" si="7">C42-E42</f>
        <v>27138823.48</v>
      </c>
      <c r="E42" s="19">
        <f>ROUND(((G41*$B$2*G2/360)+(F42*$B$2*H2/360)),2)</f>
        <v>6832077.5199999996</v>
      </c>
      <c r="F42" s="2">
        <f>G41-F2</f>
        <v>544512867.99999976</v>
      </c>
      <c r="G42" s="2">
        <f t="shared" si="5"/>
        <v>517374044.51999974</v>
      </c>
    </row>
    <row r="43" spans="1:7" x14ac:dyDescent="0.25">
      <c r="A43" s="29">
        <v>42465</v>
      </c>
      <c r="B43" s="1">
        <f t="shared" si="2"/>
        <v>30</v>
      </c>
      <c r="C43" s="4">
        <f t="shared" ref="C43:C54" si="8">$E$2</f>
        <v>33970901</v>
      </c>
      <c r="D43" s="2">
        <f t="shared" si="7"/>
        <v>27503725.440000001</v>
      </c>
      <c r="E43" s="19">
        <f>ROUND(F43*$B$2*B43/360,2)</f>
        <v>6467175.5599999996</v>
      </c>
      <c r="F43" s="2">
        <f t="shared" ref="F43" si="9">G42</f>
        <v>517374044.51999974</v>
      </c>
      <c r="G43" s="2">
        <f t="shared" si="5"/>
        <v>489870319.07999974</v>
      </c>
    </row>
    <row r="44" spans="1:7" x14ac:dyDescent="0.25">
      <c r="A44" s="29">
        <v>42495</v>
      </c>
      <c r="B44" s="1">
        <f t="shared" si="2"/>
        <v>30</v>
      </c>
      <c r="C44" s="4">
        <f t="shared" si="8"/>
        <v>33970901</v>
      </c>
      <c r="D44" s="2">
        <f t="shared" ref="D44:D59" si="10">C44-E44</f>
        <v>27847522.009999998</v>
      </c>
      <c r="E44" s="19">
        <f t="shared" ref="E44:E58" si="11">ROUND(F44*$B$2*B44/360,2)</f>
        <v>6123378.9900000002</v>
      </c>
      <c r="F44" s="2">
        <f t="shared" ref="F44:F59" si="12">G43</f>
        <v>489870319.07999974</v>
      </c>
      <c r="G44" s="2">
        <f t="shared" ref="G44:G59" si="13">F44-D44</f>
        <v>462022797.06999975</v>
      </c>
    </row>
    <row r="45" spans="1:7" x14ac:dyDescent="0.25">
      <c r="A45" s="29">
        <v>42526</v>
      </c>
      <c r="B45" s="1">
        <f t="shared" si="2"/>
        <v>30</v>
      </c>
      <c r="C45" s="4">
        <f t="shared" si="8"/>
        <v>33970901</v>
      </c>
      <c r="D45" s="2">
        <f t="shared" si="10"/>
        <v>28195616.039999999</v>
      </c>
      <c r="E45" s="19">
        <f t="shared" si="11"/>
        <v>5775284.96</v>
      </c>
      <c r="F45" s="2">
        <f t="shared" si="12"/>
        <v>462022797.06999975</v>
      </c>
      <c r="G45" s="2">
        <f t="shared" si="13"/>
        <v>433827181.02999973</v>
      </c>
    </row>
    <row r="46" spans="1:7" x14ac:dyDescent="0.25">
      <c r="A46" s="29">
        <v>42556</v>
      </c>
      <c r="B46" s="1">
        <f t="shared" si="2"/>
        <v>30</v>
      </c>
      <c r="C46" s="4">
        <f t="shared" si="8"/>
        <v>33970901</v>
      </c>
      <c r="D46" s="2">
        <f t="shared" si="10"/>
        <v>28548061.240000002</v>
      </c>
      <c r="E46" s="19">
        <f t="shared" si="11"/>
        <v>5422839.7599999998</v>
      </c>
      <c r="F46" s="2">
        <f t="shared" si="12"/>
        <v>433827181.02999973</v>
      </c>
      <c r="G46" s="2">
        <f t="shared" si="13"/>
        <v>405279119.78999972</v>
      </c>
    </row>
    <row r="47" spans="1:7" x14ac:dyDescent="0.25">
      <c r="A47" s="29">
        <v>42587</v>
      </c>
      <c r="B47" s="1">
        <f t="shared" si="2"/>
        <v>30</v>
      </c>
      <c r="C47" s="4">
        <f t="shared" si="8"/>
        <v>33970901</v>
      </c>
      <c r="D47" s="2">
        <f t="shared" si="10"/>
        <v>28904912</v>
      </c>
      <c r="E47" s="19">
        <f t="shared" si="11"/>
        <v>5065989</v>
      </c>
      <c r="F47" s="2">
        <f t="shared" si="12"/>
        <v>405279119.78999972</v>
      </c>
      <c r="G47" s="2">
        <f t="shared" si="13"/>
        <v>376374207.78999972</v>
      </c>
    </row>
    <row r="48" spans="1:7" x14ac:dyDescent="0.25">
      <c r="A48" s="29">
        <v>42618</v>
      </c>
      <c r="B48" s="1">
        <f t="shared" si="2"/>
        <v>30</v>
      </c>
      <c r="C48" s="4">
        <f t="shared" si="8"/>
        <v>33970901</v>
      </c>
      <c r="D48" s="2">
        <f t="shared" si="10"/>
        <v>29266223.399999999</v>
      </c>
      <c r="E48" s="19">
        <f t="shared" si="11"/>
        <v>4704677.5999999996</v>
      </c>
      <c r="F48" s="2">
        <f t="shared" si="12"/>
        <v>376374207.78999972</v>
      </c>
      <c r="G48" s="2">
        <f t="shared" si="13"/>
        <v>347107984.38999975</v>
      </c>
    </row>
    <row r="49" spans="1:7" x14ac:dyDescent="0.25">
      <c r="A49" s="29">
        <v>42648</v>
      </c>
      <c r="B49" s="1">
        <f t="shared" si="2"/>
        <v>30</v>
      </c>
      <c r="C49" s="4">
        <f t="shared" si="8"/>
        <v>33970901</v>
      </c>
      <c r="D49" s="2">
        <f t="shared" si="10"/>
        <v>29632051.199999999</v>
      </c>
      <c r="E49" s="19">
        <f t="shared" si="11"/>
        <v>4338849.8</v>
      </c>
      <c r="F49" s="2">
        <f t="shared" si="12"/>
        <v>347107984.38999975</v>
      </c>
      <c r="G49" s="2">
        <f t="shared" si="13"/>
        <v>317475933.18999976</v>
      </c>
    </row>
    <row r="50" spans="1:7" x14ac:dyDescent="0.25">
      <c r="A50" s="29">
        <v>42679</v>
      </c>
      <c r="B50" s="1">
        <f t="shared" si="2"/>
        <v>30</v>
      </c>
      <c r="C50" s="4">
        <f t="shared" si="8"/>
        <v>33970901</v>
      </c>
      <c r="D50" s="2">
        <f t="shared" si="10"/>
        <v>30002451.84</v>
      </c>
      <c r="E50" s="19">
        <f t="shared" si="11"/>
        <v>3968449.16</v>
      </c>
      <c r="F50" s="2">
        <f t="shared" si="12"/>
        <v>317475933.18999976</v>
      </c>
      <c r="G50" s="2">
        <f t="shared" si="13"/>
        <v>287473481.34999979</v>
      </c>
    </row>
    <row r="51" spans="1:7" x14ac:dyDescent="0.25">
      <c r="A51" s="29">
        <v>42709</v>
      </c>
      <c r="B51" s="1">
        <f t="shared" si="2"/>
        <v>30</v>
      </c>
      <c r="C51" s="4">
        <f t="shared" si="8"/>
        <v>33970901</v>
      </c>
      <c r="D51" s="2">
        <f t="shared" si="10"/>
        <v>30377482.48</v>
      </c>
      <c r="E51" s="19">
        <f t="shared" si="11"/>
        <v>3593418.52</v>
      </c>
      <c r="F51" s="2">
        <f t="shared" si="12"/>
        <v>287473481.34999979</v>
      </c>
      <c r="G51" s="2">
        <f t="shared" si="13"/>
        <v>257095998.8699998</v>
      </c>
    </row>
    <row r="52" spans="1:7" x14ac:dyDescent="0.25">
      <c r="A52" s="29">
        <v>42740</v>
      </c>
      <c r="B52" s="1">
        <f t="shared" si="2"/>
        <v>30</v>
      </c>
      <c r="C52" s="4">
        <f t="shared" si="8"/>
        <v>33970901</v>
      </c>
      <c r="D52" s="2">
        <f t="shared" si="10"/>
        <v>30757201.009999998</v>
      </c>
      <c r="E52" s="19">
        <f t="shared" si="11"/>
        <v>3213699.99</v>
      </c>
      <c r="F52" s="2">
        <f t="shared" si="12"/>
        <v>257095998.8699998</v>
      </c>
      <c r="G52" s="2">
        <f t="shared" si="13"/>
        <v>226338797.85999981</v>
      </c>
    </row>
    <row r="53" spans="1:7" x14ac:dyDescent="0.25">
      <c r="A53" s="29">
        <v>42771</v>
      </c>
      <c r="B53" s="1">
        <f t="shared" si="2"/>
        <v>30</v>
      </c>
      <c r="C53" s="4">
        <f t="shared" si="8"/>
        <v>33970901</v>
      </c>
      <c r="D53" s="2">
        <f t="shared" si="10"/>
        <v>31141666.030000001</v>
      </c>
      <c r="E53" s="19">
        <f t="shared" si="11"/>
        <v>2829234.97</v>
      </c>
      <c r="F53" s="2">
        <f t="shared" si="12"/>
        <v>226338797.85999981</v>
      </c>
      <c r="G53" s="2">
        <f t="shared" si="13"/>
        <v>195197131.8299998</v>
      </c>
    </row>
    <row r="54" spans="1:7" x14ac:dyDescent="0.25">
      <c r="A54" s="56">
        <v>42799</v>
      </c>
      <c r="B54" s="1">
        <f t="shared" si="2"/>
        <v>30</v>
      </c>
      <c r="C54" s="4">
        <f t="shared" si="8"/>
        <v>33970901</v>
      </c>
      <c r="D54" s="2">
        <f t="shared" si="10"/>
        <v>31530936.850000001</v>
      </c>
      <c r="E54" s="19">
        <f t="shared" si="11"/>
        <v>2439964.15</v>
      </c>
      <c r="F54" s="2">
        <f t="shared" si="12"/>
        <v>195197131.8299998</v>
      </c>
      <c r="G54" s="2">
        <f t="shared" si="13"/>
        <v>163666194.97999981</v>
      </c>
    </row>
    <row r="55" spans="1:7" x14ac:dyDescent="0.25">
      <c r="A55" s="29">
        <v>42830</v>
      </c>
      <c r="B55" s="1">
        <f t="shared" si="2"/>
        <v>30</v>
      </c>
      <c r="C55" s="4">
        <f>$J$2</f>
        <v>32810945</v>
      </c>
      <c r="D55" s="2">
        <f t="shared" si="10"/>
        <v>30823450.899999999</v>
      </c>
      <c r="E55" s="19">
        <f>ROUND(((G54*$B$2*L2/360)+(F55*$B$2*M2/360)),2)</f>
        <v>1987494.1</v>
      </c>
      <c r="F55" s="2">
        <f>G54-K2</f>
        <v>158066194.97999981</v>
      </c>
      <c r="G55" s="2">
        <f t="shared" si="13"/>
        <v>127242744.0799998</v>
      </c>
    </row>
    <row r="56" spans="1:7" x14ac:dyDescent="0.25">
      <c r="A56" s="29">
        <v>42860</v>
      </c>
      <c r="B56" s="1">
        <f t="shared" si="2"/>
        <v>30</v>
      </c>
      <c r="C56" s="4">
        <f t="shared" ref="C56:C59" si="14">$J$2</f>
        <v>32810945</v>
      </c>
      <c r="D56" s="2">
        <f t="shared" si="10"/>
        <v>31220410.699999999</v>
      </c>
      <c r="E56" s="19">
        <f t="shared" si="11"/>
        <v>1590534.3</v>
      </c>
      <c r="F56" s="2">
        <f t="shared" si="12"/>
        <v>127242744.0799998</v>
      </c>
      <c r="G56" s="2">
        <f t="shared" si="13"/>
        <v>96022333.379999802</v>
      </c>
    </row>
    <row r="57" spans="1:7" x14ac:dyDescent="0.25">
      <c r="A57" s="29">
        <v>42891</v>
      </c>
      <c r="B57" s="1">
        <f t="shared" si="2"/>
        <v>30</v>
      </c>
      <c r="C57" s="4">
        <f t="shared" si="14"/>
        <v>32810945</v>
      </c>
      <c r="D57" s="2">
        <f t="shared" si="10"/>
        <v>31610665.829999998</v>
      </c>
      <c r="E57" s="19">
        <f t="shared" si="11"/>
        <v>1200279.17</v>
      </c>
      <c r="F57" s="2">
        <f t="shared" si="12"/>
        <v>96022333.379999802</v>
      </c>
      <c r="G57" s="2">
        <f t="shared" si="13"/>
        <v>64411667.549999803</v>
      </c>
    </row>
    <row r="58" spans="1:7" x14ac:dyDescent="0.25">
      <c r="A58" s="29">
        <v>42921</v>
      </c>
      <c r="B58" s="1">
        <f t="shared" si="2"/>
        <v>30</v>
      </c>
      <c r="C58" s="4">
        <f t="shared" si="14"/>
        <v>32810945</v>
      </c>
      <c r="D58" s="2">
        <f t="shared" si="10"/>
        <v>32005799.16</v>
      </c>
      <c r="E58" s="19">
        <f t="shared" si="11"/>
        <v>805145.84</v>
      </c>
      <c r="F58" s="2">
        <f t="shared" si="12"/>
        <v>64411667.549999803</v>
      </c>
      <c r="G58" s="2">
        <f t="shared" si="13"/>
        <v>32405868.389999803</v>
      </c>
    </row>
    <row r="59" spans="1:7" x14ac:dyDescent="0.25">
      <c r="A59" s="29">
        <v>42952</v>
      </c>
      <c r="B59" s="1">
        <f t="shared" si="2"/>
        <v>30</v>
      </c>
      <c r="C59" s="4">
        <f t="shared" si="14"/>
        <v>32810945</v>
      </c>
      <c r="D59" s="2">
        <f t="shared" si="10"/>
        <v>32405868.389999803</v>
      </c>
      <c r="E59" s="19">
        <v>405076.61000019533</v>
      </c>
      <c r="F59" s="2">
        <f t="shared" si="12"/>
        <v>32405868.389999803</v>
      </c>
      <c r="G59" s="2">
        <f t="shared" si="13"/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A7EE7-6685-4AA2-8E2C-11896D10DB4D}">
  <dimension ref="A1:U3"/>
  <sheetViews>
    <sheetView workbookViewId="0">
      <selection activeCell="A3" sqref="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135.57031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78</v>
      </c>
      <c r="P2" s="20" t="s">
        <v>21</v>
      </c>
      <c r="Q2" s="20" t="s">
        <v>79</v>
      </c>
      <c r="R2" s="20" t="s">
        <v>358</v>
      </c>
      <c r="S2" s="20" t="s">
        <v>21</v>
      </c>
      <c r="T2" s="20" t="s">
        <v>84</v>
      </c>
      <c r="U2" s="50" t="s">
        <v>356</v>
      </c>
    </row>
    <row r="3" spans="1:21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78</v>
      </c>
      <c r="P3" s="20" t="s">
        <v>21</v>
      </c>
      <c r="Q3" s="20" t="s">
        <v>79</v>
      </c>
      <c r="R3" s="20" t="s">
        <v>358</v>
      </c>
      <c r="S3" s="20" t="s">
        <v>21</v>
      </c>
      <c r="T3" s="20" t="s">
        <v>84</v>
      </c>
      <c r="U3" s="50" t="s">
        <v>357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C39259-AB7B-442B-94A7-3F5C5A7E37D3}">
  <dimension ref="A1:I59"/>
  <sheetViews>
    <sheetView zoomScale="90" zoomScaleNormal="90" workbookViewId="0">
      <pane ySplit="3" topLeftCell="A38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5.42578125" bestFit="1" customWidth="1"/>
    <col min="2" max="2" width="13" bestFit="1" customWidth="1"/>
    <col min="3" max="3" width="14.28515625" bestFit="1" customWidth="1"/>
    <col min="4" max="4" width="11.28515625" bestFit="1" customWidth="1"/>
    <col min="5" max="5" width="12.140625" bestFit="1" customWidth="1"/>
    <col min="6" max="6" width="16" bestFit="1" customWidth="1"/>
    <col min="7" max="7" width="14.85546875" bestFit="1" customWidth="1"/>
    <col min="8" max="8" width="15.5703125" bestFit="1" customWidth="1"/>
    <col min="9" max="9" width="9" bestFit="1" customWidth="1"/>
    <col min="10" max="10" width="10.85546875" bestFit="1" customWidth="1"/>
  </cols>
  <sheetData>
    <row r="1" spans="1:9" x14ac:dyDescent="0.25">
      <c r="A1" s="17" t="s">
        <v>33</v>
      </c>
      <c r="B1" s="78">
        <v>41856</v>
      </c>
      <c r="C1" s="17" t="s">
        <v>355</v>
      </c>
      <c r="D1" s="137" t="s">
        <v>347</v>
      </c>
      <c r="E1" s="137" t="s">
        <v>354</v>
      </c>
      <c r="F1" s="138" t="s">
        <v>175</v>
      </c>
      <c r="G1" s="137" t="s">
        <v>346</v>
      </c>
      <c r="H1" s="137" t="s">
        <v>352</v>
      </c>
      <c r="I1" s="138" t="s">
        <v>359</v>
      </c>
    </row>
    <row r="2" spans="1:9" x14ac:dyDescent="0.25">
      <c r="A2" s="17" t="s">
        <v>34</v>
      </c>
      <c r="B2" s="18">
        <v>0.15</v>
      </c>
      <c r="C2" s="17">
        <f>ROUNDUP(34673.5343079289,0)</f>
        <v>34674</v>
      </c>
      <c r="D2" s="125">
        <v>42374</v>
      </c>
      <c r="E2" s="139">
        <f>ROUNDUP(36062.4790174031,0)</f>
        <v>36063</v>
      </c>
      <c r="F2" s="140">
        <v>0.2</v>
      </c>
      <c r="G2" s="125">
        <v>42740</v>
      </c>
      <c r="H2" s="139">
        <f>ROUNDUP(34917.9270430512,0)</f>
        <v>34918</v>
      </c>
      <c r="I2" s="140">
        <v>0.1</v>
      </c>
    </row>
    <row r="3" spans="1:9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23" t="s">
        <v>36</v>
      </c>
    </row>
    <row r="4" spans="1:9" x14ac:dyDescent="0.25">
      <c r="A4" s="29">
        <v>41887</v>
      </c>
      <c r="B4" s="1">
        <f>_xlfn.DAYS(A4,B1)</f>
        <v>31</v>
      </c>
      <c r="C4" s="4">
        <f t="shared" ref="C4:C40" si="0">$C$2</f>
        <v>34674</v>
      </c>
      <c r="D4" s="3">
        <f>C4-E4</f>
        <v>21934.27</v>
      </c>
      <c r="E4" s="19">
        <f>ROUND(F4*$B$2*B4/365,2)</f>
        <v>12739.73</v>
      </c>
      <c r="F4" s="23">
        <v>1000000</v>
      </c>
      <c r="G4" s="2">
        <f>F4-D4</f>
        <v>978065.73</v>
      </c>
      <c r="H4" s="14">
        <f>F4*$B$2*B4/365</f>
        <v>12739.726027397261</v>
      </c>
      <c r="I4" s="16">
        <f>H4-E4</f>
        <v>-3.9726027389406227E-3</v>
      </c>
    </row>
    <row r="5" spans="1:9" x14ac:dyDescent="0.25">
      <c r="A5" s="29">
        <v>41917</v>
      </c>
      <c r="B5" s="1">
        <f>_xlfn.DAYS(A5,A4)</f>
        <v>30</v>
      </c>
      <c r="C5" s="4">
        <f t="shared" si="0"/>
        <v>34674</v>
      </c>
      <c r="D5" s="2">
        <f t="shared" ref="D5:D59" si="1">C5-E5</f>
        <v>22615.66</v>
      </c>
      <c r="E5" s="19">
        <f>ROUND(F5*$B$2*B5/365,2)</f>
        <v>12058.34</v>
      </c>
      <c r="F5" s="2">
        <f>G4</f>
        <v>978065.73</v>
      </c>
      <c r="G5" s="2">
        <f>F5-D5</f>
        <v>955450.07</v>
      </c>
      <c r="H5" s="14">
        <f t="shared" ref="H5:H33" si="2">F5*$B$2*B5/365</f>
        <v>12058.344616438357</v>
      </c>
      <c r="I5" s="16">
        <f t="shared" ref="I5:I33" si="3">H5-E5</f>
        <v>4.6164383566065226E-3</v>
      </c>
    </row>
    <row r="6" spans="1:9" x14ac:dyDescent="0.25">
      <c r="A6" s="29">
        <v>41948</v>
      </c>
      <c r="B6" s="1">
        <f t="shared" ref="B6:B59" si="4">_xlfn.DAYS(A6,A5)</f>
        <v>31</v>
      </c>
      <c r="C6" s="4">
        <f t="shared" si="0"/>
        <v>34674</v>
      </c>
      <c r="D6" s="2">
        <f t="shared" si="1"/>
        <v>22501.83</v>
      </c>
      <c r="E6" s="19">
        <f t="shared" ref="E6:E38" si="5">ROUND(F6*$B$2*B6/365,2)</f>
        <v>12172.17</v>
      </c>
      <c r="F6" s="2">
        <f t="shared" ref="F6:F39" si="6">G5</f>
        <v>955450.07</v>
      </c>
      <c r="G6" s="2">
        <f t="shared" ref="G6:G39" si="7">F6-D6</f>
        <v>932948.24</v>
      </c>
      <c r="H6" s="14">
        <f t="shared" si="2"/>
        <v>12172.172124657533</v>
      </c>
      <c r="I6" s="16">
        <f t="shared" si="3"/>
        <v>2.1246575324767036E-3</v>
      </c>
    </row>
    <row r="7" spans="1:9" x14ac:dyDescent="0.25">
      <c r="A7" s="29">
        <v>41978</v>
      </c>
      <c r="B7" s="1">
        <f t="shared" si="4"/>
        <v>30</v>
      </c>
      <c r="C7" s="4">
        <f t="shared" si="0"/>
        <v>34674</v>
      </c>
      <c r="D7" s="2">
        <f t="shared" si="1"/>
        <v>23171.9</v>
      </c>
      <c r="E7" s="19">
        <f t="shared" si="5"/>
        <v>11502.1</v>
      </c>
      <c r="F7" s="2">
        <f t="shared" si="6"/>
        <v>932948.24</v>
      </c>
      <c r="G7" s="2">
        <f t="shared" si="7"/>
        <v>909776.34</v>
      </c>
      <c r="H7" s="14">
        <f t="shared" si="2"/>
        <v>11502.101589041096</v>
      </c>
      <c r="I7" s="16">
        <f t="shared" si="3"/>
        <v>1.5890410959400469E-3</v>
      </c>
    </row>
    <row r="8" spans="1:9" x14ac:dyDescent="0.25">
      <c r="A8" s="29">
        <v>42009</v>
      </c>
      <c r="B8" s="1">
        <f t="shared" si="4"/>
        <v>31</v>
      </c>
      <c r="C8" s="4">
        <f t="shared" si="0"/>
        <v>34674</v>
      </c>
      <c r="D8" s="2">
        <f t="shared" si="1"/>
        <v>23083.7</v>
      </c>
      <c r="E8" s="19">
        <f t="shared" si="5"/>
        <v>11590.3</v>
      </c>
      <c r="F8" s="2">
        <f t="shared" si="6"/>
        <v>909776.34</v>
      </c>
      <c r="G8" s="2">
        <f t="shared" si="7"/>
        <v>886692.64</v>
      </c>
      <c r="H8" s="14">
        <f t="shared" si="2"/>
        <v>11590.301317808218</v>
      </c>
      <c r="I8" s="16">
        <f t="shared" si="3"/>
        <v>1.3178082190279383E-3</v>
      </c>
    </row>
    <row r="9" spans="1:9" x14ac:dyDescent="0.25">
      <c r="A9" s="29">
        <v>42040</v>
      </c>
      <c r="B9" s="1">
        <f t="shared" si="4"/>
        <v>31</v>
      </c>
      <c r="C9" s="4">
        <f t="shared" si="0"/>
        <v>34674</v>
      </c>
      <c r="D9" s="2">
        <f t="shared" si="1"/>
        <v>23377.78</v>
      </c>
      <c r="E9" s="19">
        <f t="shared" si="5"/>
        <v>11296.22</v>
      </c>
      <c r="F9" s="2">
        <f t="shared" si="6"/>
        <v>886692.64</v>
      </c>
      <c r="G9" s="2">
        <f t="shared" si="7"/>
        <v>863314.86</v>
      </c>
      <c r="H9" s="14">
        <f t="shared" si="2"/>
        <v>11296.221304109589</v>
      </c>
      <c r="I9" s="16">
        <f t="shared" si="3"/>
        <v>1.3041095899097854E-3</v>
      </c>
    </row>
    <row r="10" spans="1:9" x14ac:dyDescent="0.25">
      <c r="A10" s="29">
        <v>42068</v>
      </c>
      <c r="B10" s="1">
        <f t="shared" si="4"/>
        <v>28</v>
      </c>
      <c r="C10" s="4">
        <f t="shared" si="0"/>
        <v>34674</v>
      </c>
      <c r="D10" s="2">
        <f t="shared" si="1"/>
        <v>24739.97</v>
      </c>
      <c r="E10" s="19">
        <f t="shared" si="5"/>
        <v>9934.0300000000007</v>
      </c>
      <c r="F10" s="2">
        <f t="shared" si="6"/>
        <v>863314.86</v>
      </c>
      <c r="G10" s="2">
        <f t="shared" si="7"/>
        <v>838574.89</v>
      </c>
      <c r="H10" s="14">
        <f t="shared" si="2"/>
        <v>9934.0340054794506</v>
      </c>
      <c r="I10" s="16">
        <f t="shared" si="3"/>
        <v>4.0054794499155832E-3</v>
      </c>
    </row>
    <row r="11" spans="1:9" x14ac:dyDescent="0.25">
      <c r="A11" s="29">
        <v>42099</v>
      </c>
      <c r="B11" s="1">
        <f t="shared" si="4"/>
        <v>31</v>
      </c>
      <c r="C11" s="4">
        <f t="shared" si="0"/>
        <v>34674</v>
      </c>
      <c r="D11" s="2">
        <f t="shared" si="1"/>
        <v>23990.79</v>
      </c>
      <c r="E11" s="19">
        <f t="shared" si="5"/>
        <v>10683.21</v>
      </c>
      <c r="F11" s="2">
        <f t="shared" si="6"/>
        <v>838574.89</v>
      </c>
      <c r="G11" s="2">
        <f t="shared" si="7"/>
        <v>814584.1</v>
      </c>
      <c r="H11" s="14">
        <f t="shared" si="2"/>
        <v>10683.214352054794</v>
      </c>
      <c r="I11" s="16">
        <f t="shared" si="3"/>
        <v>4.3520547951629851E-3</v>
      </c>
    </row>
    <row r="12" spans="1:9" x14ac:dyDescent="0.25">
      <c r="A12" s="29">
        <v>42129</v>
      </c>
      <c r="B12" s="1">
        <f t="shared" si="4"/>
        <v>30</v>
      </c>
      <c r="C12" s="4">
        <f t="shared" si="0"/>
        <v>34674</v>
      </c>
      <c r="D12" s="2">
        <f t="shared" si="1"/>
        <v>24631.18</v>
      </c>
      <c r="E12" s="19">
        <f t="shared" si="5"/>
        <v>10042.82</v>
      </c>
      <c r="F12" s="2">
        <f t="shared" si="6"/>
        <v>814584.1</v>
      </c>
      <c r="G12" s="2">
        <f t="shared" si="7"/>
        <v>789952.91999999993</v>
      </c>
      <c r="H12" s="14">
        <f t="shared" si="2"/>
        <v>10042.817671232877</v>
      </c>
      <c r="I12" s="16">
        <f t="shared" si="3"/>
        <v>-2.3287671228899853E-3</v>
      </c>
    </row>
    <row r="13" spans="1:9" x14ac:dyDescent="0.25">
      <c r="A13" s="29">
        <v>42160</v>
      </c>
      <c r="B13" s="1">
        <f t="shared" si="4"/>
        <v>31</v>
      </c>
      <c r="C13" s="4">
        <f t="shared" si="0"/>
        <v>34674</v>
      </c>
      <c r="D13" s="2">
        <f t="shared" si="1"/>
        <v>24610.22</v>
      </c>
      <c r="E13" s="19">
        <f t="shared" si="5"/>
        <v>10063.780000000001</v>
      </c>
      <c r="F13" s="2">
        <f t="shared" si="6"/>
        <v>789952.91999999993</v>
      </c>
      <c r="G13" s="2">
        <f t="shared" si="7"/>
        <v>765342.7</v>
      </c>
      <c r="H13" s="14">
        <f t="shared" si="2"/>
        <v>10063.783775342465</v>
      </c>
      <c r="I13" s="16">
        <f t="shared" si="3"/>
        <v>3.7753424639959121E-3</v>
      </c>
    </row>
    <row r="14" spans="1:9" x14ac:dyDescent="0.25">
      <c r="A14" s="29">
        <v>42190</v>
      </c>
      <c r="B14" s="1">
        <f t="shared" si="4"/>
        <v>30</v>
      </c>
      <c r="C14" s="4">
        <f t="shared" si="0"/>
        <v>34674</v>
      </c>
      <c r="D14" s="2">
        <f t="shared" si="1"/>
        <v>25238.27</v>
      </c>
      <c r="E14" s="19">
        <f t="shared" si="5"/>
        <v>9435.73</v>
      </c>
      <c r="F14" s="2">
        <f t="shared" si="6"/>
        <v>765342.7</v>
      </c>
      <c r="G14" s="2">
        <f t="shared" si="7"/>
        <v>740104.42999999993</v>
      </c>
      <c r="H14" s="14">
        <f t="shared" si="2"/>
        <v>9435.731917808218</v>
      </c>
      <c r="I14" s="16">
        <f t="shared" si="3"/>
        <v>1.9178082184225786E-3</v>
      </c>
    </row>
    <row r="15" spans="1:9" x14ac:dyDescent="0.25">
      <c r="A15" s="29">
        <v>42221</v>
      </c>
      <c r="B15" s="1">
        <f t="shared" si="4"/>
        <v>31</v>
      </c>
      <c r="C15" s="4">
        <f t="shared" si="0"/>
        <v>34674</v>
      </c>
      <c r="D15" s="2">
        <f t="shared" si="1"/>
        <v>25245.27</v>
      </c>
      <c r="E15" s="19">
        <f t="shared" si="5"/>
        <v>9428.73</v>
      </c>
      <c r="F15" s="2">
        <f t="shared" si="6"/>
        <v>740104.42999999993</v>
      </c>
      <c r="G15" s="2">
        <f t="shared" si="7"/>
        <v>714859.15999999992</v>
      </c>
      <c r="H15" s="14">
        <f t="shared" si="2"/>
        <v>9428.7276698630121</v>
      </c>
      <c r="I15" s="16">
        <f t="shared" si="3"/>
        <v>-2.3301369874388911E-3</v>
      </c>
    </row>
    <row r="16" spans="1:9" x14ac:dyDescent="0.25">
      <c r="A16" s="29">
        <v>42252</v>
      </c>
      <c r="B16" s="1">
        <f t="shared" si="4"/>
        <v>31</v>
      </c>
      <c r="C16" s="4">
        <f t="shared" si="0"/>
        <v>34674</v>
      </c>
      <c r="D16" s="2">
        <f t="shared" si="1"/>
        <v>25566.89</v>
      </c>
      <c r="E16" s="19">
        <f t="shared" si="5"/>
        <v>9107.11</v>
      </c>
      <c r="F16" s="2">
        <f t="shared" si="6"/>
        <v>714859.15999999992</v>
      </c>
      <c r="G16" s="2">
        <f t="shared" si="7"/>
        <v>689292.2699999999</v>
      </c>
      <c r="H16" s="14">
        <f t="shared" si="2"/>
        <v>9107.1098465753421</v>
      </c>
      <c r="I16" s="16">
        <f t="shared" si="3"/>
        <v>-1.5342465849244036E-4</v>
      </c>
    </row>
    <row r="17" spans="1:9" x14ac:dyDescent="0.25">
      <c r="A17" s="29">
        <v>42282</v>
      </c>
      <c r="B17" s="1">
        <f t="shared" si="4"/>
        <v>30</v>
      </c>
      <c r="C17" s="4">
        <f t="shared" si="0"/>
        <v>34674</v>
      </c>
      <c r="D17" s="2">
        <f t="shared" si="1"/>
        <v>26175.879999999997</v>
      </c>
      <c r="E17" s="19">
        <f t="shared" si="5"/>
        <v>8498.1200000000008</v>
      </c>
      <c r="F17" s="2">
        <f t="shared" si="6"/>
        <v>689292.2699999999</v>
      </c>
      <c r="G17" s="2">
        <f t="shared" si="7"/>
        <v>663116.3899999999</v>
      </c>
      <c r="H17" s="14">
        <f t="shared" si="2"/>
        <v>8498.1238767123268</v>
      </c>
      <c r="I17" s="16">
        <f t="shared" si="3"/>
        <v>3.8767123260186054E-3</v>
      </c>
    </row>
    <row r="18" spans="1:9" x14ac:dyDescent="0.25">
      <c r="A18" s="29">
        <v>42313</v>
      </c>
      <c r="B18" s="1">
        <f t="shared" si="4"/>
        <v>31</v>
      </c>
      <c r="C18" s="4">
        <f t="shared" si="0"/>
        <v>34674</v>
      </c>
      <c r="D18" s="2">
        <f t="shared" si="1"/>
        <v>26226.080000000002</v>
      </c>
      <c r="E18" s="19">
        <f t="shared" si="5"/>
        <v>8447.92</v>
      </c>
      <c r="F18" s="2">
        <f t="shared" si="6"/>
        <v>663116.3899999999</v>
      </c>
      <c r="G18" s="2">
        <f t="shared" si="7"/>
        <v>636890.30999999994</v>
      </c>
      <c r="H18" s="14">
        <f t="shared" si="2"/>
        <v>8447.9211328767105</v>
      </c>
      <c r="I18" s="16">
        <f t="shared" si="3"/>
        <v>1.1328767104714643E-3</v>
      </c>
    </row>
    <row r="19" spans="1:9" x14ac:dyDescent="0.25">
      <c r="A19" s="29">
        <v>42343</v>
      </c>
      <c r="B19" s="1">
        <f t="shared" si="4"/>
        <v>30</v>
      </c>
      <c r="C19" s="4">
        <f t="shared" si="0"/>
        <v>34674</v>
      </c>
      <c r="D19" s="2">
        <f t="shared" si="1"/>
        <v>26821.93</v>
      </c>
      <c r="E19" s="19">
        <f t="shared" si="5"/>
        <v>7852.07</v>
      </c>
      <c r="F19" s="2">
        <f t="shared" si="6"/>
        <v>636890.30999999994</v>
      </c>
      <c r="G19" s="2">
        <f t="shared" si="7"/>
        <v>610068.37999999989</v>
      </c>
      <c r="H19" s="14">
        <f t="shared" si="2"/>
        <v>7852.0723150684917</v>
      </c>
      <c r="I19" s="16">
        <f t="shared" si="3"/>
        <v>2.315068491952843E-3</v>
      </c>
    </row>
    <row r="20" spans="1:9" x14ac:dyDescent="0.25">
      <c r="A20" s="29">
        <v>42374</v>
      </c>
      <c r="B20" s="1">
        <f t="shared" si="4"/>
        <v>31</v>
      </c>
      <c r="C20" s="4">
        <f t="shared" si="0"/>
        <v>34674</v>
      </c>
      <c r="D20" s="2">
        <f t="shared" si="1"/>
        <v>26901.9</v>
      </c>
      <c r="E20" s="19">
        <f t="shared" si="5"/>
        <v>7772.1</v>
      </c>
      <c r="F20" s="2">
        <f t="shared" si="6"/>
        <v>610068.37999999989</v>
      </c>
      <c r="G20" s="2">
        <f t="shared" si="7"/>
        <v>583166.47999999986</v>
      </c>
      <c r="H20" s="14">
        <f t="shared" si="2"/>
        <v>7772.1040191780803</v>
      </c>
      <c r="I20" s="16">
        <f t="shared" si="3"/>
        <v>4.0191780799432308E-3</v>
      </c>
    </row>
    <row r="21" spans="1:9" x14ac:dyDescent="0.25">
      <c r="A21" s="29">
        <v>42405</v>
      </c>
      <c r="B21" s="1">
        <f t="shared" si="4"/>
        <v>31</v>
      </c>
      <c r="C21" s="4">
        <f t="shared" si="0"/>
        <v>34674</v>
      </c>
      <c r="D21" s="2">
        <f t="shared" si="1"/>
        <v>27244.62</v>
      </c>
      <c r="E21" s="19">
        <f t="shared" si="5"/>
        <v>7429.38</v>
      </c>
      <c r="F21" s="2">
        <f t="shared" si="6"/>
        <v>583166.47999999986</v>
      </c>
      <c r="G21" s="2">
        <f t="shared" si="7"/>
        <v>555921.85999999987</v>
      </c>
      <c r="H21" s="14">
        <f t="shared" si="2"/>
        <v>7429.3811835616416</v>
      </c>
      <c r="I21" s="16">
        <f t="shared" si="3"/>
        <v>1.183561641482811E-3</v>
      </c>
    </row>
    <row r="22" spans="1:9" x14ac:dyDescent="0.25">
      <c r="A22" s="29">
        <v>42434</v>
      </c>
      <c r="B22" s="1">
        <f t="shared" si="4"/>
        <v>29</v>
      </c>
      <c r="C22" s="4">
        <f t="shared" si="0"/>
        <v>34674</v>
      </c>
      <c r="D22" s="2">
        <f t="shared" si="1"/>
        <v>28048.63</v>
      </c>
      <c r="E22" s="19">
        <f t="shared" si="5"/>
        <v>6625.37</v>
      </c>
      <c r="F22" s="2">
        <f t="shared" si="6"/>
        <v>555921.85999999987</v>
      </c>
      <c r="G22" s="2">
        <f t="shared" si="7"/>
        <v>527873.22999999986</v>
      </c>
      <c r="H22" s="14">
        <f t="shared" si="2"/>
        <v>6625.3701123287656</v>
      </c>
      <c r="I22" s="16">
        <f t="shared" si="3"/>
        <v>1.1232876568101346E-4</v>
      </c>
    </row>
    <row r="23" spans="1:9" x14ac:dyDescent="0.25">
      <c r="A23" s="29">
        <v>42465</v>
      </c>
      <c r="B23" s="1">
        <f t="shared" si="4"/>
        <v>31</v>
      </c>
      <c r="C23" s="4">
        <f t="shared" si="0"/>
        <v>34674</v>
      </c>
      <c r="D23" s="2">
        <f t="shared" si="1"/>
        <v>27949.040000000001</v>
      </c>
      <c r="E23" s="19">
        <f t="shared" si="5"/>
        <v>6724.96</v>
      </c>
      <c r="F23" s="2">
        <f t="shared" si="6"/>
        <v>527873.22999999986</v>
      </c>
      <c r="G23" s="2">
        <f t="shared" si="7"/>
        <v>499924.18999999989</v>
      </c>
      <c r="H23" s="14">
        <f t="shared" si="2"/>
        <v>6724.9603273972589</v>
      </c>
      <c r="I23" s="16">
        <f t="shared" si="3"/>
        <v>3.2739725884312065E-4</v>
      </c>
    </row>
    <row r="24" spans="1:9" x14ac:dyDescent="0.25">
      <c r="A24" s="29">
        <v>42495</v>
      </c>
      <c r="B24" s="1">
        <f t="shared" si="4"/>
        <v>30</v>
      </c>
      <c r="C24" s="4">
        <f t="shared" si="0"/>
        <v>34674</v>
      </c>
      <c r="D24" s="2">
        <f t="shared" si="1"/>
        <v>28510.55</v>
      </c>
      <c r="E24" s="19">
        <f t="shared" si="5"/>
        <v>6163.45</v>
      </c>
      <c r="F24" s="2">
        <f t="shared" si="6"/>
        <v>499924.18999999989</v>
      </c>
      <c r="G24" s="2">
        <f t="shared" si="7"/>
        <v>471413.6399999999</v>
      </c>
      <c r="H24" s="14">
        <f t="shared" si="2"/>
        <v>6163.4489178082176</v>
      </c>
      <c r="I24" s="16">
        <f t="shared" si="3"/>
        <v>-1.0821917821886018E-3</v>
      </c>
    </row>
    <row r="25" spans="1:9" x14ac:dyDescent="0.25">
      <c r="A25" s="29">
        <v>42526</v>
      </c>
      <c r="B25" s="1">
        <f t="shared" si="4"/>
        <v>31</v>
      </c>
      <c r="C25" s="4">
        <f t="shared" si="0"/>
        <v>34674</v>
      </c>
      <c r="D25" s="2">
        <f t="shared" si="1"/>
        <v>28668.32</v>
      </c>
      <c r="E25" s="19">
        <f t="shared" si="5"/>
        <v>6005.68</v>
      </c>
      <c r="F25" s="2">
        <f t="shared" si="6"/>
        <v>471413.6399999999</v>
      </c>
      <c r="G25" s="2">
        <f t="shared" si="7"/>
        <v>442745.31999999989</v>
      </c>
      <c r="H25" s="14">
        <f t="shared" si="2"/>
        <v>6005.6806191780806</v>
      </c>
      <c r="I25" s="16">
        <f t="shared" si="3"/>
        <v>6.1917808034195332E-4</v>
      </c>
    </row>
    <row r="26" spans="1:9" x14ac:dyDescent="0.25">
      <c r="A26" s="29">
        <v>42556</v>
      </c>
      <c r="B26" s="1">
        <f t="shared" si="4"/>
        <v>30</v>
      </c>
      <c r="C26" s="4">
        <f t="shared" si="0"/>
        <v>34674</v>
      </c>
      <c r="D26" s="2">
        <f t="shared" si="1"/>
        <v>29215.5</v>
      </c>
      <c r="E26" s="19">
        <f t="shared" si="5"/>
        <v>5458.5</v>
      </c>
      <c r="F26" s="2">
        <f t="shared" si="6"/>
        <v>442745.31999999989</v>
      </c>
      <c r="G26" s="2">
        <f t="shared" si="7"/>
        <v>413529.81999999989</v>
      </c>
      <c r="H26" s="14">
        <f t="shared" si="2"/>
        <v>5458.503945205478</v>
      </c>
      <c r="I26" s="16">
        <f t="shared" si="3"/>
        <v>3.9452054779758328E-3</v>
      </c>
    </row>
    <row r="27" spans="1:9" x14ac:dyDescent="0.25">
      <c r="A27" s="29">
        <v>42587</v>
      </c>
      <c r="B27" s="1">
        <f t="shared" si="4"/>
        <v>31</v>
      </c>
      <c r="C27" s="4">
        <f t="shared" si="0"/>
        <v>34674</v>
      </c>
      <c r="D27" s="2">
        <f t="shared" si="1"/>
        <v>29405.739999999998</v>
      </c>
      <c r="E27" s="19">
        <f t="shared" si="5"/>
        <v>5268.26</v>
      </c>
      <c r="F27" s="2">
        <f t="shared" si="6"/>
        <v>413529.81999999989</v>
      </c>
      <c r="G27" s="2">
        <f t="shared" si="7"/>
        <v>384124.0799999999</v>
      </c>
      <c r="H27" s="14">
        <f t="shared" si="2"/>
        <v>5268.2566109589025</v>
      </c>
      <c r="I27" s="16">
        <f t="shared" si="3"/>
        <v>-3.3890410977619467E-3</v>
      </c>
    </row>
    <row r="28" spans="1:9" x14ac:dyDescent="0.25">
      <c r="A28" s="29">
        <v>42618</v>
      </c>
      <c r="B28" s="1">
        <f t="shared" si="4"/>
        <v>31</v>
      </c>
      <c r="C28" s="4">
        <f t="shared" si="0"/>
        <v>34674</v>
      </c>
      <c r="D28" s="2">
        <f t="shared" si="1"/>
        <v>29780.36</v>
      </c>
      <c r="E28" s="19">
        <f t="shared" si="5"/>
        <v>4893.6400000000003</v>
      </c>
      <c r="F28" s="2">
        <f t="shared" si="6"/>
        <v>384124.0799999999</v>
      </c>
      <c r="G28" s="2">
        <f t="shared" si="7"/>
        <v>354343.71999999991</v>
      </c>
      <c r="H28" s="14">
        <f t="shared" si="2"/>
        <v>4893.6355397260259</v>
      </c>
      <c r="I28" s="16">
        <f t="shared" si="3"/>
        <v>-4.4602739744732389E-3</v>
      </c>
    </row>
    <row r="29" spans="1:9" x14ac:dyDescent="0.25">
      <c r="A29" s="29">
        <v>42648</v>
      </c>
      <c r="B29" s="1">
        <f t="shared" si="4"/>
        <v>30</v>
      </c>
      <c r="C29" s="4">
        <f t="shared" si="0"/>
        <v>34674</v>
      </c>
      <c r="D29" s="2">
        <f t="shared" si="1"/>
        <v>30305.38</v>
      </c>
      <c r="E29" s="19">
        <f t="shared" si="5"/>
        <v>4368.62</v>
      </c>
      <c r="F29" s="2">
        <f t="shared" si="6"/>
        <v>354343.71999999991</v>
      </c>
      <c r="G29" s="2">
        <f t="shared" si="7"/>
        <v>324038.33999999991</v>
      </c>
      <c r="H29" s="14">
        <f t="shared" si="2"/>
        <v>4368.6212054794505</v>
      </c>
      <c r="I29" s="16">
        <f t="shared" si="3"/>
        <v>1.2054794506184408E-3</v>
      </c>
    </row>
    <row r="30" spans="1:9" x14ac:dyDescent="0.25">
      <c r="A30" s="29">
        <v>42679</v>
      </c>
      <c r="B30" s="1">
        <f t="shared" si="4"/>
        <v>31</v>
      </c>
      <c r="C30" s="4">
        <f t="shared" si="0"/>
        <v>34674</v>
      </c>
      <c r="D30" s="2">
        <f t="shared" si="1"/>
        <v>30545.84</v>
      </c>
      <c r="E30" s="19">
        <f t="shared" si="5"/>
        <v>4128.16</v>
      </c>
      <c r="F30" s="2">
        <f t="shared" si="6"/>
        <v>324038.33999999991</v>
      </c>
      <c r="G30" s="2">
        <f t="shared" si="7"/>
        <v>293492.49999999988</v>
      </c>
      <c r="H30" s="14">
        <f t="shared" si="2"/>
        <v>4128.159673972601</v>
      </c>
      <c r="I30" s="16">
        <f t="shared" si="3"/>
        <v>-3.2602739884168841E-4</v>
      </c>
    </row>
    <row r="31" spans="1:9" x14ac:dyDescent="0.25">
      <c r="A31" s="29">
        <v>42709</v>
      </c>
      <c r="B31" s="1">
        <f t="shared" si="4"/>
        <v>30</v>
      </c>
      <c r="C31" s="4">
        <f t="shared" si="0"/>
        <v>34674</v>
      </c>
      <c r="D31" s="2">
        <f t="shared" si="1"/>
        <v>31055.599999999999</v>
      </c>
      <c r="E31" s="19">
        <f t="shared" si="5"/>
        <v>3618.4</v>
      </c>
      <c r="F31" s="2">
        <f t="shared" si="6"/>
        <v>293492.49999999988</v>
      </c>
      <c r="G31" s="2">
        <f t="shared" si="7"/>
        <v>262436.89999999991</v>
      </c>
      <c r="H31" s="14">
        <f t="shared" si="2"/>
        <v>3618.4006849315051</v>
      </c>
      <c r="I31" s="16">
        <f t="shared" si="3"/>
        <v>6.849315050203586E-4</v>
      </c>
    </row>
    <row r="32" spans="1:9" x14ac:dyDescent="0.25">
      <c r="A32" s="29">
        <v>42740</v>
      </c>
      <c r="B32" s="1">
        <f t="shared" si="4"/>
        <v>31</v>
      </c>
      <c r="C32" s="4">
        <f t="shared" si="0"/>
        <v>34674</v>
      </c>
      <c r="D32" s="2">
        <f t="shared" si="1"/>
        <v>31330.63</v>
      </c>
      <c r="E32" s="19">
        <f t="shared" si="5"/>
        <v>3343.37</v>
      </c>
      <c r="F32" s="2">
        <f t="shared" si="6"/>
        <v>262436.89999999991</v>
      </c>
      <c r="G32" s="2">
        <f t="shared" si="7"/>
        <v>231106.2699999999</v>
      </c>
      <c r="H32" s="14">
        <f t="shared" si="2"/>
        <v>3343.3742054794507</v>
      </c>
      <c r="I32" s="16">
        <f t="shared" si="3"/>
        <v>4.2054794507748738E-3</v>
      </c>
    </row>
    <row r="33" spans="1:9" x14ac:dyDescent="0.25">
      <c r="A33" s="29">
        <v>42771</v>
      </c>
      <c r="B33" s="1">
        <f t="shared" si="4"/>
        <v>31</v>
      </c>
      <c r="C33" s="4">
        <f t="shared" si="0"/>
        <v>34674</v>
      </c>
      <c r="D33" s="2">
        <f t="shared" si="1"/>
        <v>31729.77</v>
      </c>
      <c r="E33" s="19">
        <f t="shared" si="5"/>
        <v>2944.23</v>
      </c>
      <c r="F33" s="2">
        <f t="shared" si="6"/>
        <v>231106.2699999999</v>
      </c>
      <c r="G33" s="2">
        <f t="shared" si="7"/>
        <v>199376.49999999991</v>
      </c>
      <c r="H33" s="14">
        <f t="shared" si="2"/>
        <v>2944.2305630136971</v>
      </c>
      <c r="I33" s="16">
        <f t="shared" si="3"/>
        <v>5.6301369704669924E-4</v>
      </c>
    </row>
    <row r="34" spans="1:9" x14ac:dyDescent="0.25">
      <c r="A34" s="29">
        <v>42799</v>
      </c>
      <c r="B34" s="1">
        <f t="shared" si="4"/>
        <v>28</v>
      </c>
      <c r="C34" s="4">
        <f t="shared" si="0"/>
        <v>34674</v>
      </c>
      <c r="D34" s="2">
        <f t="shared" si="1"/>
        <v>32379.8</v>
      </c>
      <c r="E34" s="19">
        <f t="shared" si="5"/>
        <v>2294.1999999999998</v>
      </c>
      <c r="F34" s="2">
        <f t="shared" si="6"/>
        <v>199376.49999999991</v>
      </c>
      <c r="G34" s="2">
        <f t="shared" si="7"/>
        <v>166996.69999999992</v>
      </c>
      <c r="H34" s="14"/>
      <c r="I34" s="16"/>
    </row>
    <row r="35" spans="1:9" x14ac:dyDescent="0.25">
      <c r="A35" s="29">
        <v>42830</v>
      </c>
      <c r="B35" s="1">
        <f t="shared" si="4"/>
        <v>31</v>
      </c>
      <c r="C35" s="4">
        <f t="shared" si="0"/>
        <v>34674</v>
      </c>
      <c r="D35" s="2">
        <f t="shared" si="1"/>
        <v>32546.510000000002</v>
      </c>
      <c r="E35" s="19">
        <f t="shared" si="5"/>
        <v>2127.4899999999998</v>
      </c>
      <c r="F35" s="2">
        <f t="shared" si="6"/>
        <v>166996.69999999992</v>
      </c>
      <c r="G35" s="2">
        <f t="shared" si="7"/>
        <v>134450.18999999992</v>
      </c>
      <c r="H35" s="14"/>
      <c r="I35" s="16"/>
    </row>
    <row r="36" spans="1:9" x14ac:dyDescent="0.25">
      <c r="A36" s="29">
        <v>42860</v>
      </c>
      <c r="B36" s="1">
        <f t="shared" si="4"/>
        <v>30</v>
      </c>
      <c r="C36" s="4">
        <f t="shared" si="0"/>
        <v>34674</v>
      </c>
      <c r="D36" s="2">
        <f t="shared" si="1"/>
        <v>33016.39</v>
      </c>
      <c r="E36" s="19">
        <f t="shared" si="5"/>
        <v>1657.61</v>
      </c>
      <c r="F36" s="2">
        <f t="shared" si="6"/>
        <v>134450.18999999992</v>
      </c>
      <c r="G36" s="2">
        <f t="shared" si="7"/>
        <v>101433.79999999992</v>
      </c>
      <c r="H36" s="14"/>
      <c r="I36" s="16"/>
    </row>
    <row r="37" spans="1:9" x14ac:dyDescent="0.25">
      <c r="A37" s="29">
        <v>42891</v>
      </c>
      <c r="B37" s="1">
        <f t="shared" si="4"/>
        <v>31</v>
      </c>
      <c r="C37" s="4">
        <f t="shared" si="0"/>
        <v>34674</v>
      </c>
      <c r="D37" s="2">
        <f t="shared" si="1"/>
        <v>33381.760000000002</v>
      </c>
      <c r="E37" s="19">
        <f t="shared" si="5"/>
        <v>1292.24</v>
      </c>
      <c r="F37" s="2">
        <f t="shared" si="6"/>
        <v>101433.79999999992</v>
      </c>
      <c r="G37" s="2">
        <f t="shared" si="7"/>
        <v>68052.039999999921</v>
      </c>
      <c r="H37" s="14"/>
      <c r="I37" s="16"/>
    </row>
    <row r="38" spans="1:9" x14ac:dyDescent="0.25">
      <c r="A38" s="29">
        <v>42921</v>
      </c>
      <c r="B38" s="1">
        <f t="shared" si="4"/>
        <v>30</v>
      </c>
      <c r="C38" s="4">
        <f t="shared" si="0"/>
        <v>34674</v>
      </c>
      <c r="D38" s="2">
        <f t="shared" si="1"/>
        <v>33835</v>
      </c>
      <c r="E38" s="19">
        <f t="shared" si="5"/>
        <v>839</v>
      </c>
      <c r="F38" s="2">
        <f t="shared" si="6"/>
        <v>68052.039999999921</v>
      </c>
      <c r="G38" s="2">
        <f t="shared" si="7"/>
        <v>34217.039999999921</v>
      </c>
      <c r="H38" s="14"/>
      <c r="I38" s="16"/>
    </row>
    <row r="39" spans="1:9" x14ac:dyDescent="0.25">
      <c r="A39" s="29">
        <v>42952</v>
      </c>
      <c r="B39" s="1">
        <f t="shared" si="4"/>
        <v>31</v>
      </c>
      <c r="C39" s="4">
        <f t="shared" si="0"/>
        <v>34674</v>
      </c>
      <c r="D39" s="2">
        <f t="shared" si="1"/>
        <v>34217.039999999921</v>
      </c>
      <c r="E39" s="19">
        <v>456.96000000008064</v>
      </c>
      <c r="F39" s="2">
        <f t="shared" si="6"/>
        <v>34217.039999999921</v>
      </c>
      <c r="G39" s="2">
        <f t="shared" si="7"/>
        <v>0</v>
      </c>
      <c r="H39" s="14"/>
      <c r="I39" s="16"/>
    </row>
    <row r="40" spans="1:9" x14ac:dyDescent="0.25">
      <c r="A40" s="70">
        <v>42374</v>
      </c>
      <c r="B40" s="98" t="s">
        <v>50</v>
      </c>
      <c r="C40" s="141">
        <f t="shared" si="0"/>
        <v>34674</v>
      </c>
      <c r="D40" s="142">
        <f t="shared" si="1"/>
        <v>26901.9</v>
      </c>
      <c r="E40" s="143">
        <f>ROUND(F20*$B$2*B20/365,2)</f>
        <v>7772.1</v>
      </c>
      <c r="F40" s="142">
        <f>G19</f>
        <v>610068.37999999989</v>
      </c>
      <c r="G40" s="142">
        <f>F20-D20</f>
        <v>583166.47999999986</v>
      </c>
      <c r="H40" s="14"/>
      <c r="I40" s="16"/>
    </row>
    <row r="41" spans="1:9" x14ac:dyDescent="0.25">
      <c r="A41" s="54">
        <v>42405</v>
      </c>
      <c r="B41" s="1">
        <f t="shared" si="4"/>
        <v>31</v>
      </c>
      <c r="C41" s="4">
        <f t="shared" ref="C41:C52" si="8">$E$2</f>
        <v>36063</v>
      </c>
      <c r="D41" s="2">
        <f t="shared" si="1"/>
        <v>26157.16</v>
      </c>
      <c r="E41" s="19">
        <f t="shared" ref="E41:E52" si="9">ROUND(F41*$F$2*B41/365,2)</f>
        <v>9905.84</v>
      </c>
      <c r="F41" s="2">
        <f>G20</f>
        <v>583166.47999999986</v>
      </c>
      <c r="G41" s="2">
        <f>F41-D41</f>
        <v>557009.31999999983</v>
      </c>
      <c r="H41" s="14"/>
      <c r="I41" s="16"/>
    </row>
    <row r="42" spans="1:9" x14ac:dyDescent="0.25">
      <c r="A42" s="54">
        <v>42434</v>
      </c>
      <c r="B42" s="1">
        <f t="shared" si="4"/>
        <v>29</v>
      </c>
      <c r="C42" s="4">
        <f t="shared" si="8"/>
        <v>36063</v>
      </c>
      <c r="D42" s="2">
        <f t="shared" si="1"/>
        <v>27211.89</v>
      </c>
      <c r="E42" s="19">
        <f t="shared" si="9"/>
        <v>8851.11</v>
      </c>
      <c r="F42" s="2">
        <f>G41</f>
        <v>557009.31999999983</v>
      </c>
      <c r="G42" s="2">
        <f t="shared" ref="G42:G59" si="10">F42-D42</f>
        <v>529797.42999999982</v>
      </c>
      <c r="H42" s="14"/>
      <c r="I42" s="16"/>
    </row>
    <row r="43" spans="1:9" x14ac:dyDescent="0.25">
      <c r="A43" s="54">
        <v>42465</v>
      </c>
      <c r="B43" s="1">
        <f t="shared" si="4"/>
        <v>31</v>
      </c>
      <c r="C43" s="4">
        <f t="shared" si="8"/>
        <v>36063</v>
      </c>
      <c r="D43" s="2">
        <f t="shared" si="1"/>
        <v>27063.7</v>
      </c>
      <c r="E43" s="19">
        <f t="shared" si="9"/>
        <v>8999.2999999999993</v>
      </c>
      <c r="F43" s="2">
        <f t="shared" ref="F43:F59" si="11">G42</f>
        <v>529797.42999999982</v>
      </c>
      <c r="G43" s="2">
        <f t="shared" si="10"/>
        <v>502733.72999999981</v>
      </c>
      <c r="H43" s="14"/>
      <c r="I43" s="16"/>
    </row>
    <row r="44" spans="1:9" x14ac:dyDescent="0.25">
      <c r="A44" s="54">
        <v>42495</v>
      </c>
      <c r="B44" s="1">
        <f t="shared" si="4"/>
        <v>30</v>
      </c>
      <c r="C44" s="4">
        <f t="shared" si="8"/>
        <v>36063</v>
      </c>
      <c r="D44" s="2">
        <f t="shared" si="1"/>
        <v>27798.879999999997</v>
      </c>
      <c r="E44" s="19">
        <f t="shared" si="9"/>
        <v>8264.1200000000008</v>
      </c>
      <c r="F44" s="2">
        <f t="shared" si="11"/>
        <v>502733.72999999981</v>
      </c>
      <c r="G44" s="2">
        <f t="shared" si="10"/>
        <v>474934.8499999998</v>
      </c>
      <c r="H44" s="14"/>
      <c r="I44" s="16"/>
    </row>
    <row r="45" spans="1:9" x14ac:dyDescent="0.25">
      <c r="A45" s="54">
        <v>42526</v>
      </c>
      <c r="B45" s="1">
        <f t="shared" si="4"/>
        <v>31</v>
      </c>
      <c r="C45" s="4">
        <f t="shared" si="8"/>
        <v>36063</v>
      </c>
      <c r="D45" s="2">
        <f t="shared" si="1"/>
        <v>27995.61</v>
      </c>
      <c r="E45" s="19">
        <f t="shared" si="9"/>
        <v>8067.39</v>
      </c>
      <c r="F45" s="2">
        <f t="shared" si="11"/>
        <v>474934.8499999998</v>
      </c>
      <c r="G45" s="2">
        <f t="shared" si="10"/>
        <v>446939.23999999982</v>
      </c>
      <c r="H45" s="14"/>
      <c r="I45" s="16"/>
    </row>
    <row r="46" spans="1:9" x14ac:dyDescent="0.25">
      <c r="A46" s="54">
        <v>42556</v>
      </c>
      <c r="B46" s="1">
        <f t="shared" si="4"/>
        <v>30</v>
      </c>
      <c r="C46" s="4">
        <f t="shared" si="8"/>
        <v>36063</v>
      </c>
      <c r="D46" s="2">
        <f t="shared" si="1"/>
        <v>28716.05</v>
      </c>
      <c r="E46" s="19">
        <f t="shared" si="9"/>
        <v>7346.95</v>
      </c>
      <c r="F46" s="2">
        <f t="shared" si="11"/>
        <v>446939.23999999982</v>
      </c>
      <c r="G46" s="2">
        <f t="shared" si="10"/>
        <v>418223.18999999983</v>
      </c>
      <c r="H46" s="14"/>
      <c r="I46" s="16"/>
    </row>
    <row r="47" spans="1:9" x14ac:dyDescent="0.25">
      <c r="A47" s="54">
        <v>42587</v>
      </c>
      <c r="B47" s="1">
        <f t="shared" si="4"/>
        <v>31</v>
      </c>
      <c r="C47" s="4">
        <f t="shared" si="8"/>
        <v>36063</v>
      </c>
      <c r="D47" s="2">
        <f t="shared" si="1"/>
        <v>28958.93</v>
      </c>
      <c r="E47" s="19">
        <f t="shared" si="9"/>
        <v>7104.07</v>
      </c>
      <c r="F47" s="2">
        <f t="shared" si="11"/>
        <v>418223.18999999983</v>
      </c>
      <c r="G47" s="2">
        <f t="shared" si="10"/>
        <v>389264.25999999983</v>
      </c>
      <c r="H47" s="14"/>
      <c r="I47" s="16"/>
    </row>
    <row r="48" spans="1:9" x14ac:dyDescent="0.25">
      <c r="A48" s="54">
        <v>42618</v>
      </c>
      <c r="B48" s="1">
        <f t="shared" si="4"/>
        <v>31</v>
      </c>
      <c r="C48" s="4">
        <f t="shared" si="8"/>
        <v>36063</v>
      </c>
      <c r="D48" s="2">
        <f t="shared" si="1"/>
        <v>29450.84</v>
      </c>
      <c r="E48" s="19">
        <f t="shared" si="9"/>
        <v>6612.16</v>
      </c>
      <c r="F48" s="2">
        <f t="shared" si="11"/>
        <v>389264.25999999983</v>
      </c>
      <c r="G48" s="2">
        <f t="shared" si="10"/>
        <v>359813.41999999981</v>
      </c>
      <c r="H48" s="14"/>
      <c r="I48" s="16"/>
    </row>
    <row r="49" spans="1:9" x14ac:dyDescent="0.25">
      <c r="A49" s="54">
        <v>42648</v>
      </c>
      <c r="B49" s="1">
        <f t="shared" si="4"/>
        <v>30</v>
      </c>
      <c r="C49" s="4">
        <f t="shared" si="8"/>
        <v>36063</v>
      </c>
      <c r="D49" s="2">
        <f t="shared" si="1"/>
        <v>30148.260000000002</v>
      </c>
      <c r="E49" s="19">
        <f t="shared" si="9"/>
        <v>5914.74</v>
      </c>
      <c r="F49" s="2">
        <f t="shared" si="11"/>
        <v>359813.41999999981</v>
      </c>
      <c r="G49" s="2">
        <f t="shared" si="10"/>
        <v>329665.1599999998</v>
      </c>
      <c r="H49" s="14"/>
      <c r="I49" s="16"/>
    </row>
    <row r="50" spans="1:9" x14ac:dyDescent="0.25">
      <c r="A50" s="54">
        <v>42679</v>
      </c>
      <c r="B50" s="1">
        <f t="shared" si="4"/>
        <v>31</v>
      </c>
      <c r="C50" s="4">
        <f t="shared" si="8"/>
        <v>36063</v>
      </c>
      <c r="D50" s="2">
        <f t="shared" si="1"/>
        <v>30463.21</v>
      </c>
      <c r="E50" s="19">
        <f t="shared" si="9"/>
        <v>5599.79</v>
      </c>
      <c r="F50" s="2">
        <f t="shared" si="11"/>
        <v>329665.1599999998</v>
      </c>
      <c r="G50" s="2">
        <f t="shared" si="10"/>
        <v>299201.94999999978</v>
      </c>
      <c r="H50" s="14"/>
      <c r="I50" s="16"/>
    </row>
    <row r="51" spans="1:9" x14ac:dyDescent="0.25">
      <c r="A51" s="54">
        <v>42709</v>
      </c>
      <c r="B51" s="1">
        <f t="shared" si="4"/>
        <v>30</v>
      </c>
      <c r="C51" s="4">
        <f t="shared" si="8"/>
        <v>36063</v>
      </c>
      <c r="D51" s="2">
        <f t="shared" si="1"/>
        <v>31144.61</v>
      </c>
      <c r="E51" s="19">
        <f t="shared" si="9"/>
        <v>4918.3900000000003</v>
      </c>
      <c r="F51" s="2">
        <f t="shared" si="11"/>
        <v>299201.94999999978</v>
      </c>
      <c r="G51" s="2">
        <f t="shared" si="10"/>
        <v>268057.33999999979</v>
      </c>
      <c r="H51" s="14"/>
      <c r="I51" s="16"/>
    </row>
    <row r="52" spans="1:9" x14ac:dyDescent="0.25">
      <c r="A52" s="70">
        <v>42740</v>
      </c>
      <c r="B52" s="98">
        <f t="shared" si="4"/>
        <v>31</v>
      </c>
      <c r="C52" s="141">
        <f t="shared" si="8"/>
        <v>36063</v>
      </c>
      <c r="D52" s="142">
        <f t="shared" si="1"/>
        <v>31509.7</v>
      </c>
      <c r="E52" s="143">
        <f t="shared" si="9"/>
        <v>4553.3</v>
      </c>
      <c r="F52" s="142">
        <f t="shared" si="11"/>
        <v>268057.33999999979</v>
      </c>
      <c r="G52" s="142">
        <f t="shared" si="10"/>
        <v>236547.63999999978</v>
      </c>
      <c r="H52" s="14"/>
      <c r="I52" s="16"/>
    </row>
    <row r="53" spans="1:9" x14ac:dyDescent="0.25">
      <c r="A53" s="54">
        <v>42771</v>
      </c>
      <c r="B53" s="1">
        <f t="shared" si="4"/>
        <v>31</v>
      </c>
      <c r="C53" s="4">
        <f>$H$2</f>
        <v>34918</v>
      </c>
      <c r="D53" s="2">
        <f t="shared" si="1"/>
        <v>32908.97</v>
      </c>
      <c r="E53" s="19">
        <f>ROUND(F53*$I$2*B53/365,2)</f>
        <v>2009.03</v>
      </c>
      <c r="F53" s="2">
        <f t="shared" si="11"/>
        <v>236547.63999999978</v>
      </c>
      <c r="G53" s="2">
        <f t="shared" si="10"/>
        <v>203638.66999999978</v>
      </c>
      <c r="H53" s="14"/>
      <c r="I53" s="16"/>
    </row>
    <row r="54" spans="1:9" x14ac:dyDescent="0.25">
      <c r="A54" s="54">
        <v>42799</v>
      </c>
      <c r="B54" s="1">
        <f t="shared" si="4"/>
        <v>28</v>
      </c>
      <c r="C54" s="4">
        <f t="shared" ref="C54:C59" si="12">$H$2</f>
        <v>34918</v>
      </c>
      <c r="D54" s="2">
        <f t="shared" si="1"/>
        <v>33355.839999999997</v>
      </c>
      <c r="E54" s="19">
        <f t="shared" ref="E54:E58" si="13">ROUND(F54*$I$2*B54/365,2)</f>
        <v>1562.16</v>
      </c>
      <c r="F54" s="2">
        <f t="shared" si="11"/>
        <v>203638.66999999978</v>
      </c>
      <c r="G54" s="2">
        <f t="shared" si="10"/>
        <v>170282.82999999978</v>
      </c>
      <c r="H54" s="14"/>
      <c r="I54" s="16"/>
    </row>
    <row r="55" spans="1:9" x14ac:dyDescent="0.25">
      <c r="A55" s="54">
        <v>42830</v>
      </c>
      <c r="B55" s="1">
        <f t="shared" si="4"/>
        <v>31</v>
      </c>
      <c r="C55" s="4">
        <f t="shared" si="12"/>
        <v>34918</v>
      </c>
      <c r="D55" s="2">
        <f t="shared" si="1"/>
        <v>33471.760000000002</v>
      </c>
      <c r="E55" s="19">
        <f t="shared" si="13"/>
        <v>1446.24</v>
      </c>
      <c r="F55" s="2">
        <f t="shared" si="11"/>
        <v>170282.82999999978</v>
      </c>
      <c r="G55" s="2">
        <f t="shared" si="10"/>
        <v>136811.06999999977</v>
      </c>
      <c r="H55" s="14"/>
      <c r="I55" s="16"/>
    </row>
    <row r="56" spans="1:9" x14ac:dyDescent="0.25">
      <c r="A56" s="54">
        <v>42860</v>
      </c>
      <c r="B56" s="1">
        <f t="shared" si="4"/>
        <v>30</v>
      </c>
      <c r="C56" s="4">
        <f t="shared" si="12"/>
        <v>34918</v>
      </c>
      <c r="D56" s="2">
        <f t="shared" si="1"/>
        <v>33793.53</v>
      </c>
      <c r="E56" s="19">
        <f t="shared" si="13"/>
        <v>1124.47</v>
      </c>
      <c r="F56" s="2">
        <f t="shared" si="11"/>
        <v>136811.06999999977</v>
      </c>
      <c r="G56" s="2">
        <f t="shared" si="10"/>
        <v>103017.53999999978</v>
      </c>
      <c r="H56" s="14"/>
      <c r="I56" s="16"/>
    </row>
    <row r="57" spans="1:9" x14ac:dyDescent="0.25">
      <c r="A57" s="54">
        <v>42891</v>
      </c>
      <c r="B57" s="1">
        <f t="shared" si="4"/>
        <v>31</v>
      </c>
      <c r="C57" s="4">
        <f t="shared" si="12"/>
        <v>34918</v>
      </c>
      <c r="D57" s="2">
        <f t="shared" si="1"/>
        <v>34043.06</v>
      </c>
      <c r="E57" s="19">
        <f t="shared" si="13"/>
        <v>874.94</v>
      </c>
      <c r="F57" s="2">
        <f t="shared" si="11"/>
        <v>103017.53999999978</v>
      </c>
      <c r="G57" s="2">
        <f t="shared" si="10"/>
        <v>68974.479999999778</v>
      </c>
      <c r="H57" s="14"/>
      <c r="I57" s="16"/>
    </row>
    <row r="58" spans="1:9" x14ac:dyDescent="0.25">
      <c r="A58" s="54">
        <v>42921</v>
      </c>
      <c r="B58" s="1">
        <f t="shared" si="4"/>
        <v>30</v>
      </c>
      <c r="C58" s="4">
        <f t="shared" si="12"/>
        <v>34918</v>
      </c>
      <c r="D58" s="2">
        <f t="shared" si="1"/>
        <v>34351.089999999997</v>
      </c>
      <c r="E58" s="19">
        <f t="shared" si="13"/>
        <v>566.91</v>
      </c>
      <c r="F58" s="2">
        <f t="shared" si="11"/>
        <v>68974.479999999778</v>
      </c>
      <c r="G58" s="2">
        <f t="shared" si="10"/>
        <v>34623.389999999781</v>
      </c>
      <c r="H58" s="14"/>
      <c r="I58" s="16"/>
    </row>
    <row r="59" spans="1:9" x14ac:dyDescent="0.25">
      <c r="A59" s="54">
        <v>42952</v>
      </c>
      <c r="B59" s="1">
        <f t="shared" si="4"/>
        <v>31</v>
      </c>
      <c r="C59" s="4">
        <f t="shared" si="12"/>
        <v>34918</v>
      </c>
      <c r="D59" s="2">
        <f t="shared" si="1"/>
        <v>34623.389999999781</v>
      </c>
      <c r="E59" s="19">
        <v>294.61000000022119</v>
      </c>
      <c r="F59" s="2">
        <f t="shared" si="11"/>
        <v>34623.389999999781</v>
      </c>
      <c r="G59" s="2">
        <f t="shared" si="10"/>
        <v>0</v>
      </c>
      <c r="H59" s="14"/>
      <c r="I59" s="16"/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D8873B-1703-4989-8BC3-B35996E5E23D}">
  <dimension ref="A1:I59"/>
  <sheetViews>
    <sheetView zoomScale="90" zoomScaleNormal="90" workbookViewId="0">
      <pane ySplit="3" topLeftCell="A50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15" bestFit="1" customWidth="1"/>
    <col min="5" max="5" width="24.85546875" bestFit="1" customWidth="1"/>
    <col min="6" max="6" width="16" bestFit="1" customWidth="1"/>
    <col min="7" max="7" width="18.7109375" bestFit="1" customWidth="1"/>
    <col min="8" max="8" width="15.5703125" bestFit="1" customWidth="1"/>
    <col min="9" max="9" width="21.7109375" bestFit="1" customWidth="1"/>
    <col min="10" max="10" width="10.85546875" bestFit="1" customWidth="1"/>
  </cols>
  <sheetData>
    <row r="1" spans="1:9" x14ac:dyDescent="0.25">
      <c r="A1" s="17" t="s">
        <v>33</v>
      </c>
      <c r="B1" s="22">
        <v>41856</v>
      </c>
      <c r="C1" s="15" t="s">
        <v>37</v>
      </c>
      <c r="D1" s="137" t="s">
        <v>347</v>
      </c>
      <c r="E1" s="137" t="s">
        <v>354</v>
      </c>
      <c r="F1" s="138" t="s">
        <v>175</v>
      </c>
      <c r="G1" s="137" t="s">
        <v>346</v>
      </c>
      <c r="H1" s="137" t="s">
        <v>352</v>
      </c>
      <c r="I1" s="138" t="s">
        <v>359</v>
      </c>
    </row>
    <row r="2" spans="1:9" x14ac:dyDescent="0.25">
      <c r="A2" s="17" t="s">
        <v>34</v>
      </c>
      <c r="B2" s="18">
        <v>0.15</v>
      </c>
      <c r="C2" s="37">
        <f>ROUNDUP(34665.3285041941,0)</f>
        <v>34666</v>
      </c>
      <c r="D2" s="125">
        <v>42374</v>
      </c>
      <c r="E2" s="139">
        <f>ROUNDUP(36053.4790174031,0)</f>
        <v>36054</v>
      </c>
      <c r="F2" s="140">
        <v>0.2</v>
      </c>
      <c r="G2" s="125">
        <v>42740</v>
      </c>
      <c r="H2" s="139">
        <f>ROUNDUP(34899.2729435339,0)</f>
        <v>34900</v>
      </c>
      <c r="I2" s="140">
        <v>0.1</v>
      </c>
    </row>
    <row r="3" spans="1:9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9" x14ac:dyDescent="0.25">
      <c r="A4" s="29">
        <v>41887</v>
      </c>
      <c r="B4" s="1">
        <f>DAYS360(B1,A4,TRUE)</f>
        <v>30</v>
      </c>
      <c r="C4" s="4">
        <f t="shared" ref="C4:C40" si="0">$C$2</f>
        <v>34666</v>
      </c>
      <c r="D4" s="3">
        <f>C4-E4</f>
        <v>22166</v>
      </c>
      <c r="E4" s="19">
        <f>ROUND(F4*$B$2*B4/360,2)</f>
        <v>12500</v>
      </c>
      <c r="F4" s="23">
        <v>1000000</v>
      </c>
      <c r="G4" s="2">
        <f>F4-D4</f>
        <v>977834</v>
      </c>
      <c r="H4" s="14">
        <f>F4*$B$2*B4/365</f>
        <v>12328.767123287671</v>
      </c>
      <c r="I4" s="16">
        <f>H4-E4</f>
        <v>-171.23287671232902</v>
      </c>
    </row>
    <row r="5" spans="1:9" x14ac:dyDescent="0.25">
      <c r="A5" s="29">
        <v>41917</v>
      </c>
      <c r="B5" s="1">
        <f>DAYS360(A4,A5,TRUE)</f>
        <v>30</v>
      </c>
      <c r="C5" s="4">
        <f t="shared" si="0"/>
        <v>34666</v>
      </c>
      <c r="D5" s="2">
        <f t="shared" ref="D5:D59" si="1">C5-E5</f>
        <v>22443.07</v>
      </c>
      <c r="E5" s="19">
        <f t="shared" ref="E5:E38" si="2">ROUND(F5*$B$2*B5/360,2)</f>
        <v>12222.93</v>
      </c>
      <c r="F5" s="2">
        <f>G4</f>
        <v>977834</v>
      </c>
      <c r="G5" s="2">
        <f>F5-D5</f>
        <v>955390.93</v>
      </c>
      <c r="H5" s="14">
        <f t="shared" ref="H5:H33" si="3">F5*$B$2*B5/365</f>
        <v>12055.487671232877</v>
      </c>
      <c r="I5" s="16">
        <f t="shared" ref="I5:I33" si="4">H5-E5</f>
        <v>-167.4423287671234</v>
      </c>
    </row>
    <row r="6" spans="1:9" x14ac:dyDescent="0.25">
      <c r="A6" s="29">
        <v>41948</v>
      </c>
      <c r="B6" s="1">
        <f t="shared" ref="B6:B59" si="5">DAYS360(A5,A6,TRUE)</f>
        <v>30</v>
      </c>
      <c r="C6" s="4">
        <f t="shared" si="0"/>
        <v>34666</v>
      </c>
      <c r="D6" s="2">
        <f t="shared" si="1"/>
        <v>22723.61</v>
      </c>
      <c r="E6" s="19">
        <f t="shared" si="2"/>
        <v>11942.39</v>
      </c>
      <c r="F6" s="2">
        <f t="shared" ref="F6:F39" si="6">G5</f>
        <v>955390.93</v>
      </c>
      <c r="G6" s="2">
        <f t="shared" ref="G6:G39" si="7">F6-D6</f>
        <v>932667.32000000007</v>
      </c>
      <c r="H6" s="14">
        <f t="shared" si="3"/>
        <v>11778.792287671231</v>
      </c>
      <c r="I6" s="16">
        <f t="shared" si="4"/>
        <v>-163.59771232876847</v>
      </c>
    </row>
    <row r="7" spans="1:9" x14ac:dyDescent="0.25">
      <c r="A7" s="29">
        <v>41978</v>
      </c>
      <c r="B7" s="1">
        <f t="shared" si="5"/>
        <v>30</v>
      </c>
      <c r="C7" s="4">
        <f t="shared" si="0"/>
        <v>34666</v>
      </c>
      <c r="D7" s="2">
        <f t="shared" si="1"/>
        <v>23007.66</v>
      </c>
      <c r="E7" s="19">
        <f t="shared" si="2"/>
        <v>11658.34</v>
      </c>
      <c r="F7" s="2">
        <f t="shared" si="6"/>
        <v>932667.32000000007</v>
      </c>
      <c r="G7" s="2">
        <f t="shared" si="7"/>
        <v>909659.66</v>
      </c>
      <c r="H7" s="14">
        <f t="shared" si="3"/>
        <v>11498.638191780821</v>
      </c>
      <c r="I7" s="16">
        <f t="shared" si="4"/>
        <v>-159.70180821917893</v>
      </c>
    </row>
    <row r="8" spans="1:9" x14ac:dyDescent="0.25">
      <c r="A8" s="29">
        <v>42009</v>
      </c>
      <c r="B8" s="1">
        <f t="shared" si="5"/>
        <v>30</v>
      </c>
      <c r="C8" s="4">
        <f t="shared" si="0"/>
        <v>34666</v>
      </c>
      <c r="D8" s="2">
        <f t="shared" si="1"/>
        <v>23295.25</v>
      </c>
      <c r="E8" s="19">
        <f t="shared" si="2"/>
        <v>11370.75</v>
      </c>
      <c r="F8" s="2">
        <f t="shared" si="6"/>
        <v>909659.66</v>
      </c>
      <c r="G8" s="2">
        <f t="shared" si="7"/>
        <v>886364.41</v>
      </c>
      <c r="H8" s="14">
        <f t="shared" si="3"/>
        <v>11214.98210958904</v>
      </c>
      <c r="I8" s="16">
        <f t="shared" si="4"/>
        <v>-155.76789041095981</v>
      </c>
    </row>
    <row r="9" spans="1:9" x14ac:dyDescent="0.25">
      <c r="A9" s="29">
        <v>42040</v>
      </c>
      <c r="B9" s="1">
        <f t="shared" si="5"/>
        <v>30</v>
      </c>
      <c r="C9" s="4">
        <f t="shared" si="0"/>
        <v>34666</v>
      </c>
      <c r="D9" s="2">
        <f t="shared" si="1"/>
        <v>23586.440000000002</v>
      </c>
      <c r="E9" s="19">
        <f t="shared" si="2"/>
        <v>11079.56</v>
      </c>
      <c r="F9" s="2">
        <f t="shared" si="6"/>
        <v>886364.41</v>
      </c>
      <c r="G9" s="2">
        <f t="shared" si="7"/>
        <v>862777.97</v>
      </c>
      <c r="H9" s="14">
        <f t="shared" si="3"/>
        <v>10927.780397260272</v>
      </c>
      <c r="I9" s="16">
        <f t="shared" si="4"/>
        <v>-151.77960273972712</v>
      </c>
    </row>
    <row r="10" spans="1:9" x14ac:dyDescent="0.25">
      <c r="A10" s="29">
        <v>42068</v>
      </c>
      <c r="B10" s="1">
        <f t="shared" si="5"/>
        <v>30</v>
      </c>
      <c r="C10" s="4">
        <f t="shared" si="0"/>
        <v>34666</v>
      </c>
      <c r="D10" s="2">
        <f t="shared" si="1"/>
        <v>23881.279999999999</v>
      </c>
      <c r="E10" s="19">
        <f t="shared" si="2"/>
        <v>10784.72</v>
      </c>
      <c r="F10" s="2">
        <f t="shared" si="6"/>
        <v>862777.97</v>
      </c>
      <c r="G10" s="2">
        <f t="shared" si="7"/>
        <v>838896.69</v>
      </c>
      <c r="H10" s="14">
        <f t="shared" si="3"/>
        <v>10636.988671232875</v>
      </c>
      <c r="I10" s="16">
        <f t="shared" si="4"/>
        <v>-147.73132876712407</v>
      </c>
    </row>
    <row r="11" spans="1:9" x14ac:dyDescent="0.25">
      <c r="A11" s="29">
        <v>42099</v>
      </c>
      <c r="B11" s="1">
        <f t="shared" si="5"/>
        <v>30</v>
      </c>
      <c r="C11" s="4">
        <f t="shared" si="0"/>
        <v>34666</v>
      </c>
      <c r="D11" s="2">
        <f t="shared" si="1"/>
        <v>24179.79</v>
      </c>
      <c r="E11" s="19">
        <f t="shared" si="2"/>
        <v>10486.21</v>
      </c>
      <c r="F11" s="2">
        <f t="shared" si="6"/>
        <v>838896.69</v>
      </c>
      <c r="G11" s="2">
        <f t="shared" si="7"/>
        <v>814716.89999999991</v>
      </c>
      <c r="H11" s="14">
        <f t="shared" si="3"/>
        <v>10342.561931506849</v>
      </c>
      <c r="I11" s="16">
        <f t="shared" si="4"/>
        <v>-143.64806849315028</v>
      </c>
    </row>
    <row r="12" spans="1:9" x14ac:dyDescent="0.25">
      <c r="A12" s="29">
        <v>42129</v>
      </c>
      <c r="B12" s="1">
        <f t="shared" si="5"/>
        <v>30</v>
      </c>
      <c r="C12" s="4">
        <f t="shared" si="0"/>
        <v>34666</v>
      </c>
      <c r="D12" s="2">
        <f t="shared" si="1"/>
        <v>24482.04</v>
      </c>
      <c r="E12" s="19">
        <f t="shared" si="2"/>
        <v>10183.959999999999</v>
      </c>
      <c r="F12" s="2">
        <f t="shared" si="6"/>
        <v>814716.89999999991</v>
      </c>
      <c r="G12" s="2">
        <f t="shared" si="7"/>
        <v>790234.85999999987</v>
      </c>
      <c r="H12" s="14">
        <f t="shared" si="3"/>
        <v>10044.454931506847</v>
      </c>
      <c r="I12" s="16">
        <f t="shared" si="4"/>
        <v>-139.50506849315207</v>
      </c>
    </row>
    <row r="13" spans="1:9" x14ac:dyDescent="0.25">
      <c r="A13" s="29">
        <v>42160</v>
      </c>
      <c r="B13" s="1">
        <f t="shared" si="5"/>
        <v>30</v>
      </c>
      <c r="C13" s="4">
        <f t="shared" si="0"/>
        <v>34666</v>
      </c>
      <c r="D13" s="2">
        <f t="shared" si="1"/>
        <v>24788.059999999998</v>
      </c>
      <c r="E13" s="19">
        <f t="shared" si="2"/>
        <v>9877.94</v>
      </c>
      <c r="F13" s="2">
        <f t="shared" si="6"/>
        <v>790234.85999999987</v>
      </c>
      <c r="G13" s="2">
        <f t="shared" si="7"/>
        <v>765446.79999999981</v>
      </c>
      <c r="H13" s="14">
        <f t="shared" si="3"/>
        <v>9742.621561643833</v>
      </c>
      <c r="I13" s="16">
        <f t="shared" si="4"/>
        <v>-135.31843835616746</v>
      </c>
    </row>
    <row r="14" spans="1:9" x14ac:dyDescent="0.25">
      <c r="A14" s="29">
        <v>42190</v>
      </c>
      <c r="B14" s="1">
        <f t="shared" si="5"/>
        <v>30</v>
      </c>
      <c r="C14" s="4">
        <f t="shared" si="0"/>
        <v>34666</v>
      </c>
      <c r="D14" s="2">
        <f t="shared" si="1"/>
        <v>25097.91</v>
      </c>
      <c r="E14" s="19">
        <f t="shared" si="2"/>
        <v>9568.09</v>
      </c>
      <c r="F14" s="2">
        <f t="shared" si="6"/>
        <v>765446.79999999981</v>
      </c>
      <c r="G14" s="2">
        <f t="shared" si="7"/>
        <v>740348.88999999978</v>
      </c>
      <c r="H14" s="14">
        <f t="shared" si="3"/>
        <v>9437.015342465751</v>
      </c>
      <c r="I14" s="16">
        <f t="shared" si="4"/>
        <v>-131.07465753424913</v>
      </c>
    </row>
    <row r="15" spans="1:9" x14ac:dyDescent="0.25">
      <c r="A15" s="29">
        <v>42221</v>
      </c>
      <c r="B15" s="1">
        <f t="shared" si="5"/>
        <v>30</v>
      </c>
      <c r="C15" s="4">
        <f t="shared" si="0"/>
        <v>34666</v>
      </c>
      <c r="D15" s="2">
        <f t="shared" si="1"/>
        <v>25411.64</v>
      </c>
      <c r="E15" s="19">
        <f t="shared" si="2"/>
        <v>9254.36</v>
      </c>
      <c r="F15" s="2">
        <f t="shared" si="6"/>
        <v>740348.88999999978</v>
      </c>
      <c r="G15" s="2">
        <f t="shared" si="7"/>
        <v>714937.24999999977</v>
      </c>
      <c r="H15" s="14">
        <f t="shared" si="3"/>
        <v>9127.5890547945182</v>
      </c>
      <c r="I15" s="16">
        <f t="shared" si="4"/>
        <v>-126.77094520548235</v>
      </c>
    </row>
    <row r="16" spans="1:9" x14ac:dyDescent="0.25">
      <c r="A16" s="29">
        <v>42252</v>
      </c>
      <c r="B16" s="1">
        <f t="shared" si="5"/>
        <v>30</v>
      </c>
      <c r="C16" s="4">
        <f t="shared" si="0"/>
        <v>34666</v>
      </c>
      <c r="D16" s="2">
        <f t="shared" si="1"/>
        <v>25729.279999999999</v>
      </c>
      <c r="E16" s="19">
        <f t="shared" si="2"/>
        <v>8936.7199999999993</v>
      </c>
      <c r="F16" s="2">
        <f t="shared" si="6"/>
        <v>714937.24999999977</v>
      </c>
      <c r="G16" s="2">
        <f t="shared" si="7"/>
        <v>689207.96999999974</v>
      </c>
      <c r="H16" s="14">
        <f t="shared" si="3"/>
        <v>8814.2948630136962</v>
      </c>
      <c r="I16" s="16">
        <f t="shared" si="4"/>
        <v>-122.42513698630319</v>
      </c>
    </row>
    <row r="17" spans="1:9" x14ac:dyDescent="0.25">
      <c r="A17" s="29">
        <v>42282</v>
      </c>
      <c r="B17" s="1">
        <f t="shared" si="5"/>
        <v>30</v>
      </c>
      <c r="C17" s="4">
        <f t="shared" si="0"/>
        <v>34666</v>
      </c>
      <c r="D17" s="2">
        <f t="shared" si="1"/>
        <v>26050.9</v>
      </c>
      <c r="E17" s="19">
        <f t="shared" si="2"/>
        <v>8615.1</v>
      </c>
      <c r="F17" s="2">
        <f t="shared" si="6"/>
        <v>689207.96999999974</v>
      </c>
      <c r="G17" s="2">
        <f t="shared" si="7"/>
        <v>663157.06999999972</v>
      </c>
      <c r="H17" s="14">
        <f t="shared" si="3"/>
        <v>8497.0845616438328</v>
      </c>
      <c r="I17" s="16">
        <f t="shared" si="4"/>
        <v>-118.01543835616758</v>
      </c>
    </row>
    <row r="18" spans="1:9" x14ac:dyDescent="0.25">
      <c r="A18" s="29">
        <v>42313</v>
      </c>
      <c r="B18" s="1">
        <f t="shared" si="5"/>
        <v>30</v>
      </c>
      <c r="C18" s="4">
        <f t="shared" si="0"/>
        <v>34666</v>
      </c>
      <c r="D18" s="2">
        <f t="shared" si="1"/>
        <v>26376.54</v>
      </c>
      <c r="E18" s="19">
        <f t="shared" si="2"/>
        <v>8289.4599999999991</v>
      </c>
      <c r="F18" s="2">
        <f t="shared" si="6"/>
        <v>663157.06999999972</v>
      </c>
      <c r="G18" s="2">
        <f t="shared" si="7"/>
        <v>636780.52999999968</v>
      </c>
      <c r="H18" s="14">
        <f t="shared" si="3"/>
        <v>8175.9090821917771</v>
      </c>
      <c r="I18" s="16">
        <f t="shared" si="4"/>
        <v>-113.55091780822204</v>
      </c>
    </row>
    <row r="19" spans="1:9" x14ac:dyDescent="0.25">
      <c r="A19" s="29">
        <v>42343</v>
      </c>
      <c r="B19" s="1">
        <f t="shared" si="5"/>
        <v>30</v>
      </c>
      <c r="C19" s="4">
        <f t="shared" si="0"/>
        <v>34666</v>
      </c>
      <c r="D19" s="2">
        <f t="shared" si="1"/>
        <v>26706.239999999998</v>
      </c>
      <c r="E19" s="19">
        <f t="shared" si="2"/>
        <v>7959.76</v>
      </c>
      <c r="F19" s="2">
        <f t="shared" si="6"/>
        <v>636780.52999999968</v>
      </c>
      <c r="G19" s="2">
        <f t="shared" si="7"/>
        <v>610074.28999999969</v>
      </c>
      <c r="H19" s="14">
        <f t="shared" si="3"/>
        <v>7850.7188630136943</v>
      </c>
      <c r="I19" s="16">
        <f t="shared" si="4"/>
        <v>-109.0411369863059</v>
      </c>
    </row>
    <row r="20" spans="1:9" x14ac:dyDescent="0.25">
      <c r="A20" s="29">
        <v>42374</v>
      </c>
      <c r="B20" s="1">
        <f t="shared" si="5"/>
        <v>30</v>
      </c>
      <c r="C20" s="4">
        <f t="shared" si="0"/>
        <v>34666</v>
      </c>
      <c r="D20" s="2">
        <f t="shared" si="1"/>
        <v>27040.07</v>
      </c>
      <c r="E20" s="19">
        <f t="shared" si="2"/>
        <v>7625.93</v>
      </c>
      <c r="F20" s="2">
        <f t="shared" si="6"/>
        <v>610074.28999999969</v>
      </c>
      <c r="G20" s="2">
        <f t="shared" si="7"/>
        <v>583034.21999999974</v>
      </c>
      <c r="H20" s="14">
        <f t="shared" si="3"/>
        <v>7521.4638493150642</v>
      </c>
      <c r="I20" s="16">
        <f t="shared" si="4"/>
        <v>-104.46615068493611</v>
      </c>
    </row>
    <row r="21" spans="1:9" x14ac:dyDescent="0.25">
      <c r="A21" s="29">
        <v>42405</v>
      </c>
      <c r="B21" s="1">
        <f t="shared" si="5"/>
        <v>30</v>
      </c>
      <c r="C21" s="4">
        <f t="shared" si="0"/>
        <v>34666</v>
      </c>
      <c r="D21" s="2">
        <f t="shared" si="1"/>
        <v>27378.07</v>
      </c>
      <c r="E21" s="19">
        <f t="shared" si="2"/>
        <v>7287.93</v>
      </c>
      <c r="F21" s="2">
        <f t="shared" si="6"/>
        <v>583034.21999999974</v>
      </c>
      <c r="G21" s="2">
        <f t="shared" si="7"/>
        <v>555656.14999999979</v>
      </c>
      <c r="H21" s="14">
        <f t="shared" si="3"/>
        <v>7188.0931232876683</v>
      </c>
      <c r="I21" s="16">
        <f t="shared" si="4"/>
        <v>-99.836876712332014</v>
      </c>
    </row>
    <row r="22" spans="1:9" x14ac:dyDescent="0.25">
      <c r="A22" s="29">
        <v>42434</v>
      </c>
      <c r="B22" s="1">
        <f t="shared" si="5"/>
        <v>30</v>
      </c>
      <c r="C22" s="4">
        <f t="shared" si="0"/>
        <v>34666</v>
      </c>
      <c r="D22" s="2">
        <f t="shared" si="1"/>
        <v>27720.3</v>
      </c>
      <c r="E22" s="19">
        <f t="shared" si="2"/>
        <v>6945.7</v>
      </c>
      <c r="F22" s="2">
        <f t="shared" si="6"/>
        <v>555656.14999999979</v>
      </c>
      <c r="G22" s="2">
        <f t="shared" si="7"/>
        <v>527935.84999999974</v>
      </c>
      <c r="H22" s="14">
        <f t="shared" si="3"/>
        <v>6850.5552739726008</v>
      </c>
      <c r="I22" s="16">
        <f t="shared" si="4"/>
        <v>-95.144726027398974</v>
      </c>
    </row>
    <row r="23" spans="1:9" x14ac:dyDescent="0.25">
      <c r="A23" s="29">
        <v>42465</v>
      </c>
      <c r="B23" s="1">
        <f t="shared" si="5"/>
        <v>30</v>
      </c>
      <c r="C23" s="4">
        <f t="shared" si="0"/>
        <v>34666</v>
      </c>
      <c r="D23" s="2">
        <f t="shared" si="1"/>
        <v>28066.799999999999</v>
      </c>
      <c r="E23" s="19">
        <f t="shared" si="2"/>
        <v>6599.2</v>
      </c>
      <c r="F23" s="2">
        <f t="shared" si="6"/>
        <v>527935.84999999974</v>
      </c>
      <c r="G23" s="2">
        <f t="shared" si="7"/>
        <v>499869.04999999976</v>
      </c>
      <c r="H23" s="14">
        <f t="shared" si="3"/>
        <v>6508.7981506849283</v>
      </c>
      <c r="I23" s="16">
        <f t="shared" si="4"/>
        <v>-90.401849315071559</v>
      </c>
    </row>
    <row r="24" spans="1:9" x14ac:dyDescent="0.25">
      <c r="A24" s="29">
        <v>42495</v>
      </c>
      <c r="B24" s="1">
        <f t="shared" si="5"/>
        <v>30</v>
      </c>
      <c r="C24" s="4">
        <f t="shared" si="0"/>
        <v>34666</v>
      </c>
      <c r="D24" s="2">
        <f t="shared" si="1"/>
        <v>28417.64</v>
      </c>
      <c r="E24" s="19">
        <f t="shared" si="2"/>
        <v>6248.36</v>
      </c>
      <c r="F24" s="2">
        <f t="shared" si="6"/>
        <v>499869.04999999976</v>
      </c>
      <c r="G24" s="2">
        <f t="shared" si="7"/>
        <v>471451.40999999974</v>
      </c>
      <c r="H24" s="14">
        <f t="shared" si="3"/>
        <v>6162.7691095890377</v>
      </c>
      <c r="I24" s="16">
        <f t="shared" si="4"/>
        <v>-85.590890410961947</v>
      </c>
    </row>
    <row r="25" spans="1:9" x14ac:dyDescent="0.25">
      <c r="A25" s="29">
        <v>42526</v>
      </c>
      <c r="B25" s="1">
        <f t="shared" si="5"/>
        <v>30</v>
      </c>
      <c r="C25" s="4">
        <f t="shared" si="0"/>
        <v>34666</v>
      </c>
      <c r="D25" s="2">
        <f t="shared" si="1"/>
        <v>28772.86</v>
      </c>
      <c r="E25" s="19">
        <f t="shared" si="2"/>
        <v>5893.14</v>
      </c>
      <c r="F25" s="2">
        <f t="shared" si="6"/>
        <v>471451.40999999974</v>
      </c>
      <c r="G25" s="2">
        <f t="shared" si="7"/>
        <v>442678.54999999976</v>
      </c>
      <c r="H25" s="14">
        <f t="shared" si="3"/>
        <v>5812.4146438356129</v>
      </c>
      <c r="I25" s="16">
        <f t="shared" si="4"/>
        <v>-80.725356164387449</v>
      </c>
    </row>
    <row r="26" spans="1:9" x14ac:dyDescent="0.25">
      <c r="A26" s="29">
        <v>42556</v>
      </c>
      <c r="B26" s="1">
        <f t="shared" si="5"/>
        <v>30</v>
      </c>
      <c r="C26" s="4">
        <f t="shared" si="0"/>
        <v>34666</v>
      </c>
      <c r="D26" s="2">
        <f t="shared" si="1"/>
        <v>29132.52</v>
      </c>
      <c r="E26" s="19">
        <f t="shared" si="2"/>
        <v>5533.48</v>
      </c>
      <c r="F26" s="2">
        <f t="shared" si="6"/>
        <v>442678.54999999976</v>
      </c>
      <c r="G26" s="2">
        <f t="shared" si="7"/>
        <v>413546.02999999974</v>
      </c>
      <c r="H26" s="14">
        <f t="shared" si="3"/>
        <v>5457.6807534246536</v>
      </c>
      <c r="I26" s="16">
        <f t="shared" si="4"/>
        <v>-75.799246575345933</v>
      </c>
    </row>
    <row r="27" spans="1:9" x14ac:dyDescent="0.25">
      <c r="A27" s="29">
        <v>42587</v>
      </c>
      <c r="B27" s="1">
        <f t="shared" si="5"/>
        <v>30</v>
      </c>
      <c r="C27" s="4">
        <f t="shared" si="0"/>
        <v>34666</v>
      </c>
      <c r="D27" s="2">
        <f t="shared" si="1"/>
        <v>29496.67</v>
      </c>
      <c r="E27" s="19">
        <f t="shared" si="2"/>
        <v>5169.33</v>
      </c>
      <c r="F27" s="2">
        <f t="shared" si="6"/>
        <v>413546.02999999974</v>
      </c>
      <c r="G27" s="2">
        <f t="shared" si="7"/>
        <v>384049.35999999975</v>
      </c>
      <c r="H27" s="14">
        <f t="shared" si="3"/>
        <v>5098.5126986301339</v>
      </c>
      <c r="I27" s="16">
        <f t="shared" si="4"/>
        <v>-70.817301369866072</v>
      </c>
    </row>
    <row r="28" spans="1:9" x14ac:dyDescent="0.25">
      <c r="A28" s="29">
        <v>42618</v>
      </c>
      <c r="B28" s="1">
        <f t="shared" si="5"/>
        <v>30</v>
      </c>
      <c r="C28" s="4">
        <f t="shared" si="0"/>
        <v>34666</v>
      </c>
      <c r="D28" s="2">
        <f t="shared" si="1"/>
        <v>29865.38</v>
      </c>
      <c r="E28" s="19">
        <f t="shared" si="2"/>
        <v>4800.62</v>
      </c>
      <c r="F28" s="2">
        <f t="shared" si="6"/>
        <v>384049.35999999975</v>
      </c>
      <c r="G28" s="2">
        <f t="shared" si="7"/>
        <v>354183.97999999975</v>
      </c>
      <c r="H28" s="14">
        <f t="shared" si="3"/>
        <v>4734.855123287668</v>
      </c>
      <c r="I28" s="16">
        <f t="shared" si="4"/>
        <v>-65.764876712331898</v>
      </c>
    </row>
    <row r="29" spans="1:9" x14ac:dyDescent="0.25">
      <c r="A29" s="29">
        <v>42648</v>
      </c>
      <c r="B29" s="1">
        <f t="shared" si="5"/>
        <v>30</v>
      </c>
      <c r="C29" s="4">
        <f t="shared" si="0"/>
        <v>34666</v>
      </c>
      <c r="D29" s="2">
        <f t="shared" si="1"/>
        <v>30238.7</v>
      </c>
      <c r="E29" s="19">
        <f t="shared" si="2"/>
        <v>4427.3</v>
      </c>
      <c r="F29" s="2">
        <f t="shared" si="6"/>
        <v>354183.97999999975</v>
      </c>
      <c r="G29" s="2">
        <f t="shared" si="7"/>
        <v>323945.27999999974</v>
      </c>
      <c r="H29" s="14">
        <f t="shared" si="3"/>
        <v>4366.6518082191751</v>
      </c>
      <c r="I29" s="16">
        <f t="shared" si="4"/>
        <v>-60.648191780825073</v>
      </c>
    </row>
    <row r="30" spans="1:9" x14ac:dyDescent="0.25">
      <c r="A30" s="29">
        <v>42679</v>
      </c>
      <c r="B30" s="1">
        <f t="shared" si="5"/>
        <v>30</v>
      </c>
      <c r="C30" s="4">
        <f t="shared" si="0"/>
        <v>34666</v>
      </c>
      <c r="D30" s="2">
        <f t="shared" si="1"/>
        <v>30616.68</v>
      </c>
      <c r="E30" s="19">
        <f t="shared" si="2"/>
        <v>4049.32</v>
      </c>
      <c r="F30" s="2">
        <f t="shared" si="6"/>
        <v>323945.27999999974</v>
      </c>
      <c r="G30" s="2">
        <f t="shared" si="7"/>
        <v>293328.59999999974</v>
      </c>
      <c r="H30" s="14">
        <f t="shared" si="3"/>
        <v>3993.8459178082162</v>
      </c>
      <c r="I30" s="16">
        <f t="shared" si="4"/>
        <v>-55.474082191783964</v>
      </c>
    </row>
    <row r="31" spans="1:9" x14ac:dyDescent="0.25">
      <c r="A31" s="29">
        <v>42709</v>
      </c>
      <c r="B31" s="1">
        <f t="shared" si="5"/>
        <v>30</v>
      </c>
      <c r="C31" s="4">
        <f t="shared" si="0"/>
        <v>34666</v>
      </c>
      <c r="D31" s="2">
        <f t="shared" si="1"/>
        <v>30999.39</v>
      </c>
      <c r="E31" s="19">
        <f t="shared" si="2"/>
        <v>3666.61</v>
      </c>
      <c r="F31" s="2">
        <f t="shared" si="6"/>
        <v>293328.59999999974</v>
      </c>
      <c r="G31" s="2">
        <f t="shared" si="7"/>
        <v>262329.20999999973</v>
      </c>
      <c r="H31" s="14">
        <f t="shared" si="3"/>
        <v>3616.3799999999965</v>
      </c>
      <c r="I31" s="16">
        <f t="shared" si="4"/>
        <v>-50.230000000003656</v>
      </c>
    </row>
    <row r="32" spans="1:9" x14ac:dyDescent="0.25">
      <c r="A32" s="29">
        <v>42740</v>
      </c>
      <c r="B32" s="1">
        <f t="shared" si="5"/>
        <v>30</v>
      </c>
      <c r="C32" s="4">
        <f t="shared" si="0"/>
        <v>34666</v>
      </c>
      <c r="D32" s="2">
        <f t="shared" si="1"/>
        <v>31386.880000000001</v>
      </c>
      <c r="E32" s="19">
        <f t="shared" si="2"/>
        <v>3279.12</v>
      </c>
      <c r="F32" s="2">
        <f t="shared" si="6"/>
        <v>262329.20999999973</v>
      </c>
      <c r="G32" s="2">
        <f t="shared" si="7"/>
        <v>230942.32999999973</v>
      </c>
      <c r="H32" s="14">
        <f t="shared" si="3"/>
        <v>3234.1957397260244</v>
      </c>
      <c r="I32" s="16">
        <f t="shared" si="4"/>
        <v>-44.924260273975506</v>
      </c>
    </row>
    <row r="33" spans="1:9" x14ac:dyDescent="0.25">
      <c r="A33" s="29">
        <v>42771</v>
      </c>
      <c r="B33" s="1">
        <f t="shared" si="5"/>
        <v>30</v>
      </c>
      <c r="C33" s="4">
        <f t="shared" si="0"/>
        <v>34666</v>
      </c>
      <c r="D33" s="2">
        <f t="shared" si="1"/>
        <v>31779.22</v>
      </c>
      <c r="E33" s="19">
        <f t="shared" si="2"/>
        <v>2886.78</v>
      </c>
      <c r="F33" s="2">
        <f t="shared" si="6"/>
        <v>230942.32999999973</v>
      </c>
      <c r="G33" s="2">
        <f t="shared" si="7"/>
        <v>199163.10999999972</v>
      </c>
      <c r="H33" s="14">
        <f t="shared" si="3"/>
        <v>2847.234205479449</v>
      </c>
      <c r="I33" s="16">
        <f t="shared" si="4"/>
        <v>-39.545794520551226</v>
      </c>
    </row>
    <row r="34" spans="1:9" x14ac:dyDescent="0.25">
      <c r="A34" s="29">
        <v>42799</v>
      </c>
      <c r="B34" s="1">
        <f t="shared" si="5"/>
        <v>30</v>
      </c>
      <c r="C34" s="4">
        <f t="shared" si="0"/>
        <v>34666</v>
      </c>
      <c r="D34" s="2">
        <f t="shared" si="1"/>
        <v>32176.46</v>
      </c>
      <c r="E34" s="19">
        <f t="shared" si="2"/>
        <v>2489.54</v>
      </c>
      <c r="F34" s="2">
        <f t="shared" si="6"/>
        <v>199163.10999999972</v>
      </c>
      <c r="G34" s="2">
        <f t="shared" si="7"/>
        <v>166986.64999999973</v>
      </c>
      <c r="H34" s="14"/>
      <c r="I34" s="16"/>
    </row>
    <row r="35" spans="1:9" x14ac:dyDescent="0.25">
      <c r="A35" s="29">
        <v>42830</v>
      </c>
      <c r="B35" s="1">
        <f t="shared" si="5"/>
        <v>30</v>
      </c>
      <c r="C35" s="4">
        <f t="shared" si="0"/>
        <v>34666</v>
      </c>
      <c r="D35" s="2">
        <f t="shared" si="1"/>
        <v>32578.67</v>
      </c>
      <c r="E35" s="19">
        <f t="shared" si="2"/>
        <v>2087.33</v>
      </c>
      <c r="F35" s="2">
        <f t="shared" si="6"/>
        <v>166986.64999999973</v>
      </c>
      <c r="G35" s="2">
        <f t="shared" si="7"/>
        <v>134407.97999999975</v>
      </c>
      <c r="H35" s="14"/>
      <c r="I35" s="16"/>
    </row>
    <row r="36" spans="1:9" x14ac:dyDescent="0.25">
      <c r="A36" s="29">
        <v>42860</v>
      </c>
      <c r="B36" s="1">
        <f t="shared" si="5"/>
        <v>30</v>
      </c>
      <c r="C36" s="4">
        <f t="shared" si="0"/>
        <v>34666</v>
      </c>
      <c r="D36" s="2">
        <f t="shared" si="1"/>
        <v>32985.9</v>
      </c>
      <c r="E36" s="19">
        <f t="shared" si="2"/>
        <v>1680.1</v>
      </c>
      <c r="F36" s="2">
        <f t="shared" si="6"/>
        <v>134407.97999999975</v>
      </c>
      <c r="G36" s="2">
        <f t="shared" si="7"/>
        <v>101422.07999999975</v>
      </c>
      <c r="H36" s="14"/>
      <c r="I36" s="16"/>
    </row>
    <row r="37" spans="1:9" x14ac:dyDescent="0.25">
      <c r="A37" s="29">
        <v>42891</v>
      </c>
      <c r="B37" s="1">
        <f t="shared" si="5"/>
        <v>30</v>
      </c>
      <c r="C37" s="4">
        <f t="shared" si="0"/>
        <v>34666</v>
      </c>
      <c r="D37" s="2">
        <f t="shared" si="1"/>
        <v>33398.22</v>
      </c>
      <c r="E37" s="19">
        <f t="shared" si="2"/>
        <v>1267.78</v>
      </c>
      <c r="F37" s="2">
        <f t="shared" si="6"/>
        <v>101422.07999999975</v>
      </c>
      <c r="G37" s="2">
        <f t="shared" si="7"/>
        <v>68023.859999999753</v>
      </c>
      <c r="H37" s="14"/>
      <c r="I37" s="16"/>
    </row>
    <row r="38" spans="1:9" x14ac:dyDescent="0.25">
      <c r="A38" s="29">
        <v>42921</v>
      </c>
      <c r="B38" s="1">
        <f t="shared" si="5"/>
        <v>30</v>
      </c>
      <c r="C38" s="4">
        <f t="shared" si="0"/>
        <v>34666</v>
      </c>
      <c r="D38" s="2">
        <f t="shared" si="1"/>
        <v>33815.699999999997</v>
      </c>
      <c r="E38" s="19">
        <f t="shared" si="2"/>
        <v>850.3</v>
      </c>
      <c r="F38" s="2">
        <f t="shared" si="6"/>
        <v>68023.859999999753</v>
      </c>
      <c r="G38" s="2">
        <f t="shared" si="7"/>
        <v>34208.159999999756</v>
      </c>
      <c r="H38" s="14"/>
      <c r="I38" s="16"/>
    </row>
    <row r="39" spans="1:9" x14ac:dyDescent="0.25">
      <c r="A39" s="29">
        <v>42952</v>
      </c>
      <c r="B39" s="1">
        <f t="shared" si="5"/>
        <v>30</v>
      </c>
      <c r="C39" s="4">
        <f t="shared" si="0"/>
        <v>34666</v>
      </c>
      <c r="D39" s="2">
        <f t="shared" si="1"/>
        <v>34208.159999999756</v>
      </c>
      <c r="E39" s="19">
        <v>457.84000000024537</v>
      </c>
      <c r="F39" s="2">
        <f t="shared" si="6"/>
        <v>34208.159999999756</v>
      </c>
      <c r="G39" s="2">
        <f t="shared" si="7"/>
        <v>0</v>
      </c>
      <c r="H39" s="14"/>
      <c r="I39" s="16"/>
    </row>
    <row r="40" spans="1:9" x14ac:dyDescent="0.25">
      <c r="A40" s="70">
        <v>42374</v>
      </c>
      <c r="B40" s="98">
        <f>DAYS360(A19,A20,TRUE)</f>
        <v>30</v>
      </c>
      <c r="C40" s="141">
        <f t="shared" si="0"/>
        <v>34666</v>
      </c>
      <c r="D40" s="142">
        <f t="shared" si="1"/>
        <v>27040.07</v>
      </c>
      <c r="E40" s="143">
        <f>ROUND(F20*$B$2*B20/360,2)</f>
        <v>7625.93</v>
      </c>
      <c r="F40" s="142">
        <f>G19</f>
        <v>610074.28999999969</v>
      </c>
      <c r="G40" s="142">
        <f>F20-D20</f>
        <v>583034.21999999974</v>
      </c>
      <c r="H40" s="14"/>
      <c r="I40" s="16"/>
    </row>
    <row r="41" spans="1:9" x14ac:dyDescent="0.25">
      <c r="A41" s="29">
        <v>42405</v>
      </c>
      <c r="B41" s="1">
        <f t="shared" si="5"/>
        <v>30</v>
      </c>
      <c r="C41" s="4">
        <f>$E$2</f>
        <v>36054</v>
      </c>
      <c r="D41" s="2">
        <f t="shared" si="1"/>
        <v>26336.760000000002</v>
      </c>
      <c r="E41" s="19">
        <f>ROUND(F41*$F$2*B41/360,2)</f>
        <v>9717.24</v>
      </c>
      <c r="F41" s="2">
        <f>G20</f>
        <v>583034.21999999974</v>
      </c>
      <c r="G41" s="2">
        <f>F41-D41</f>
        <v>556697.45999999973</v>
      </c>
      <c r="H41" s="14"/>
      <c r="I41" s="16"/>
    </row>
    <row r="42" spans="1:9" x14ac:dyDescent="0.25">
      <c r="A42" s="29">
        <v>42434</v>
      </c>
      <c r="B42" s="1">
        <f t="shared" si="5"/>
        <v>30</v>
      </c>
      <c r="C42" s="4">
        <f t="shared" ref="C42:C52" si="8">$E$2</f>
        <v>36054</v>
      </c>
      <c r="D42" s="2">
        <f t="shared" si="1"/>
        <v>26775.71</v>
      </c>
      <c r="E42" s="19">
        <f t="shared" ref="E42:E51" si="9">ROUND(F42*$F$2*B42/360,2)</f>
        <v>9278.2900000000009</v>
      </c>
      <c r="F42" s="2">
        <f>G41</f>
        <v>556697.45999999973</v>
      </c>
      <c r="G42" s="2">
        <f t="shared" ref="G42:G59" si="10">F42-D42</f>
        <v>529921.74999999977</v>
      </c>
      <c r="H42" s="14"/>
      <c r="I42" s="16"/>
    </row>
    <row r="43" spans="1:9" x14ac:dyDescent="0.25">
      <c r="A43" s="29">
        <v>42465</v>
      </c>
      <c r="B43" s="1">
        <f t="shared" si="5"/>
        <v>30</v>
      </c>
      <c r="C43" s="4">
        <f t="shared" si="8"/>
        <v>36054</v>
      </c>
      <c r="D43" s="2">
        <f t="shared" si="1"/>
        <v>27221.97</v>
      </c>
      <c r="E43" s="19">
        <f t="shared" si="9"/>
        <v>8832.0300000000007</v>
      </c>
      <c r="F43" s="2">
        <f t="shared" ref="F43:F59" si="11">G42</f>
        <v>529921.74999999977</v>
      </c>
      <c r="G43" s="2">
        <f t="shared" si="10"/>
        <v>502699.7799999998</v>
      </c>
      <c r="H43" s="14"/>
      <c r="I43" s="16"/>
    </row>
    <row r="44" spans="1:9" x14ac:dyDescent="0.25">
      <c r="A44" s="29">
        <v>42495</v>
      </c>
      <c r="B44" s="1">
        <f t="shared" si="5"/>
        <v>30</v>
      </c>
      <c r="C44" s="4">
        <f t="shared" si="8"/>
        <v>36054</v>
      </c>
      <c r="D44" s="2">
        <f t="shared" si="1"/>
        <v>27675.67</v>
      </c>
      <c r="E44" s="19">
        <f t="shared" si="9"/>
        <v>8378.33</v>
      </c>
      <c r="F44" s="2">
        <f t="shared" si="11"/>
        <v>502699.7799999998</v>
      </c>
      <c r="G44" s="2">
        <f t="shared" si="10"/>
        <v>475024.10999999981</v>
      </c>
      <c r="H44" s="14"/>
      <c r="I44" s="16"/>
    </row>
    <row r="45" spans="1:9" x14ac:dyDescent="0.25">
      <c r="A45" s="29">
        <v>42526</v>
      </c>
      <c r="B45" s="1">
        <f t="shared" si="5"/>
        <v>30</v>
      </c>
      <c r="C45" s="4">
        <f t="shared" si="8"/>
        <v>36054</v>
      </c>
      <c r="D45" s="2">
        <f t="shared" si="1"/>
        <v>28136.93</v>
      </c>
      <c r="E45" s="19">
        <f t="shared" si="9"/>
        <v>7917.07</v>
      </c>
      <c r="F45" s="2">
        <f t="shared" si="11"/>
        <v>475024.10999999981</v>
      </c>
      <c r="G45" s="2">
        <f t="shared" si="10"/>
        <v>446887.17999999982</v>
      </c>
      <c r="H45" s="14"/>
      <c r="I45" s="16"/>
    </row>
    <row r="46" spans="1:9" x14ac:dyDescent="0.25">
      <c r="A46" s="29">
        <v>42556</v>
      </c>
      <c r="B46" s="1">
        <f t="shared" si="5"/>
        <v>30</v>
      </c>
      <c r="C46" s="4">
        <f t="shared" si="8"/>
        <v>36054</v>
      </c>
      <c r="D46" s="2">
        <f t="shared" si="1"/>
        <v>28605.88</v>
      </c>
      <c r="E46" s="19">
        <f t="shared" si="9"/>
        <v>7448.12</v>
      </c>
      <c r="F46" s="2">
        <f t="shared" si="11"/>
        <v>446887.17999999982</v>
      </c>
      <c r="G46" s="2">
        <f t="shared" si="10"/>
        <v>418281.29999999981</v>
      </c>
      <c r="H46" s="14"/>
      <c r="I46" s="16"/>
    </row>
    <row r="47" spans="1:9" x14ac:dyDescent="0.25">
      <c r="A47" s="29">
        <v>42587</v>
      </c>
      <c r="B47" s="1">
        <f t="shared" si="5"/>
        <v>30</v>
      </c>
      <c r="C47" s="4">
        <f t="shared" si="8"/>
        <v>36054</v>
      </c>
      <c r="D47" s="2">
        <f t="shared" si="1"/>
        <v>29082.639999999999</v>
      </c>
      <c r="E47" s="19">
        <f t="shared" si="9"/>
        <v>6971.36</v>
      </c>
      <c r="F47" s="2">
        <f t="shared" si="11"/>
        <v>418281.29999999981</v>
      </c>
      <c r="G47" s="2">
        <f t="shared" si="10"/>
        <v>389198.6599999998</v>
      </c>
      <c r="H47" s="14"/>
      <c r="I47" s="16"/>
    </row>
    <row r="48" spans="1:9" x14ac:dyDescent="0.25">
      <c r="A48" s="29">
        <v>42618</v>
      </c>
      <c r="B48" s="1">
        <f t="shared" si="5"/>
        <v>30</v>
      </c>
      <c r="C48" s="4">
        <f t="shared" si="8"/>
        <v>36054</v>
      </c>
      <c r="D48" s="2">
        <f t="shared" si="1"/>
        <v>29567.360000000001</v>
      </c>
      <c r="E48" s="19">
        <f t="shared" si="9"/>
        <v>6486.64</v>
      </c>
      <c r="F48" s="2">
        <f t="shared" si="11"/>
        <v>389198.6599999998</v>
      </c>
      <c r="G48" s="2">
        <f t="shared" si="10"/>
        <v>359631.29999999981</v>
      </c>
      <c r="H48" s="14"/>
      <c r="I48" s="16"/>
    </row>
    <row r="49" spans="1:9" x14ac:dyDescent="0.25">
      <c r="A49" s="29">
        <v>42648</v>
      </c>
      <c r="B49" s="1">
        <f t="shared" si="5"/>
        <v>30</v>
      </c>
      <c r="C49" s="4">
        <f t="shared" si="8"/>
        <v>36054</v>
      </c>
      <c r="D49" s="2">
        <f t="shared" si="1"/>
        <v>30060.14</v>
      </c>
      <c r="E49" s="19">
        <f t="shared" si="9"/>
        <v>5993.86</v>
      </c>
      <c r="F49" s="2">
        <f t="shared" si="11"/>
        <v>359631.29999999981</v>
      </c>
      <c r="G49" s="2">
        <f t="shared" si="10"/>
        <v>329571.1599999998</v>
      </c>
      <c r="H49" s="14"/>
      <c r="I49" s="16"/>
    </row>
    <row r="50" spans="1:9" x14ac:dyDescent="0.25">
      <c r="A50" s="29">
        <v>42679</v>
      </c>
      <c r="B50" s="1">
        <f t="shared" si="5"/>
        <v>30</v>
      </c>
      <c r="C50" s="4">
        <f t="shared" si="8"/>
        <v>36054</v>
      </c>
      <c r="D50" s="2">
        <f t="shared" si="1"/>
        <v>30561.15</v>
      </c>
      <c r="E50" s="19">
        <f t="shared" si="9"/>
        <v>5492.85</v>
      </c>
      <c r="F50" s="2">
        <f t="shared" si="11"/>
        <v>329571.1599999998</v>
      </c>
      <c r="G50" s="2">
        <f t="shared" si="10"/>
        <v>299010.00999999978</v>
      </c>
      <c r="H50" s="14"/>
      <c r="I50" s="16"/>
    </row>
    <row r="51" spans="1:9" x14ac:dyDescent="0.25">
      <c r="A51" s="29">
        <v>42709</v>
      </c>
      <c r="B51" s="1">
        <f t="shared" si="5"/>
        <v>30</v>
      </c>
      <c r="C51" s="4">
        <f t="shared" si="8"/>
        <v>36054</v>
      </c>
      <c r="D51" s="2">
        <f t="shared" si="1"/>
        <v>31070.5</v>
      </c>
      <c r="E51" s="19">
        <f t="shared" si="9"/>
        <v>4983.5</v>
      </c>
      <c r="F51" s="2">
        <f t="shared" si="11"/>
        <v>299010.00999999978</v>
      </c>
      <c r="G51" s="2">
        <f t="shared" si="10"/>
        <v>267939.50999999978</v>
      </c>
      <c r="H51" s="14"/>
      <c r="I51" s="16"/>
    </row>
    <row r="52" spans="1:9" x14ac:dyDescent="0.25">
      <c r="A52" s="70">
        <v>42740</v>
      </c>
      <c r="B52" s="98">
        <f t="shared" si="5"/>
        <v>30</v>
      </c>
      <c r="C52" s="141">
        <f t="shared" si="8"/>
        <v>36054</v>
      </c>
      <c r="D52" s="142">
        <f t="shared" si="1"/>
        <v>31588.34</v>
      </c>
      <c r="E52" s="143">
        <f>ROUND(F52*$F$2*B52/360,2)</f>
        <v>4465.66</v>
      </c>
      <c r="F52" s="142">
        <f t="shared" si="11"/>
        <v>267939.50999999978</v>
      </c>
      <c r="G52" s="142">
        <f t="shared" si="10"/>
        <v>236351.16999999978</v>
      </c>
      <c r="H52" s="14"/>
      <c r="I52" s="16"/>
    </row>
    <row r="53" spans="1:9" x14ac:dyDescent="0.25">
      <c r="A53" s="54">
        <v>42771</v>
      </c>
      <c r="B53" s="1">
        <f t="shared" si="5"/>
        <v>30</v>
      </c>
      <c r="C53" s="4">
        <f>$H$2</f>
        <v>34900</v>
      </c>
      <c r="D53" s="2">
        <f t="shared" si="1"/>
        <v>32930.410000000003</v>
      </c>
      <c r="E53" s="19">
        <f>ROUND(F53*$I$2*B53/360,2)</f>
        <v>1969.59</v>
      </c>
      <c r="F53" s="2">
        <f t="shared" si="11"/>
        <v>236351.16999999978</v>
      </c>
      <c r="G53" s="2">
        <f t="shared" si="10"/>
        <v>203420.75999999978</v>
      </c>
      <c r="H53" s="14"/>
      <c r="I53" s="16"/>
    </row>
    <row r="54" spans="1:9" x14ac:dyDescent="0.25">
      <c r="A54" s="54">
        <v>42799</v>
      </c>
      <c r="B54" s="1">
        <f t="shared" si="5"/>
        <v>30</v>
      </c>
      <c r="C54" s="4">
        <f t="shared" ref="C54:C59" si="12">$H$2</f>
        <v>34900</v>
      </c>
      <c r="D54" s="2">
        <f t="shared" si="1"/>
        <v>33204.83</v>
      </c>
      <c r="E54" s="19">
        <f t="shared" ref="E54:E58" si="13">ROUND(F54*$I$2*B54/360,2)</f>
        <v>1695.17</v>
      </c>
      <c r="F54" s="2">
        <f t="shared" si="11"/>
        <v>203420.75999999978</v>
      </c>
      <c r="G54" s="2">
        <f t="shared" si="10"/>
        <v>170215.92999999976</v>
      </c>
      <c r="H54" s="14"/>
      <c r="I54" s="16"/>
    </row>
    <row r="55" spans="1:9" x14ac:dyDescent="0.25">
      <c r="A55" s="54">
        <v>42830</v>
      </c>
      <c r="B55" s="1">
        <f t="shared" si="5"/>
        <v>30</v>
      </c>
      <c r="C55" s="4">
        <f t="shared" si="12"/>
        <v>34900</v>
      </c>
      <c r="D55" s="2">
        <f t="shared" si="1"/>
        <v>33481.53</v>
      </c>
      <c r="E55" s="19">
        <f t="shared" si="13"/>
        <v>1418.47</v>
      </c>
      <c r="F55" s="2">
        <f t="shared" si="11"/>
        <v>170215.92999999976</v>
      </c>
      <c r="G55" s="2">
        <f t="shared" si="10"/>
        <v>136734.39999999976</v>
      </c>
      <c r="H55" s="14"/>
      <c r="I55" s="16"/>
    </row>
    <row r="56" spans="1:9" x14ac:dyDescent="0.25">
      <c r="A56" s="54">
        <v>42860</v>
      </c>
      <c r="B56" s="1">
        <f t="shared" si="5"/>
        <v>30</v>
      </c>
      <c r="C56" s="4">
        <f t="shared" si="12"/>
        <v>34900</v>
      </c>
      <c r="D56" s="2">
        <f t="shared" si="1"/>
        <v>33760.550000000003</v>
      </c>
      <c r="E56" s="19">
        <f t="shared" si="13"/>
        <v>1139.45</v>
      </c>
      <c r="F56" s="2">
        <f t="shared" si="11"/>
        <v>136734.39999999976</v>
      </c>
      <c r="G56" s="2">
        <f t="shared" si="10"/>
        <v>102973.84999999976</v>
      </c>
      <c r="H56" s="14"/>
      <c r="I56" s="16"/>
    </row>
    <row r="57" spans="1:9" x14ac:dyDescent="0.25">
      <c r="A57" s="54">
        <v>42891</v>
      </c>
      <c r="B57" s="1">
        <f t="shared" si="5"/>
        <v>30</v>
      </c>
      <c r="C57" s="4">
        <f t="shared" si="12"/>
        <v>34900</v>
      </c>
      <c r="D57" s="2">
        <f t="shared" si="1"/>
        <v>34041.879999999997</v>
      </c>
      <c r="E57" s="19">
        <f t="shared" si="13"/>
        <v>858.12</v>
      </c>
      <c r="F57" s="2">
        <f t="shared" si="11"/>
        <v>102973.84999999976</v>
      </c>
      <c r="G57" s="2">
        <f t="shared" si="10"/>
        <v>68931.969999999768</v>
      </c>
      <c r="H57" s="14"/>
      <c r="I57" s="16"/>
    </row>
    <row r="58" spans="1:9" x14ac:dyDescent="0.25">
      <c r="A58" s="54">
        <v>42921</v>
      </c>
      <c r="B58" s="1">
        <f t="shared" si="5"/>
        <v>30</v>
      </c>
      <c r="C58" s="4">
        <f t="shared" si="12"/>
        <v>34900</v>
      </c>
      <c r="D58" s="2">
        <f t="shared" si="1"/>
        <v>34325.57</v>
      </c>
      <c r="E58" s="19">
        <f t="shared" si="13"/>
        <v>574.42999999999995</v>
      </c>
      <c r="F58" s="2">
        <f t="shared" si="11"/>
        <v>68931.969999999768</v>
      </c>
      <c r="G58" s="2">
        <f t="shared" si="10"/>
        <v>34606.399999999769</v>
      </c>
      <c r="H58" s="14"/>
      <c r="I58" s="16"/>
    </row>
    <row r="59" spans="1:9" x14ac:dyDescent="0.25">
      <c r="A59" s="54">
        <v>42952</v>
      </c>
      <c r="B59" s="1">
        <f t="shared" si="5"/>
        <v>30</v>
      </c>
      <c r="C59" s="4">
        <f t="shared" si="12"/>
        <v>34900</v>
      </c>
      <c r="D59" s="2">
        <f t="shared" si="1"/>
        <v>34606.399999999769</v>
      </c>
      <c r="E59" s="19">
        <v>293.60000000023194</v>
      </c>
      <c r="F59" s="2">
        <f t="shared" si="11"/>
        <v>34606.399999999769</v>
      </c>
      <c r="G59" s="2">
        <f t="shared" si="10"/>
        <v>0</v>
      </c>
      <c r="H59" s="14"/>
      <c r="I59" s="16"/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F9B63F-BE21-46CD-9628-6A4D36EDC094}">
  <dimension ref="A1:U3"/>
  <sheetViews>
    <sheetView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135.57031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80</v>
      </c>
      <c r="P2" s="20" t="s">
        <v>21</v>
      </c>
      <c r="Q2" s="20" t="s">
        <v>79</v>
      </c>
      <c r="R2" s="20" t="s">
        <v>230</v>
      </c>
      <c r="S2" s="20" t="s">
        <v>21</v>
      </c>
      <c r="T2" s="20" t="s">
        <v>84</v>
      </c>
      <c r="U2" s="50" t="s">
        <v>356</v>
      </c>
    </row>
    <row r="3" spans="1:21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80</v>
      </c>
      <c r="P3" s="20" t="s">
        <v>21</v>
      </c>
      <c r="Q3" s="20" t="s">
        <v>79</v>
      </c>
      <c r="R3" s="20" t="s">
        <v>230</v>
      </c>
      <c r="S3" s="20" t="s">
        <v>21</v>
      </c>
      <c r="T3" s="20" t="s">
        <v>84</v>
      </c>
      <c r="U3" s="50" t="s">
        <v>357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F8D6D9-8E39-43B8-9087-8B0C31AA3B2E}">
  <dimension ref="A1:M59"/>
  <sheetViews>
    <sheetView zoomScale="90" zoomScaleNormal="90" workbookViewId="0">
      <pane ySplit="3" topLeftCell="A39" activePane="bottomLeft" state="frozen"/>
      <selection activeCell="C60" sqref="C60"/>
      <selection pane="bottomLeft" activeCell="G2" sqref="G2"/>
    </sheetView>
  </sheetViews>
  <sheetFormatPr defaultRowHeight="15" x14ac:dyDescent="0.25"/>
  <cols>
    <col min="1" max="1" width="15.42578125" bestFit="1" customWidth="1"/>
    <col min="2" max="2" width="13" bestFit="1" customWidth="1"/>
    <col min="3" max="3" width="14.28515625" bestFit="1" customWidth="1"/>
    <col min="4" max="4" width="11.140625" bestFit="1" customWidth="1"/>
    <col min="5" max="5" width="12.140625" bestFit="1" customWidth="1"/>
    <col min="6" max="6" width="16" bestFit="1" customWidth="1"/>
    <col min="7" max="7" width="14.85546875" bestFit="1" customWidth="1"/>
    <col min="8" max="8" width="15.5703125" bestFit="1" customWidth="1"/>
    <col min="9" max="9" width="9" bestFit="1" customWidth="1"/>
    <col min="10" max="10" width="13.140625" bestFit="1" customWidth="1"/>
    <col min="11" max="11" width="11.28515625" bestFit="1" customWidth="1"/>
    <col min="12" max="12" width="13.140625" bestFit="1" customWidth="1"/>
    <col min="13" max="13" width="11.28515625" bestFit="1" customWidth="1"/>
  </cols>
  <sheetData>
    <row r="1" spans="1:13" x14ac:dyDescent="0.25">
      <c r="A1" s="17" t="s">
        <v>33</v>
      </c>
      <c r="B1" s="78">
        <v>41856</v>
      </c>
      <c r="C1" s="17" t="s">
        <v>355</v>
      </c>
      <c r="D1" s="137" t="s">
        <v>347</v>
      </c>
      <c r="E1" s="137" t="s">
        <v>354</v>
      </c>
      <c r="F1" s="138" t="s">
        <v>175</v>
      </c>
      <c r="G1" s="137" t="s">
        <v>346</v>
      </c>
      <c r="H1" s="137" t="s">
        <v>352</v>
      </c>
      <c r="I1" s="138" t="s">
        <v>359</v>
      </c>
      <c r="J1" s="144" t="s">
        <v>362</v>
      </c>
      <c r="K1" s="144" t="s">
        <v>350</v>
      </c>
      <c r="L1" s="144" t="s">
        <v>363</v>
      </c>
      <c r="M1" s="144" t="s">
        <v>351</v>
      </c>
    </row>
    <row r="2" spans="1:13" x14ac:dyDescent="0.25">
      <c r="A2" s="17" t="s">
        <v>34</v>
      </c>
      <c r="B2" s="18">
        <v>0.15</v>
      </c>
      <c r="C2" s="17">
        <f>ROUNDUP(34673.5343079289,0)</f>
        <v>34674</v>
      </c>
      <c r="D2" s="125">
        <v>42370</v>
      </c>
      <c r="E2" s="139">
        <f>ROUNDUP(36001.084,0)</f>
        <v>36002</v>
      </c>
      <c r="F2" s="140">
        <v>0.2</v>
      </c>
      <c r="G2" s="125">
        <v>42736</v>
      </c>
      <c r="H2" s="139">
        <f>ROUNDUP(34967.0362183874,0)</f>
        <v>34968</v>
      </c>
      <c r="I2" s="140">
        <v>0.1</v>
      </c>
      <c r="J2" s="145">
        <f>_xlfn.DAYS(A40,D2)</f>
        <v>4</v>
      </c>
      <c r="K2" s="145">
        <f>_xlfn.DAYS(D2,A19)</f>
        <v>27</v>
      </c>
      <c r="L2" s="145">
        <f>_xlfn.DAYS(G2,A51)</f>
        <v>27</v>
      </c>
      <c r="M2" s="145">
        <f>_xlfn.DAYS(A52,G2)</f>
        <v>4</v>
      </c>
    </row>
    <row r="3" spans="1:13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23" t="s">
        <v>36</v>
      </c>
    </row>
    <row r="4" spans="1:13" x14ac:dyDescent="0.25">
      <c r="A4" s="29">
        <v>41887</v>
      </c>
      <c r="B4" s="1">
        <f>_xlfn.DAYS(A4,B1)</f>
        <v>31</v>
      </c>
      <c r="C4" s="4">
        <f t="shared" ref="C4:C39" si="0">$C$2</f>
        <v>34674</v>
      </c>
      <c r="D4" s="3">
        <f>C4-E4</f>
        <v>21934.27</v>
      </c>
      <c r="E4" s="19">
        <f>ROUND(F4*$B$2*B4/365,2)</f>
        <v>12739.73</v>
      </c>
      <c r="F4" s="23">
        <v>1000000</v>
      </c>
      <c r="G4" s="2">
        <f>F4-D4</f>
        <v>978065.73</v>
      </c>
      <c r="H4" s="14">
        <f>F4*$B$2*B4/365</f>
        <v>12739.726027397261</v>
      </c>
      <c r="I4" s="16">
        <f>H4-E4</f>
        <v>-3.9726027389406227E-3</v>
      </c>
    </row>
    <row r="5" spans="1:13" x14ac:dyDescent="0.25">
      <c r="A5" s="29">
        <v>41917</v>
      </c>
      <c r="B5" s="1">
        <f>_xlfn.DAYS(A5,A4)</f>
        <v>30</v>
      </c>
      <c r="C5" s="4">
        <f t="shared" si="0"/>
        <v>34674</v>
      </c>
      <c r="D5" s="2">
        <f t="shared" ref="D5:D59" si="1">C5-E5</f>
        <v>22615.66</v>
      </c>
      <c r="E5" s="19">
        <f>ROUND(F5*$B$2*B5/365,2)</f>
        <v>12058.34</v>
      </c>
      <c r="F5" s="2">
        <f>G4</f>
        <v>978065.73</v>
      </c>
      <c r="G5" s="2">
        <f>F5-D5</f>
        <v>955450.07</v>
      </c>
      <c r="H5" s="14">
        <f t="shared" ref="H5:H33" si="2">F5*$B$2*B5/365</f>
        <v>12058.344616438357</v>
      </c>
      <c r="I5" s="16">
        <f t="shared" ref="I5:I33" si="3">H5-E5</f>
        <v>4.6164383566065226E-3</v>
      </c>
    </row>
    <row r="6" spans="1:13" x14ac:dyDescent="0.25">
      <c r="A6" s="29">
        <v>41948</v>
      </c>
      <c r="B6" s="1">
        <f t="shared" ref="B6:B59" si="4">_xlfn.DAYS(A6,A5)</f>
        <v>31</v>
      </c>
      <c r="C6" s="4">
        <f t="shared" si="0"/>
        <v>34674</v>
      </c>
      <c r="D6" s="2">
        <f t="shared" si="1"/>
        <v>22501.83</v>
      </c>
      <c r="E6" s="19">
        <f t="shared" ref="E6:E38" si="5">ROUND(F6*$B$2*B6/365,2)</f>
        <v>12172.17</v>
      </c>
      <c r="F6" s="2">
        <f t="shared" ref="F6:F39" si="6">G5</f>
        <v>955450.07</v>
      </c>
      <c r="G6" s="2">
        <f t="shared" ref="G6:G41" si="7">F6-D6</f>
        <v>932948.24</v>
      </c>
      <c r="H6" s="14">
        <f t="shared" si="2"/>
        <v>12172.172124657533</v>
      </c>
      <c r="I6" s="16">
        <f t="shared" si="3"/>
        <v>2.1246575324767036E-3</v>
      </c>
    </row>
    <row r="7" spans="1:13" x14ac:dyDescent="0.25">
      <c r="A7" s="29">
        <v>41978</v>
      </c>
      <c r="B7" s="1">
        <f t="shared" si="4"/>
        <v>30</v>
      </c>
      <c r="C7" s="4">
        <f t="shared" si="0"/>
        <v>34674</v>
      </c>
      <c r="D7" s="2">
        <f t="shared" si="1"/>
        <v>23171.9</v>
      </c>
      <c r="E7" s="19">
        <f t="shared" si="5"/>
        <v>11502.1</v>
      </c>
      <c r="F7" s="2">
        <f t="shared" si="6"/>
        <v>932948.24</v>
      </c>
      <c r="G7" s="2">
        <f t="shared" si="7"/>
        <v>909776.34</v>
      </c>
      <c r="H7" s="14">
        <f t="shared" si="2"/>
        <v>11502.101589041096</v>
      </c>
      <c r="I7" s="16">
        <f t="shared" si="3"/>
        <v>1.5890410959400469E-3</v>
      </c>
    </row>
    <row r="8" spans="1:13" x14ac:dyDescent="0.25">
      <c r="A8" s="29">
        <v>42009</v>
      </c>
      <c r="B8" s="1">
        <f t="shared" si="4"/>
        <v>31</v>
      </c>
      <c r="C8" s="4">
        <f t="shared" si="0"/>
        <v>34674</v>
      </c>
      <c r="D8" s="2">
        <f t="shared" si="1"/>
        <v>23083.7</v>
      </c>
      <c r="E8" s="19">
        <f t="shared" si="5"/>
        <v>11590.3</v>
      </c>
      <c r="F8" s="2">
        <f t="shared" si="6"/>
        <v>909776.34</v>
      </c>
      <c r="G8" s="2">
        <f t="shared" si="7"/>
        <v>886692.64</v>
      </c>
      <c r="H8" s="14">
        <f t="shared" si="2"/>
        <v>11590.301317808218</v>
      </c>
      <c r="I8" s="16">
        <f t="shared" si="3"/>
        <v>1.3178082190279383E-3</v>
      </c>
    </row>
    <row r="9" spans="1:13" x14ac:dyDescent="0.25">
      <c r="A9" s="29">
        <v>42040</v>
      </c>
      <c r="B9" s="1">
        <f t="shared" si="4"/>
        <v>31</v>
      </c>
      <c r="C9" s="4">
        <f t="shared" si="0"/>
        <v>34674</v>
      </c>
      <c r="D9" s="2">
        <f t="shared" si="1"/>
        <v>23377.78</v>
      </c>
      <c r="E9" s="19">
        <f t="shared" si="5"/>
        <v>11296.22</v>
      </c>
      <c r="F9" s="2">
        <f t="shared" si="6"/>
        <v>886692.64</v>
      </c>
      <c r="G9" s="2">
        <f t="shared" si="7"/>
        <v>863314.86</v>
      </c>
      <c r="H9" s="14">
        <f t="shared" si="2"/>
        <v>11296.221304109589</v>
      </c>
      <c r="I9" s="16">
        <f t="shared" si="3"/>
        <v>1.3041095899097854E-3</v>
      </c>
    </row>
    <row r="10" spans="1:13" x14ac:dyDescent="0.25">
      <c r="A10" s="29">
        <v>42068</v>
      </c>
      <c r="B10" s="1">
        <f t="shared" si="4"/>
        <v>28</v>
      </c>
      <c r="C10" s="4">
        <f t="shared" si="0"/>
        <v>34674</v>
      </c>
      <c r="D10" s="2">
        <f t="shared" si="1"/>
        <v>24739.97</v>
      </c>
      <c r="E10" s="19">
        <f t="shared" si="5"/>
        <v>9934.0300000000007</v>
      </c>
      <c r="F10" s="2">
        <f t="shared" si="6"/>
        <v>863314.86</v>
      </c>
      <c r="G10" s="2">
        <f t="shared" si="7"/>
        <v>838574.89</v>
      </c>
      <c r="H10" s="14">
        <f t="shared" si="2"/>
        <v>9934.0340054794506</v>
      </c>
      <c r="I10" s="16">
        <f t="shared" si="3"/>
        <v>4.0054794499155832E-3</v>
      </c>
    </row>
    <row r="11" spans="1:13" x14ac:dyDescent="0.25">
      <c r="A11" s="29">
        <v>42099</v>
      </c>
      <c r="B11" s="1">
        <f t="shared" si="4"/>
        <v>31</v>
      </c>
      <c r="C11" s="4">
        <f t="shared" si="0"/>
        <v>34674</v>
      </c>
      <c r="D11" s="2">
        <f t="shared" si="1"/>
        <v>23990.79</v>
      </c>
      <c r="E11" s="19">
        <f t="shared" si="5"/>
        <v>10683.21</v>
      </c>
      <c r="F11" s="2">
        <f t="shared" si="6"/>
        <v>838574.89</v>
      </c>
      <c r="G11" s="2">
        <f t="shared" si="7"/>
        <v>814584.1</v>
      </c>
      <c r="H11" s="14">
        <f t="shared" si="2"/>
        <v>10683.214352054794</v>
      </c>
      <c r="I11" s="16">
        <f t="shared" si="3"/>
        <v>4.3520547951629851E-3</v>
      </c>
    </row>
    <row r="12" spans="1:13" x14ac:dyDescent="0.25">
      <c r="A12" s="29">
        <v>42129</v>
      </c>
      <c r="B12" s="1">
        <f t="shared" si="4"/>
        <v>30</v>
      </c>
      <c r="C12" s="4">
        <f t="shared" si="0"/>
        <v>34674</v>
      </c>
      <c r="D12" s="2">
        <f t="shared" si="1"/>
        <v>24631.18</v>
      </c>
      <c r="E12" s="19">
        <f t="shared" si="5"/>
        <v>10042.82</v>
      </c>
      <c r="F12" s="2">
        <f t="shared" si="6"/>
        <v>814584.1</v>
      </c>
      <c r="G12" s="2">
        <f t="shared" si="7"/>
        <v>789952.91999999993</v>
      </c>
      <c r="H12" s="14">
        <f t="shared" si="2"/>
        <v>10042.817671232877</v>
      </c>
      <c r="I12" s="16">
        <f t="shared" si="3"/>
        <v>-2.3287671228899853E-3</v>
      </c>
    </row>
    <row r="13" spans="1:13" x14ac:dyDescent="0.25">
      <c r="A13" s="29">
        <v>42160</v>
      </c>
      <c r="B13" s="1">
        <f t="shared" si="4"/>
        <v>31</v>
      </c>
      <c r="C13" s="4">
        <f t="shared" si="0"/>
        <v>34674</v>
      </c>
      <c r="D13" s="2">
        <f t="shared" si="1"/>
        <v>24610.22</v>
      </c>
      <c r="E13" s="19">
        <f t="shared" si="5"/>
        <v>10063.780000000001</v>
      </c>
      <c r="F13" s="2">
        <f t="shared" si="6"/>
        <v>789952.91999999993</v>
      </c>
      <c r="G13" s="2">
        <f t="shared" si="7"/>
        <v>765342.7</v>
      </c>
      <c r="H13" s="14">
        <f t="shared" si="2"/>
        <v>10063.783775342465</v>
      </c>
      <c r="I13" s="16">
        <f t="shared" si="3"/>
        <v>3.7753424639959121E-3</v>
      </c>
    </row>
    <row r="14" spans="1:13" x14ac:dyDescent="0.25">
      <c r="A14" s="29">
        <v>42190</v>
      </c>
      <c r="B14" s="1">
        <f t="shared" si="4"/>
        <v>30</v>
      </c>
      <c r="C14" s="4">
        <f t="shared" si="0"/>
        <v>34674</v>
      </c>
      <c r="D14" s="2">
        <f t="shared" si="1"/>
        <v>25238.27</v>
      </c>
      <c r="E14" s="19">
        <f t="shared" si="5"/>
        <v>9435.73</v>
      </c>
      <c r="F14" s="2">
        <f t="shared" si="6"/>
        <v>765342.7</v>
      </c>
      <c r="G14" s="2">
        <f t="shared" si="7"/>
        <v>740104.42999999993</v>
      </c>
      <c r="H14" s="14">
        <f t="shared" si="2"/>
        <v>9435.731917808218</v>
      </c>
      <c r="I14" s="16">
        <f t="shared" si="3"/>
        <v>1.9178082184225786E-3</v>
      </c>
    </row>
    <row r="15" spans="1:13" x14ac:dyDescent="0.25">
      <c r="A15" s="29">
        <v>42221</v>
      </c>
      <c r="B15" s="1">
        <f t="shared" si="4"/>
        <v>31</v>
      </c>
      <c r="C15" s="4">
        <f t="shared" si="0"/>
        <v>34674</v>
      </c>
      <c r="D15" s="2">
        <f t="shared" si="1"/>
        <v>25245.27</v>
      </c>
      <c r="E15" s="19">
        <f t="shared" si="5"/>
        <v>9428.73</v>
      </c>
      <c r="F15" s="2">
        <f t="shared" si="6"/>
        <v>740104.42999999993</v>
      </c>
      <c r="G15" s="2">
        <f t="shared" si="7"/>
        <v>714859.15999999992</v>
      </c>
      <c r="H15" s="14">
        <f t="shared" si="2"/>
        <v>9428.7276698630121</v>
      </c>
      <c r="I15" s="16">
        <f t="shared" si="3"/>
        <v>-2.3301369874388911E-3</v>
      </c>
    </row>
    <row r="16" spans="1:13" x14ac:dyDescent="0.25">
      <c r="A16" s="29">
        <v>42252</v>
      </c>
      <c r="B16" s="1">
        <f t="shared" si="4"/>
        <v>31</v>
      </c>
      <c r="C16" s="4">
        <f t="shared" si="0"/>
        <v>34674</v>
      </c>
      <c r="D16" s="2">
        <f t="shared" si="1"/>
        <v>25566.89</v>
      </c>
      <c r="E16" s="19">
        <f t="shared" si="5"/>
        <v>9107.11</v>
      </c>
      <c r="F16" s="2">
        <f t="shared" si="6"/>
        <v>714859.15999999992</v>
      </c>
      <c r="G16" s="2">
        <f t="shared" si="7"/>
        <v>689292.2699999999</v>
      </c>
      <c r="H16" s="14">
        <f t="shared" si="2"/>
        <v>9107.1098465753421</v>
      </c>
      <c r="I16" s="16">
        <f t="shared" si="3"/>
        <v>-1.5342465849244036E-4</v>
      </c>
    </row>
    <row r="17" spans="1:9" x14ac:dyDescent="0.25">
      <c r="A17" s="29">
        <v>42282</v>
      </c>
      <c r="B17" s="1">
        <f t="shared" si="4"/>
        <v>30</v>
      </c>
      <c r="C17" s="4">
        <f t="shared" si="0"/>
        <v>34674</v>
      </c>
      <c r="D17" s="2">
        <f t="shared" si="1"/>
        <v>26175.879999999997</v>
      </c>
      <c r="E17" s="19">
        <f t="shared" si="5"/>
        <v>8498.1200000000008</v>
      </c>
      <c r="F17" s="2">
        <f t="shared" si="6"/>
        <v>689292.2699999999</v>
      </c>
      <c r="G17" s="2">
        <f t="shared" si="7"/>
        <v>663116.3899999999</v>
      </c>
      <c r="H17" s="14">
        <f t="shared" si="2"/>
        <v>8498.1238767123268</v>
      </c>
      <c r="I17" s="16">
        <f t="shared" si="3"/>
        <v>3.8767123260186054E-3</v>
      </c>
    </row>
    <row r="18" spans="1:9" x14ac:dyDescent="0.25">
      <c r="A18" s="29">
        <v>42313</v>
      </c>
      <c r="B18" s="1">
        <f t="shared" si="4"/>
        <v>31</v>
      </c>
      <c r="C18" s="4">
        <f t="shared" si="0"/>
        <v>34674</v>
      </c>
      <c r="D18" s="2">
        <f t="shared" si="1"/>
        <v>26226.080000000002</v>
      </c>
      <c r="E18" s="19">
        <f t="shared" si="5"/>
        <v>8447.92</v>
      </c>
      <c r="F18" s="2">
        <f t="shared" si="6"/>
        <v>663116.3899999999</v>
      </c>
      <c r="G18" s="2">
        <f t="shared" si="7"/>
        <v>636890.30999999994</v>
      </c>
      <c r="H18" s="14">
        <f t="shared" si="2"/>
        <v>8447.9211328767105</v>
      </c>
      <c r="I18" s="16">
        <f t="shared" si="3"/>
        <v>1.1328767104714643E-3</v>
      </c>
    </row>
    <row r="19" spans="1:9" x14ac:dyDescent="0.25">
      <c r="A19" s="29">
        <v>42343</v>
      </c>
      <c r="B19" s="1">
        <f t="shared" si="4"/>
        <v>30</v>
      </c>
      <c r="C19" s="4">
        <f t="shared" si="0"/>
        <v>34674</v>
      </c>
      <c r="D19" s="2">
        <f t="shared" si="1"/>
        <v>26821.93</v>
      </c>
      <c r="E19" s="19">
        <f t="shared" si="5"/>
        <v>7852.07</v>
      </c>
      <c r="F19" s="2">
        <f t="shared" si="6"/>
        <v>636890.30999999994</v>
      </c>
      <c r="G19" s="2">
        <f t="shared" si="7"/>
        <v>610068.37999999989</v>
      </c>
      <c r="H19" s="14">
        <f t="shared" si="2"/>
        <v>7852.0723150684917</v>
      </c>
      <c r="I19" s="16">
        <f t="shared" si="3"/>
        <v>2.315068491952843E-3</v>
      </c>
    </row>
    <row r="20" spans="1:9" x14ac:dyDescent="0.25">
      <c r="A20" s="29">
        <v>42374</v>
      </c>
      <c r="B20" s="1">
        <f t="shared" si="4"/>
        <v>31</v>
      </c>
      <c r="C20" s="4">
        <f t="shared" si="0"/>
        <v>34674</v>
      </c>
      <c r="D20" s="2">
        <f t="shared" si="1"/>
        <v>26901.9</v>
      </c>
      <c r="E20" s="19">
        <f t="shared" si="5"/>
        <v>7772.1</v>
      </c>
      <c r="F20" s="2">
        <f t="shared" si="6"/>
        <v>610068.37999999989</v>
      </c>
      <c r="G20" s="2">
        <f t="shared" si="7"/>
        <v>583166.47999999986</v>
      </c>
      <c r="H20" s="14">
        <f t="shared" si="2"/>
        <v>7772.1040191780803</v>
      </c>
      <c r="I20" s="16">
        <f t="shared" si="3"/>
        <v>4.0191780799432308E-3</v>
      </c>
    </row>
    <row r="21" spans="1:9" x14ac:dyDescent="0.25">
      <c r="A21" s="29">
        <v>42405</v>
      </c>
      <c r="B21" s="1">
        <f t="shared" si="4"/>
        <v>31</v>
      </c>
      <c r="C21" s="4">
        <f t="shared" si="0"/>
        <v>34674</v>
      </c>
      <c r="D21" s="2">
        <f t="shared" si="1"/>
        <v>27244.62</v>
      </c>
      <c r="E21" s="19">
        <f t="shared" si="5"/>
        <v>7429.38</v>
      </c>
      <c r="F21" s="2">
        <f t="shared" si="6"/>
        <v>583166.47999999986</v>
      </c>
      <c r="G21" s="2">
        <f t="shared" si="7"/>
        <v>555921.85999999987</v>
      </c>
      <c r="H21" s="14">
        <f t="shared" si="2"/>
        <v>7429.3811835616416</v>
      </c>
      <c r="I21" s="16">
        <f t="shared" si="3"/>
        <v>1.183561641482811E-3</v>
      </c>
    </row>
    <row r="22" spans="1:9" x14ac:dyDescent="0.25">
      <c r="A22" s="29">
        <v>42434</v>
      </c>
      <c r="B22" s="1">
        <f t="shared" si="4"/>
        <v>29</v>
      </c>
      <c r="C22" s="4">
        <f t="shared" si="0"/>
        <v>34674</v>
      </c>
      <c r="D22" s="2">
        <f t="shared" si="1"/>
        <v>28048.63</v>
      </c>
      <c r="E22" s="19">
        <f t="shared" si="5"/>
        <v>6625.37</v>
      </c>
      <c r="F22" s="2">
        <f t="shared" si="6"/>
        <v>555921.85999999987</v>
      </c>
      <c r="G22" s="2">
        <f t="shared" si="7"/>
        <v>527873.22999999986</v>
      </c>
      <c r="H22" s="14">
        <f t="shared" si="2"/>
        <v>6625.3701123287656</v>
      </c>
      <c r="I22" s="16">
        <f t="shared" si="3"/>
        <v>1.1232876568101346E-4</v>
      </c>
    </row>
    <row r="23" spans="1:9" x14ac:dyDescent="0.25">
      <c r="A23" s="29">
        <v>42465</v>
      </c>
      <c r="B23" s="1">
        <f t="shared" si="4"/>
        <v>31</v>
      </c>
      <c r="C23" s="4">
        <f t="shared" si="0"/>
        <v>34674</v>
      </c>
      <c r="D23" s="2">
        <f t="shared" si="1"/>
        <v>27949.040000000001</v>
      </c>
      <c r="E23" s="19">
        <f t="shared" si="5"/>
        <v>6724.96</v>
      </c>
      <c r="F23" s="2">
        <f t="shared" si="6"/>
        <v>527873.22999999986</v>
      </c>
      <c r="G23" s="2">
        <f t="shared" si="7"/>
        <v>499924.18999999989</v>
      </c>
      <c r="H23" s="14">
        <f t="shared" si="2"/>
        <v>6724.9603273972589</v>
      </c>
      <c r="I23" s="16">
        <f t="shared" si="3"/>
        <v>3.2739725884312065E-4</v>
      </c>
    </row>
    <row r="24" spans="1:9" x14ac:dyDescent="0.25">
      <c r="A24" s="29">
        <v>42495</v>
      </c>
      <c r="B24" s="1">
        <f t="shared" si="4"/>
        <v>30</v>
      </c>
      <c r="C24" s="4">
        <f t="shared" si="0"/>
        <v>34674</v>
      </c>
      <c r="D24" s="2">
        <f t="shared" si="1"/>
        <v>28510.55</v>
      </c>
      <c r="E24" s="19">
        <f t="shared" si="5"/>
        <v>6163.45</v>
      </c>
      <c r="F24" s="2">
        <f t="shared" si="6"/>
        <v>499924.18999999989</v>
      </c>
      <c r="G24" s="2">
        <f t="shared" si="7"/>
        <v>471413.6399999999</v>
      </c>
      <c r="H24" s="14">
        <f t="shared" si="2"/>
        <v>6163.4489178082176</v>
      </c>
      <c r="I24" s="16">
        <f t="shared" si="3"/>
        <v>-1.0821917821886018E-3</v>
      </c>
    </row>
    <row r="25" spans="1:9" x14ac:dyDescent="0.25">
      <c r="A25" s="29">
        <v>42526</v>
      </c>
      <c r="B25" s="1">
        <f t="shared" si="4"/>
        <v>31</v>
      </c>
      <c r="C25" s="4">
        <f t="shared" si="0"/>
        <v>34674</v>
      </c>
      <c r="D25" s="2">
        <f t="shared" si="1"/>
        <v>28668.32</v>
      </c>
      <c r="E25" s="19">
        <f t="shared" si="5"/>
        <v>6005.68</v>
      </c>
      <c r="F25" s="2">
        <f t="shared" si="6"/>
        <v>471413.6399999999</v>
      </c>
      <c r="G25" s="2">
        <f t="shared" si="7"/>
        <v>442745.31999999989</v>
      </c>
      <c r="H25" s="14">
        <f t="shared" si="2"/>
        <v>6005.6806191780806</v>
      </c>
      <c r="I25" s="16">
        <f t="shared" si="3"/>
        <v>6.1917808034195332E-4</v>
      </c>
    </row>
    <row r="26" spans="1:9" x14ac:dyDescent="0.25">
      <c r="A26" s="29">
        <v>42556</v>
      </c>
      <c r="B26" s="1">
        <f t="shared" si="4"/>
        <v>30</v>
      </c>
      <c r="C26" s="4">
        <f t="shared" si="0"/>
        <v>34674</v>
      </c>
      <c r="D26" s="2">
        <f t="shared" si="1"/>
        <v>29215.5</v>
      </c>
      <c r="E26" s="19">
        <f t="shared" si="5"/>
        <v>5458.5</v>
      </c>
      <c r="F26" s="2">
        <f t="shared" si="6"/>
        <v>442745.31999999989</v>
      </c>
      <c r="G26" s="2">
        <f t="shared" si="7"/>
        <v>413529.81999999989</v>
      </c>
      <c r="H26" s="14">
        <f t="shared" si="2"/>
        <v>5458.503945205478</v>
      </c>
      <c r="I26" s="16">
        <f t="shared" si="3"/>
        <v>3.9452054779758328E-3</v>
      </c>
    </row>
    <row r="27" spans="1:9" x14ac:dyDescent="0.25">
      <c r="A27" s="29">
        <v>42587</v>
      </c>
      <c r="B27" s="1">
        <f t="shared" si="4"/>
        <v>31</v>
      </c>
      <c r="C27" s="4">
        <f t="shared" si="0"/>
        <v>34674</v>
      </c>
      <c r="D27" s="2">
        <f t="shared" si="1"/>
        <v>29405.739999999998</v>
      </c>
      <c r="E27" s="19">
        <f t="shared" si="5"/>
        <v>5268.26</v>
      </c>
      <c r="F27" s="2">
        <f t="shared" si="6"/>
        <v>413529.81999999989</v>
      </c>
      <c r="G27" s="2">
        <f t="shared" si="7"/>
        <v>384124.0799999999</v>
      </c>
      <c r="H27" s="14">
        <f t="shared" si="2"/>
        <v>5268.2566109589025</v>
      </c>
      <c r="I27" s="16">
        <f t="shared" si="3"/>
        <v>-3.3890410977619467E-3</v>
      </c>
    </row>
    <row r="28" spans="1:9" x14ac:dyDescent="0.25">
      <c r="A28" s="29">
        <v>42618</v>
      </c>
      <c r="B28" s="1">
        <f t="shared" si="4"/>
        <v>31</v>
      </c>
      <c r="C28" s="4">
        <f t="shared" si="0"/>
        <v>34674</v>
      </c>
      <c r="D28" s="2">
        <f t="shared" si="1"/>
        <v>29780.36</v>
      </c>
      <c r="E28" s="19">
        <f t="shared" si="5"/>
        <v>4893.6400000000003</v>
      </c>
      <c r="F28" s="2">
        <f t="shared" si="6"/>
        <v>384124.0799999999</v>
      </c>
      <c r="G28" s="2">
        <f t="shared" si="7"/>
        <v>354343.71999999991</v>
      </c>
      <c r="H28" s="14">
        <f t="shared" si="2"/>
        <v>4893.6355397260259</v>
      </c>
      <c r="I28" s="16">
        <f t="shared" si="3"/>
        <v>-4.4602739744732389E-3</v>
      </c>
    </row>
    <row r="29" spans="1:9" x14ac:dyDescent="0.25">
      <c r="A29" s="29">
        <v>42648</v>
      </c>
      <c r="B29" s="1">
        <f t="shared" si="4"/>
        <v>30</v>
      </c>
      <c r="C29" s="4">
        <f t="shared" si="0"/>
        <v>34674</v>
      </c>
      <c r="D29" s="2">
        <f t="shared" si="1"/>
        <v>30305.38</v>
      </c>
      <c r="E29" s="19">
        <f t="shared" si="5"/>
        <v>4368.62</v>
      </c>
      <c r="F29" s="2">
        <f t="shared" si="6"/>
        <v>354343.71999999991</v>
      </c>
      <c r="G29" s="2">
        <f t="shared" si="7"/>
        <v>324038.33999999991</v>
      </c>
      <c r="H29" s="14">
        <f t="shared" si="2"/>
        <v>4368.6212054794505</v>
      </c>
      <c r="I29" s="16">
        <f t="shared" si="3"/>
        <v>1.2054794506184408E-3</v>
      </c>
    </row>
    <row r="30" spans="1:9" x14ac:dyDescent="0.25">
      <c r="A30" s="29">
        <v>42679</v>
      </c>
      <c r="B30" s="1">
        <f t="shared" si="4"/>
        <v>31</v>
      </c>
      <c r="C30" s="4">
        <f t="shared" si="0"/>
        <v>34674</v>
      </c>
      <c r="D30" s="2">
        <f t="shared" si="1"/>
        <v>30545.84</v>
      </c>
      <c r="E30" s="19">
        <f t="shared" si="5"/>
        <v>4128.16</v>
      </c>
      <c r="F30" s="2">
        <f t="shared" si="6"/>
        <v>324038.33999999991</v>
      </c>
      <c r="G30" s="2">
        <f t="shared" si="7"/>
        <v>293492.49999999988</v>
      </c>
      <c r="H30" s="14">
        <f t="shared" si="2"/>
        <v>4128.159673972601</v>
      </c>
      <c r="I30" s="16">
        <f t="shared" si="3"/>
        <v>-3.2602739884168841E-4</v>
      </c>
    </row>
    <row r="31" spans="1:9" x14ac:dyDescent="0.25">
      <c r="A31" s="29">
        <v>42709</v>
      </c>
      <c r="B31" s="1">
        <f t="shared" si="4"/>
        <v>30</v>
      </c>
      <c r="C31" s="4">
        <f t="shared" si="0"/>
        <v>34674</v>
      </c>
      <c r="D31" s="2">
        <f t="shared" si="1"/>
        <v>31055.599999999999</v>
      </c>
      <c r="E31" s="19">
        <f t="shared" si="5"/>
        <v>3618.4</v>
      </c>
      <c r="F31" s="2">
        <f t="shared" si="6"/>
        <v>293492.49999999988</v>
      </c>
      <c r="G31" s="2">
        <f t="shared" si="7"/>
        <v>262436.89999999991</v>
      </c>
      <c r="H31" s="14">
        <f t="shared" si="2"/>
        <v>3618.4006849315051</v>
      </c>
      <c r="I31" s="16">
        <f t="shared" si="3"/>
        <v>6.849315050203586E-4</v>
      </c>
    </row>
    <row r="32" spans="1:9" x14ac:dyDescent="0.25">
      <c r="A32" s="29">
        <v>42740</v>
      </c>
      <c r="B32" s="1">
        <f t="shared" si="4"/>
        <v>31</v>
      </c>
      <c r="C32" s="4">
        <f t="shared" si="0"/>
        <v>34674</v>
      </c>
      <c r="D32" s="2">
        <f t="shared" si="1"/>
        <v>31330.63</v>
      </c>
      <c r="E32" s="19">
        <f t="shared" si="5"/>
        <v>3343.37</v>
      </c>
      <c r="F32" s="2">
        <f t="shared" si="6"/>
        <v>262436.89999999991</v>
      </c>
      <c r="G32" s="2">
        <f t="shared" si="7"/>
        <v>231106.2699999999</v>
      </c>
      <c r="H32" s="14">
        <f t="shared" si="2"/>
        <v>3343.3742054794507</v>
      </c>
      <c r="I32" s="16">
        <f t="shared" si="3"/>
        <v>4.2054794507748738E-3</v>
      </c>
    </row>
    <row r="33" spans="1:9" x14ac:dyDescent="0.25">
      <c r="A33" s="29">
        <v>42771</v>
      </c>
      <c r="B33" s="1">
        <f t="shared" si="4"/>
        <v>31</v>
      </c>
      <c r="C33" s="4">
        <f t="shared" si="0"/>
        <v>34674</v>
      </c>
      <c r="D33" s="2">
        <f t="shared" si="1"/>
        <v>31729.77</v>
      </c>
      <c r="E33" s="19">
        <f t="shared" si="5"/>
        <v>2944.23</v>
      </c>
      <c r="F33" s="2">
        <f t="shared" si="6"/>
        <v>231106.2699999999</v>
      </c>
      <c r="G33" s="2">
        <f t="shared" si="7"/>
        <v>199376.49999999991</v>
      </c>
      <c r="H33" s="14">
        <f t="shared" si="2"/>
        <v>2944.2305630136971</v>
      </c>
      <c r="I33" s="16">
        <f t="shared" si="3"/>
        <v>5.6301369704669924E-4</v>
      </c>
    </row>
    <row r="34" spans="1:9" x14ac:dyDescent="0.25">
      <c r="A34" s="29">
        <v>42799</v>
      </c>
      <c r="B34" s="1">
        <f t="shared" si="4"/>
        <v>28</v>
      </c>
      <c r="C34" s="4">
        <f t="shared" si="0"/>
        <v>34674</v>
      </c>
      <c r="D34" s="2">
        <f t="shared" si="1"/>
        <v>32379.8</v>
      </c>
      <c r="E34" s="19">
        <f t="shared" si="5"/>
        <v>2294.1999999999998</v>
      </c>
      <c r="F34" s="2">
        <f t="shared" si="6"/>
        <v>199376.49999999991</v>
      </c>
      <c r="G34" s="2">
        <f t="shared" si="7"/>
        <v>166996.69999999992</v>
      </c>
      <c r="H34" s="14"/>
      <c r="I34" s="16"/>
    </row>
    <row r="35" spans="1:9" x14ac:dyDescent="0.25">
      <c r="A35" s="29">
        <v>42830</v>
      </c>
      <c r="B35" s="1">
        <f t="shared" si="4"/>
        <v>31</v>
      </c>
      <c r="C35" s="4">
        <f t="shared" si="0"/>
        <v>34674</v>
      </c>
      <c r="D35" s="2">
        <f t="shared" si="1"/>
        <v>32546.510000000002</v>
      </c>
      <c r="E35" s="19">
        <f t="shared" si="5"/>
        <v>2127.4899999999998</v>
      </c>
      <c r="F35" s="2">
        <f t="shared" si="6"/>
        <v>166996.69999999992</v>
      </c>
      <c r="G35" s="2">
        <f t="shared" si="7"/>
        <v>134450.18999999992</v>
      </c>
      <c r="H35" s="14"/>
      <c r="I35" s="16"/>
    </row>
    <row r="36" spans="1:9" x14ac:dyDescent="0.25">
      <c r="A36" s="29">
        <v>42860</v>
      </c>
      <c r="B36" s="1">
        <f t="shared" si="4"/>
        <v>30</v>
      </c>
      <c r="C36" s="4">
        <f t="shared" si="0"/>
        <v>34674</v>
      </c>
      <c r="D36" s="2">
        <f t="shared" si="1"/>
        <v>33016.39</v>
      </c>
      <c r="E36" s="19">
        <f t="shared" si="5"/>
        <v>1657.61</v>
      </c>
      <c r="F36" s="2">
        <f t="shared" si="6"/>
        <v>134450.18999999992</v>
      </c>
      <c r="G36" s="2">
        <f t="shared" si="7"/>
        <v>101433.79999999992</v>
      </c>
      <c r="H36" s="14"/>
      <c r="I36" s="16"/>
    </row>
    <row r="37" spans="1:9" x14ac:dyDescent="0.25">
      <c r="A37" s="29">
        <v>42891</v>
      </c>
      <c r="B37" s="1">
        <f t="shared" si="4"/>
        <v>31</v>
      </c>
      <c r="C37" s="4">
        <f t="shared" si="0"/>
        <v>34674</v>
      </c>
      <c r="D37" s="2">
        <f t="shared" si="1"/>
        <v>33381.760000000002</v>
      </c>
      <c r="E37" s="19">
        <f t="shared" si="5"/>
        <v>1292.24</v>
      </c>
      <c r="F37" s="2">
        <f t="shared" si="6"/>
        <v>101433.79999999992</v>
      </c>
      <c r="G37" s="2">
        <f t="shared" si="7"/>
        <v>68052.039999999921</v>
      </c>
      <c r="H37" s="14"/>
      <c r="I37" s="16"/>
    </row>
    <row r="38" spans="1:9" x14ac:dyDescent="0.25">
      <c r="A38" s="29">
        <v>42921</v>
      </c>
      <c r="B38" s="1">
        <f t="shared" si="4"/>
        <v>30</v>
      </c>
      <c r="C38" s="4">
        <f t="shared" si="0"/>
        <v>34674</v>
      </c>
      <c r="D38" s="2">
        <f t="shared" si="1"/>
        <v>33835</v>
      </c>
      <c r="E38" s="19">
        <f t="shared" si="5"/>
        <v>839</v>
      </c>
      <c r="F38" s="2">
        <f t="shared" si="6"/>
        <v>68052.039999999921</v>
      </c>
      <c r="G38" s="2">
        <f t="shared" si="7"/>
        <v>34217.039999999921</v>
      </c>
      <c r="H38" s="14"/>
      <c r="I38" s="16"/>
    </row>
    <row r="39" spans="1:9" x14ac:dyDescent="0.25">
      <c r="A39" s="29">
        <v>42952</v>
      </c>
      <c r="B39" s="1">
        <f t="shared" si="4"/>
        <v>31</v>
      </c>
      <c r="C39" s="4">
        <f t="shared" si="0"/>
        <v>34674</v>
      </c>
      <c r="D39" s="2">
        <f t="shared" si="1"/>
        <v>34217.039999999921</v>
      </c>
      <c r="E39" s="19">
        <v>456.96000000008064</v>
      </c>
      <c r="F39" s="2">
        <f t="shared" si="6"/>
        <v>34217.039999999921</v>
      </c>
      <c r="G39" s="2">
        <f t="shared" si="7"/>
        <v>0</v>
      </c>
      <c r="H39" s="14"/>
      <c r="I39" s="16"/>
    </row>
    <row r="40" spans="1:9" x14ac:dyDescent="0.25">
      <c r="A40" s="70">
        <v>42374</v>
      </c>
      <c r="B40" s="98">
        <f>_xlfn.DAYS(A20,A19)</f>
        <v>31</v>
      </c>
      <c r="C40" s="141">
        <f t="shared" ref="C40:C51" si="8">$E$2</f>
        <v>36002</v>
      </c>
      <c r="D40" s="142">
        <f t="shared" si="1"/>
        <v>27895.61</v>
      </c>
      <c r="E40" s="143">
        <f>ROUND((F40*$B$2*K2/365)+(F40*$F$2*J2/365),2)</f>
        <v>8106.39</v>
      </c>
      <c r="F40" s="142">
        <f>G19</f>
        <v>610068.37999999989</v>
      </c>
      <c r="G40" s="142">
        <f t="shared" si="7"/>
        <v>582172.7699999999</v>
      </c>
      <c r="H40" s="14"/>
      <c r="I40" s="16"/>
    </row>
    <row r="41" spans="1:9" x14ac:dyDescent="0.25">
      <c r="A41" s="54">
        <v>42405</v>
      </c>
      <c r="B41" s="1">
        <f t="shared" si="4"/>
        <v>31</v>
      </c>
      <c r="C41" s="4">
        <f t="shared" si="8"/>
        <v>36002</v>
      </c>
      <c r="D41" s="146">
        <f t="shared" si="1"/>
        <v>26113.040000000001</v>
      </c>
      <c r="E41" s="19">
        <f t="shared" ref="E41:E51" si="9">ROUND(F41*$F$2*B41/365,2)</f>
        <v>9888.9599999999991</v>
      </c>
      <c r="F41" s="2">
        <f t="shared" ref="F41" si="10">G40</f>
        <v>582172.7699999999</v>
      </c>
      <c r="G41" s="2">
        <f t="shared" si="7"/>
        <v>556059.72999999986</v>
      </c>
      <c r="H41" s="14"/>
      <c r="I41" s="16"/>
    </row>
    <row r="42" spans="1:9" x14ac:dyDescent="0.25">
      <c r="A42" s="54">
        <v>42434</v>
      </c>
      <c r="B42" s="1">
        <f t="shared" si="4"/>
        <v>29</v>
      </c>
      <c r="C42" s="4">
        <f t="shared" si="8"/>
        <v>36002</v>
      </c>
      <c r="D42" s="146">
        <f t="shared" si="1"/>
        <v>27165.98</v>
      </c>
      <c r="E42" s="19">
        <f t="shared" si="9"/>
        <v>8836.02</v>
      </c>
      <c r="F42" s="2">
        <f t="shared" ref="F42:F59" si="11">G41</f>
        <v>556059.72999999986</v>
      </c>
      <c r="G42" s="2">
        <f t="shared" ref="G42:G59" si="12">F42-D42</f>
        <v>528893.74999999988</v>
      </c>
      <c r="H42" s="14"/>
      <c r="I42" s="16"/>
    </row>
    <row r="43" spans="1:9" x14ac:dyDescent="0.25">
      <c r="A43" s="54">
        <v>42465</v>
      </c>
      <c r="B43" s="1">
        <f t="shared" si="4"/>
        <v>31</v>
      </c>
      <c r="C43" s="4">
        <f t="shared" si="8"/>
        <v>36002</v>
      </c>
      <c r="D43" s="146">
        <f t="shared" si="1"/>
        <v>27018.05</v>
      </c>
      <c r="E43" s="19">
        <f t="shared" si="9"/>
        <v>8983.9500000000007</v>
      </c>
      <c r="F43" s="2">
        <f t="shared" si="11"/>
        <v>528893.74999999988</v>
      </c>
      <c r="G43" s="2">
        <f t="shared" si="12"/>
        <v>501875.6999999999</v>
      </c>
      <c r="H43" s="14"/>
      <c r="I43" s="16"/>
    </row>
    <row r="44" spans="1:9" x14ac:dyDescent="0.25">
      <c r="A44" s="54">
        <v>42495</v>
      </c>
      <c r="B44" s="1">
        <f t="shared" si="4"/>
        <v>30</v>
      </c>
      <c r="C44" s="4">
        <f t="shared" si="8"/>
        <v>36002</v>
      </c>
      <c r="D44" s="146">
        <f t="shared" si="1"/>
        <v>27751.989999999998</v>
      </c>
      <c r="E44" s="19">
        <f t="shared" si="9"/>
        <v>8250.01</v>
      </c>
      <c r="F44" s="2">
        <f t="shared" si="11"/>
        <v>501875.6999999999</v>
      </c>
      <c r="G44" s="2">
        <f t="shared" si="12"/>
        <v>474123.7099999999</v>
      </c>
      <c r="H44" s="14"/>
      <c r="I44" s="16"/>
    </row>
    <row r="45" spans="1:9" x14ac:dyDescent="0.25">
      <c r="A45" s="54">
        <v>42526</v>
      </c>
      <c r="B45" s="1">
        <f t="shared" si="4"/>
        <v>31</v>
      </c>
      <c r="C45" s="4">
        <f t="shared" si="8"/>
        <v>36002</v>
      </c>
      <c r="D45" s="146">
        <f t="shared" si="1"/>
        <v>27948.39</v>
      </c>
      <c r="E45" s="19">
        <f t="shared" si="9"/>
        <v>8053.61</v>
      </c>
      <c r="F45" s="2">
        <f t="shared" si="11"/>
        <v>474123.7099999999</v>
      </c>
      <c r="G45" s="2">
        <f t="shared" si="12"/>
        <v>446175.31999999989</v>
      </c>
      <c r="H45" s="14"/>
      <c r="I45" s="16"/>
    </row>
    <row r="46" spans="1:9" x14ac:dyDescent="0.25">
      <c r="A46" s="54">
        <v>42556</v>
      </c>
      <c r="B46" s="1">
        <f t="shared" si="4"/>
        <v>30</v>
      </c>
      <c r="C46" s="4">
        <f t="shared" si="8"/>
        <v>36002</v>
      </c>
      <c r="D46" s="146">
        <f t="shared" si="1"/>
        <v>28667.61</v>
      </c>
      <c r="E46" s="19">
        <f t="shared" si="9"/>
        <v>7334.39</v>
      </c>
      <c r="F46" s="2">
        <f t="shared" si="11"/>
        <v>446175.31999999989</v>
      </c>
      <c r="G46" s="2">
        <f t="shared" si="12"/>
        <v>417507.7099999999</v>
      </c>
      <c r="H46" s="14"/>
      <c r="I46" s="16"/>
    </row>
    <row r="47" spans="1:9" x14ac:dyDescent="0.25">
      <c r="A47" s="54">
        <v>42587</v>
      </c>
      <c r="B47" s="1">
        <f t="shared" si="4"/>
        <v>31</v>
      </c>
      <c r="C47" s="4">
        <f t="shared" si="8"/>
        <v>36002</v>
      </c>
      <c r="D47" s="146">
        <f t="shared" si="1"/>
        <v>28910.09</v>
      </c>
      <c r="E47" s="19">
        <f t="shared" si="9"/>
        <v>7091.91</v>
      </c>
      <c r="F47" s="2">
        <f t="shared" si="11"/>
        <v>417507.7099999999</v>
      </c>
      <c r="G47" s="2">
        <f t="shared" si="12"/>
        <v>388597.61999999988</v>
      </c>
      <c r="H47" s="14"/>
      <c r="I47" s="16"/>
    </row>
    <row r="48" spans="1:9" x14ac:dyDescent="0.25">
      <c r="A48" s="54">
        <v>42618</v>
      </c>
      <c r="B48" s="1">
        <f t="shared" si="4"/>
        <v>31</v>
      </c>
      <c r="C48" s="4">
        <f t="shared" si="8"/>
        <v>36002</v>
      </c>
      <c r="D48" s="146">
        <f t="shared" si="1"/>
        <v>29401.16</v>
      </c>
      <c r="E48" s="19">
        <f t="shared" si="9"/>
        <v>6600.84</v>
      </c>
      <c r="F48" s="2">
        <f t="shared" si="11"/>
        <v>388597.61999999988</v>
      </c>
      <c r="G48" s="2">
        <f t="shared" si="12"/>
        <v>359196.4599999999</v>
      </c>
      <c r="H48" s="14"/>
      <c r="I48" s="16"/>
    </row>
    <row r="49" spans="1:9" x14ac:dyDescent="0.25">
      <c r="A49" s="54">
        <v>42648</v>
      </c>
      <c r="B49" s="1">
        <f t="shared" si="4"/>
        <v>30</v>
      </c>
      <c r="C49" s="4">
        <f t="shared" si="8"/>
        <v>36002</v>
      </c>
      <c r="D49" s="146">
        <f t="shared" si="1"/>
        <v>30097.4</v>
      </c>
      <c r="E49" s="19">
        <f t="shared" si="9"/>
        <v>5904.6</v>
      </c>
      <c r="F49" s="2">
        <f t="shared" si="11"/>
        <v>359196.4599999999</v>
      </c>
      <c r="G49" s="2">
        <f t="shared" si="12"/>
        <v>329099.05999999988</v>
      </c>
      <c r="H49" s="14"/>
      <c r="I49" s="16"/>
    </row>
    <row r="50" spans="1:9" x14ac:dyDescent="0.25">
      <c r="A50" s="54">
        <v>42679</v>
      </c>
      <c r="B50" s="1">
        <f t="shared" si="4"/>
        <v>31</v>
      </c>
      <c r="C50" s="4">
        <f t="shared" si="8"/>
        <v>36002</v>
      </c>
      <c r="D50" s="146">
        <f t="shared" si="1"/>
        <v>30411.82</v>
      </c>
      <c r="E50" s="19">
        <f t="shared" si="9"/>
        <v>5590.18</v>
      </c>
      <c r="F50" s="2">
        <f t="shared" si="11"/>
        <v>329099.05999999988</v>
      </c>
      <c r="G50" s="2">
        <f t="shared" si="12"/>
        <v>298687.23999999987</v>
      </c>
      <c r="H50" s="14"/>
      <c r="I50" s="16"/>
    </row>
    <row r="51" spans="1:9" x14ac:dyDescent="0.25">
      <c r="A51" s="54">
        <v>42709</v>
      </c>
      <c r="B51" s="1">
        <f t="shared" si="4"/>
        <v>30</v>
      </c>
      <c r="C51" s="4">
        <f t="shared" si="8"/>
        <v>36002</v>
      </c>
      <c r="D51" s="146">
        <f t="shared" si="1"/>
        <v>31092.07</v>
      </c>
      <c r="E51" s="19">
        <f t="shared" si="9"/>
        <v>4909.93</v>
      </c>
      <c r="F51" s="2">
        <f t="shared" si="11"/>
        <v>298687.23999999987</v>
      </c>
      <c r="G51" s="2">
        <f t="shared" si="12"/>
        <v>267595.16999999987</v>
      </c>
      <c r="H51" s="14"/>
      <c r="I51" s="16"/>
    </row>
    <row r="52" spans="1:9" x14ac:dyDescent="0.25">
      <c r="A52" s="70">
        <v>42740</v>
      </c>
      <c r="B52" s="98">
        <f t="shared" si="4"/>
        <v>31</v>
      </c>
      <c r="C52" s="141">
        <f>$H$2</f>
        <v>34968</v>
      </c>
      <c r="D52" s="142">
        <f t="shared" si="1"/>
        <v>30715.8</v>
      </c>
      <c r="E52" s="147">
        <f>ROUND((F52*$F$2*L2/365)+(F52*$I$2*M2/365),2)</f>
        <v>4252.2</v>
      </c>
      <c r="F52" s="142">
        <f t="shared" si="11"/>
        <v>267595.16999999987</v>
      </c>
      <c r="G52" s="142">
        <f t="shared" si="12"/>
        <v>236879.36999999988</v>
      </c>
      <c r="H52" s="14"/>
      <c r="I52" s="16"/>
    </row>
    <row r="53" spans="1:9" x14ac:dyDescent="0.25">
      <c r="A53" s="54">
        <v>42771</v>
      </c>
      <c r="B53" s="1">
        <f t="shared" si="4"/>
        <v>31</v>
      </c>
      <c r="C53" s="4">
        <f>$H$2</f>
        <v>34968</v>
      </c>
      <c r="D53" s="146">
        <f t="shared" si="1"/>
        <v>32956.15</v>
      </c>
      <c r="E53" s="19">
        <f>ROUND(F53*$I$2*B53/365,2)</f>
        <v>2011.85</v>
      </c>
      <c r="F53" s="2">
        <f t="shared" si="11"/>
        <v>236879.36999999988</v>
      </c>
      <c r="G53" s="2">
        <f t="shared" si="12"/>
        <v>203923.21999999988</v>
      </c>
      <c r="H53" s="14"/>
      <c r="I53" s="16"/>
    </row>
    <row r="54" spans="1:9" x14ac:dyDescent="0.25">
      <c r="A54" s="54">
        <v>42799</v>
      </c>
      <c r="B54" s="1">
        <f t="shared" si="4"/>
        <v>28</v>
      </c>
      <c r="C54" s="4">
        <f t="shared" ref="C54:C59" si="13">$H$2</f>
        <v>34968</v>
      </c>
      <c r="D54" s="146">
        <f t="shared" si="1"/>
        <v>33403.660000000003</v>
      </c>
      <c r="E54" s="19">
        <f t="shared" ref="E54:E58" si="14">ROUND(F54*$I$2*B54/365,2)</f>
        <v>1564.34</v>
      </c>
      <c r="F54" s="2">
        <f t="shared" si="11"/>
        <v>203923.21999999988</v>
      </c>
      <c r="G54" s="2">
        <f t="shared" si="12"/>
        <v>170519.55999999988</v>
      </c>
      <c r="H54" s="14"/>
      <c r="I54" s="16"/>
    </row>
    <row r="55" spans="1:9" x14ac:dyDescent="0.25">
      <c r="A55" s="54">
        <v>42830</v>
      </c>
      <c r="B55" s="1">
        <f t="shared" si="4"/>
        <v>31</v>
      </c>
      <c r="C55" s="4">
        <f t="shared" si="13"/>
        <v>34968</v>
      </c>
      <c r="D55" s="146">
        <f t="shared" si="1"/>
        <v>33519.75</v>
      </c>
      <c r="E55" s="19">
        <f t="shared" si="14"/>
        <v>1448.25</v>
      </c>
      <c r="F55" s="2">
        <f t="shared" si="11"/>
        <v>170519.55999999988</v>
      </c>
      <c r="G55" s="2">
        <f t="shared" si="12"/>
        <v>136999.80999999988</v>
      </c>
      <c r="H55" s="14"/>
      <c r="I55" s="16"/>
    </row>
    <row r="56" spans="1:9" x14ac:dyDescent="0.25">
      <c r="A56" s="54">
        <v>42860</v>
      </c>
      <c r="B56" s="1">
        <f t="shared" si="4"/>
        <v>30</v>
      </c>
      <c r="C56" s="4">
        <f t="shared" si="13"/>
        <v>34968</v>
      </c>
      <c r="D56" s="146">
        <f t="shared" si="1"/>
        <v>33841.97</v>
      </c>
      <c r="E56" s="19">
        <f t="shared" si="14"/>
        <v>1126.03</v>
      </c>
      <c r="F56" s="2">
        <f t="shared" si="11"/>
        <v>136999.80999999988</v>
      </c>
      <c r="G56" s="2">
        <f t="shared" si="12"/>
        <v>103157.83999999988</v>
      </c>
      <c r="H56" s="14"/>
      <c r="I56" s="16"/>
    </row>
    <row r="57" spans="1:9" x14ac:dyDescent="0.25">
      <c r="A57" s="54">
        <v>42891</v>
      </c>
      <c r="B57" s="1">
        <f t="shared" si="4"/>
        <v>31</v>
      </c>
      <c r="C57" s="4">
        <f t="shared" si="13"/>
        <v>34968</v>
      </c>
      <c r="D57" s="146">
        <f t="shared" si="1"/>
        <v>34091.86</v>
      </c>
      <c r="E57" s="19">
        <f t="shared" si="14"/>
        <v>876.14</v>
      </c>
      <c r="F57" s="2">
        <f t="shared" si="11"/>
        <v>103157.83999999988</v>
      </c>
      <c r="G57" s="2">
        <f t="shared" si="12"/>
        <v>69065.97999999988</v>
      </c>
      <c r="H57" s="14"/>
      <c r="I57" s="16"/>
    </row>
    <row r="58" spans="1:9" x14ac:dyDescent="0.25">
      <c r="A58" s="54">
        <v>42921</v>
      </c>
      <c r="B58" s="1">
        <f t="shared" si="4"/>
        <v>30</v>
      </c>
      <c r="C58" s="4">
        <f t="shared" si="13"/>
        <v>34968</v>
      </c>
      <c r="D58" s="146">
        <f t="shared" si="1"/>
        <v>34400.33</v>
      </c>
      <c r="E58" s="19">
        <f t="shared" si="14"/>
        <v>567.66999999999996</v>
      </c>
      <c r="F58" s="2">
        <f t="shared" si="11"/>
        <v>69065.97999999988</v>
      </c>
      <c r="G58" s="2">
        <f t="shared" si="12"/>
        <v>34665.649999999878</v>
      </c>
      <c r="H58" s="14"/>
      <c r="I58" s="16"/>
    </row>
    <row r="59" spans="1:9" x14ac:dyDescent="0.25">
      <c r="A59" s="54">
        <v>42952</v>
      </c>
      <c r="B59" s="1">
        <f t="shared" si="4"/>
        <v>31</v>
      </c>
      <c r="C59" s="4">
        <f t="shared" si="13"/>
        <v>34968</v>
      </c>
      <c r="D59" s="146">
        <f t="shared" si="1"/>
        <v>34665.649999999878</v>
      </c>
      <c r="E59" s="19">
        <v>302.350000000124</v>
      </c>
      <c r="F59" s="2">
        <f t="shared" si="11"/>
        <v>34665.649999999878</v>
      </c>
      <c r="G59" s="2">
        <f t="shared" si="12"/>
        <v>0</v>
      </c>
      <c r="H59" s="14"/>
      <c r="I59" s="16"/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71E5B-1FF6-4CED-8073-B10B0A1AF495}">
  <dimension ref="A1:M59"/>
  <sheetViews>
    <sheetView zoomScale="90" zoomScaleNormal="90" workbookViewId="0">
      <pane ySplit="3" topLeftCell="A39" activePane="bottomLeft" state="frozen"/>
      <selection activeCell="A60" sqref="A60:XFD66"/>
      <selection pane="bottomLeft" sqref="A1:XFD1048576"/>
    </sheetView>
  </sheetViews>
  <sheetFormatPr defaultRowHeight="15" x14ac:dyDescent="0.25"/>
  <cols>
    <col min="1" max="1" width="15.42578125" bestFit="1" customWidth="1"/>
    <col min="2" max="2" width="13" bestFit="1" customWidth="1"/>
    <col min="3" max="3" width="14.28515625" bestFit="1" customWidth="1"/>
    <col min="4" max="4" width="11.140625" bestFit="1" customWidth="1"/>
    <col min="5" max="5" width="12.140625" bestFit="1" customWidth="1"/>
    <col min="6" max="6" width="16" bestFit="1" customWidth="1"/>
    <col min="7" max="7" width="14.85546875" bestFit="1" customWidth="1"/>
    <col min="8" max="8" width="15.5703125" bestFit="1" customWidth="1"/>
    <col min="9" max="9" width="9" bestFit="1" customWidth="1"/>
    <col min="10" max="10" width="13.140625" bestFit="1" customWidth="1"/>
    <col min="11" max="11" width="11.28515625" bestFit="1" customWidth="1"/>
    <col min="12" max="12" width="13.140625" bestFit="1" customWidth="1"/>
    <col min="13" max="13" width="11.28515625" bestFit="1" customWidth="1"/>
  </cols>
  <sheetData>
    <row r="1" spans="1:13" x14ac:dyDescent="0.25">
      <c r="A1" s="17" t="s">
        <v>33</v>
      </c>
      <c r="B1" s="78">
        <v>41856</v>
      </c>
      <c r="C1" s="17" t="s">
        <v>355</v>
      </c>
      <c r="D1" s="137" t="s">
        <v>347</v>
      </c>
      <c r="E1" s="137" t="s">
        <v>354</v>
      </c>
      <c r="F1" s="138" t="s">
        <v>175</v>
      </c>
      <c r="G1" s="137" t="s">
        <v>346</v>
      </c>
      <c r="H1" s="137" t="s">
        <v>352</v>
      </c>
      <c r="I1" s="138" t="s">
        <v>359</v>
      </c>
      <c r="J1" s="137" t="s">
        <v>362</v>
      </c>
      <c r="K1" s="137" t="s">
        <v>350</v>
      </c>
      <c r="L1" s="137" t="s">
        <v>363</v>
      </c>
      <c r="M1" s="137" t="s">
        <v>351</v>
      </c>
    </row>
    <row r="2" spans="1:13" x14ac:dyDescent="0.25">
      <c r="A2" s="17" t="s">
        <v>34</v>
      </c>
      <c r="B2" s="18">
        <v>0.15</v>
      </c>
      <c r="C2" s="148">
        <f>ROUNDUP(34665.3285041941,0)</f>
        <v>34666</v>
      </c>
      <c r="D2" s="125">
        <v>42370</v>
      </c>
      <c r="E2" s="139">
        <f>ROUNDUP(35992.4705,0)</f>
        <v>35993</v>
      </c>
      <c r="F2" s="140">
        <v>0.2</v>
      </c>
      <c r="G2" s="125">
        <v>42736</v>
      </c>
      <c r="H2" s="139">
        <f>ROUNDUP(34950.0512135337,0)</f>
        <v>34951</v>
      </c>
      <c r="I2" s="140">
        <v>0.1</v>
      </c>
      <c r="J2" s="44">
        <f>DAYS360(D2,A40,TRUE)</f>
        <v>4</v>
      </c>
      <c r="K2" s="44">
        <f>DAYS360(A19,D2,TRUE)</f>
        <v>26</v>
      </c>
      <c r="L2" s="44">
        <f>DAYS360(A51,G2,TRUE)</f>
        <v>26</v>
      </c>
      <c r="M2" s="44">
        <f>DAYS360(G2,A52,TRUE)</f>
        <v>4</v>
      </c>
    </row>
    <row r="3" spans="1:13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23" t="s">
        <v>36</v>
      </c>
    </row>
    <row r="4" spans="1:13" x14ac:dyDescent="0.25">
      <c r="A4" s="29">
        <v>41887</v>
      </c>
      <c r="B4" s="1">
        <f>DAYS360(B1,A4,TRUE)</f>
        <v>30</v>
      </c>
      <c r="C4" s="4">
        <f t="shared" ref="C4:C39" si="0">$C$2</f>
        <v>34666</v>
      </c>
      <c r="D4" s="3">
        <f>C4-E4</f>
        <v>22166</v>
      </c>
      <c r="E4" s="19">
        <f>ROUND(F4*$B$2*B4/360,2)</f>
        <v>12500</v>
      </c>
      <c r="F4" s="23">
        <v>1000000</v>
      </c>
      <c r="G4" s="2">
        <f>F4-D4</f>
        <v>977834</v>
      </c>
      <c r="H4" s="14">
        <f>F4*$B$2*B4/365</f>
        <v>12328.767123287671</v>
      </c>
      <c r="I4" s="16">
        <f>H4-E4</f>
        <v>-171.23287671232902</v>
      </c>
    </row>
    <row r="5" spans="1:13" x14ac:dyDescent="0.25">
      <c r="A5" s="29">
        <v>41917</v>
      </c>
      <c r="B5" s="1">
        <f>DAYS360(A4,A5,TRUE)</f>
        <v>30</v>
      </c>
      <c r="C5" s="4">
        <f t="shared" si="0"/>
        <v>34666</v>
      </c>
      <c r="D5" s="2">
        <f t="shared" ref="D5:D41" si="1">C5-E5</f>
        <v>22443.07</v>
      </c>
      <c r="E5" s="19">
        <f t="shared" ref="E5:E38" si="2">ROUND(F5*$B$2*B5/360,2)</f>
        <v>12222.93</v>
      </c>
      <c r="F5" s="2">
        <f>G4</f>
        <v>977834</v>
      </c>
      <c r="G5" s="2">
        <f>F5-D5</f>
        <v>955390.93</v>
      </c>
      <c r="H5" s="14">
        <f t="shared" ref="H5:H33" si="3">F5*$B$2*B5/365</f>
        <v>12055.487671232877</v>
      </c>
      <c r="I5" s="16">
        <f t="shared" ref="I5:I33" si="4">H5-E5</f>
        <v>-167.4423287671234</v>
      </c>
    </row>
    <row r="6" spans="1:13" x14ac:dyDescent="0.25">
      <c r="A6" s="29">
        <v>41948</v>
      </c>
      <c r="B6" s="1">
        <f t="shared" ref="B6:B59" si="5">DAYS360(A5,A6,TRUE)</f>
        <v>30</v>
      </c>
      <c r="C6" s="4">
        <f t="shared" si="0"/>
        <v>34666</v>
      </c>
      <c r="D6" s="2">
        <f t="shared" si="1"/>
        <v>22723.61</v>
      </c>
      <c r="E6" s="19">
        <f t="shared" si="2"/>
        <v>11942.39</v>
      </c>
      <c r="F6" s="2">
        <f t="shared" ref="F6:F41" si="6">G5</f>
        <v>955390.93</v>
      </c>
      <c r="G6" s="2">
        <f t="shared" ref="G6:G41" si="7">F6-D6</f>
        <v>932667.32000000007</v>
      </c>
      <c r="H6" s="14">
        <f t="shared" si="3"/>
        <v>11778.792287671231</v>
      </c>
      <c r="I6" s="16">
        <f t="shared" si="4"/>
        <v>-163.59771232876847</v>
      </c>
    </row>
    <row r="7" spans="1:13" x14ac:dyDescent="0.25">
      <c r="A7" s="29">
        <v>41978</v>
      </c>
      <c r="B7" s="1">
        <f t="shared" si="5"/>
        <v>30</v>
      </c>
      <c r="C7" s="4">
        <f t="shared" si="0"/>
        <v>34666</v>
      </c>
      <c r="D7" s="2">
        <f t="shared" si="1"/>
        <v>23007.66</v>
      </c>
      <c r="E7" s="19">
        <f t="shared" si="2"/>
        <v>11658.34</v>
      </c>
      <c r="F7" s="2">
        <f t="shared" si="6"/>
        <v>932667.32000000007</v>
      </c>
      <c r="G7" s="2">
        <f t="shared" si="7"/>
        <v>909659.66</v>
      </c>
      <c r="H7" s="14">
        <f t="shared" si="3"/>
        <v>11498.638191780821</v>
      </c>
      <c r="I7" s="16">
        <f t="shared" si="4"/>
        <v>-159.70180821917893</v>
      </c>
    </row>
    <row r="8" spans="1:13" x14ac:dyDescent="0.25">
      <c r="A8" s="29">
        <v>42009</v>
      </c>
      <c r="B8" s="1">
        <f t="shared" si="5"/>
        <v>30</v>
      </c>
      <c r="C8" s="4">
        <f t="shared" si="0"/>
        <v>34666</v>
      </c>
      <c r="D8" s="2">
        <f t="shared" si="1"/>
        <v>23295.25</v>
      </c>
      <c r="E8" s="19">
        <f t="shared" si="2"/>
        <v>11370.75</v>
      </c>
      <c r="F8" s="2">
        <f t="shared" si="6"/>
        <v>909659.66</v>
      </c>
      <c r="G8" s="2">
        <f t="shared" si="7"/>
        <v>886364.41</v>
      </c>
      <c r="H8" s="14">
        <f t="shared" si="3"/>
        <v>11214.98210958904</v>
      </c>
      <c r="I8" s="16">
        <f t="shared" si="4"/>
        <v>-155.76789041095981</v>
      </c>
    </row>
    <row r="9" spans="1:13" x14ac:dyDescent="0.25">
      <c r="A9" s="29">
        <v>42040</v>
      </c>
      <c r="B9" s="1">
        <f t="shared" si="5"/>
        <v>30</v>
      </c>
      <c r="C9" s="4">
        <f t="shared" si="0"/>
        <v>34666</v>
      </c>
      <c r="D9" s="2">
        <f t="shared" si="1"/>
        <v>23586.440000000002</v>
      </c>
      <c r="E9" s="19">
        <f t="shared" si="2"/>
        <v>11079.56</v>
      </c>
      <c r="F9" s="2">
        <f t="shared" si="6"/>
        <v>886364.41</v>
      </c>
      <c r="G9" s="2">
        <f t="shared" si="7"/>
        <v>862777.97</v>
      </c>
      <c r="H9" s="14">
        <f t="shared" si="3"/>
        <v>10927.780397260272</v>
      </c>
      <c r="I9" s="16">
        <f t="shared" si="4"/>
        <v>-151.77960273972712</v>
      </c>
    </row>
    <row r="10" spans="1:13" x14ac:dyDescent="0.25">
      <c r="A10" s="29">
        <v>42068</v>
      </c>
      <c r="B10" s="1">
        <f t="shared" si="5"/>
        <v>30</v>
      </c>
      <c r="C10" s="4">
        <f t="shared" si="0"/>
        <v>34666</v>
      </c>
      <c r="D10" s="2">
        <f t="shared" si="1"/>
        <v>23881.279999999999</v>
      </c>
      <c r="E10" s="19">
        <f t="shared" si="2"/>
        <v>10784.72</v>
      </c>
      <c r="F10" s="2">
        <f t="shared" si="6"/>
        <v>862777.97</v>
      </c>
      <c r="G10" s="2">
        <f t="shared" si="7"/>
        <v>838896.69</v>
      </c>
      <c r="H10" s="14">
        <f t="shared" si="3"/>
        <v>10636.988671232875</v>
      </c>
      <c r="I10" s="16">
        <f t="shared" si="4"/>
        <v>-147.73132876712407</v>
      </c>
    </row>
    <row r="11" spans="1:13" x14ac:dyDescent="0.25">
      <c r="A11" s="29">
        <v>42099</v>
      </c>
      <c r="B11" s="1">
        <f t="shared" si="5"/>
        <v>30</v>
      </c>
      <c r="C11" s="4">
        <f t="shared" si="0"/>
        <v>34666</v>
      </c>
      <c r="D11" s="2">
        <f t="shared" si="1"/>
        <v>24179.79</v>
      </c>
      <c r="E11" s="19">
        <f t="shared" si="2"/>
        <v>10486.21</v>
      </c>
      <c r="F11" s="2">
        <f t="shared" si="6"/>
        <v>838896.69</v>
      </c>
      <c r="G11" s="2">
        <f t="shared" si="7"/>
        <v>814716.89999999991</v>
      </c>
      <c r="H11" s="14">
        <f t="shared" si="3"/>
        <v>10342.561931506849</v>
      </c>
      <c r="I11" s="16">
        <f t="shared" si="4"/>
        <v>-143.64806849315028</v>
      </c>
    </row>
    <row r="12" spans="1:13" x14ac:dyDescent="0.25">
      <c r="A12" s="29">
        <v>42129</v>
      </c>
      <c r="B12" s="1">
        <f t="shared" si="5"/>
        <v>30</v>
      </c>
      <c r="C12" s="4">
        <f t="shared" si="0"/>
        <v>34666</v>
      </c>
      <c r="D12" s="2">
        <f t="shared" si="1"/>
        <v>24482.04</v>
      </c>
      <c r="E12" s="19">
        <f t="shared" si="2"/>
        <v>10183.959999999999</v>
      </c>
      <c r="F12" s="2">
        <f t="shared" si="6"/>
        <v>814716.89999999991</v>
      </c>
      <c r="G12" s="2">
        <f t="shared" si="7"/>
        <v>790234.85999999987</v>
      </c>
      <c r="H12" s="14">
        <f t="shared" si="3"/>
        <v>10044.454931506847</v>
      </c>
      <c r="I12" s="16">
        <f t="shared" si="4"/>
        <v>-139.50506849315207</v>
      </c>
    </row>
    <row r="13" spans="1:13" x14ac:dyDescent="0.25">
      <c r="A13" s="29">
        <v>42160</v>
      </c>
      <c r="B13" s="1">
        <f t="shared" si="5"/>
        <v>30</v>
      </c>
      <c r="C13" s="4">
        <f t="shared" si="0"/>
        <v>34666</v>
      </c>
      <c r="D13" s="2">
        <f t="shared" si="1"/>
        <v>24788.059999999998</v>
      </c>
      <c r="E13" s="19">
        <f t="shared" si="2"/>
        <v>9877.94</v>
      </c>
      <c r="F13" s="2">
        <f t="shared" si="6"/>
        <v>790234.85999999987</v>
      </c>
      <c r="G13" s="2">
        <f t="shared" si="7"/>
        <v>765446.79999999981</v>
      </c>
      <c r="H13" s="14">
        <f t="shared" si="3"/>
        <v>9742.621561643833</v>
      </c>
      <c r="I13" s="16">
        <f t="shared" si="4"/>
        <v>-135.31843835616746</v>
      </c>
    </row>
    <row r="14" spans="1:13" x14ac:dyDescent="0.25">
      <c r="A14" s="29">
        <v>42190</v>
      </c>
      <c r="B14" s="1">
        <f t="shared" si="5"/>
        <v>30</v>
      </c>
      <c r="C14" s="4">
        <f t="shared" si="0"/>
        <v>34666</v>
      </c>
      <c r="D14" s="2">
        <f t="shared" si="1"/>
        <v>25097.91</v>
      </c>
      <c r="E14" s="19">
        <f t="shared" si="2"/>
        <v>9568.09</v>
      </c>
      <c r="F14" s="2">
        <f t="shared" si="6"/>
        <v>765446.79999999981</v>
      </c>
      <c r="G14" s="2">
        <f t="shared" si="7"/>
        <v>740348.88999999978</v>
      </c>
      <c r="H14" s="14">
        <f t="shared" si="3"/>
        <v>9437.015342465751</v>
      </c>
      <c r="I14" s="16">
        <f t="shared" si="4"/>
        <v>-131.07465753424913</v>
      </c>
    </row>
    <row r="15" spans="1:13" x14ac:dyDescent="0.25">
      <c r="A15" s="29">
        <v>42221</v>
      </c>
      <c r="B15" s="1">
        <f t="shared" si="5"/>
        <v>30</v>
      </c>
      <c r="C15" s="4">
        <f t="shared" si="0"/>
        <v>34666</v>
      </c>
      <c r="D15" s="2">
        <f t="shared" si="1"/>
        <v>25411.64</v>
      </c>
      <c r="E15" s="19">
        <f t="shared" si="2"/>
        <v>9254.36</v>
      </c>
      <c r="F15" s="2">
        <f t="shared" si="6"/>
        <v>740348.88999999978</v>
      </c>
      <c r="G15" s="2">
        <f t="shared" si="7"/>
        <v>714937.24999999977</v>
      </c>
      <c r="H15" s="14">
        <f t="shared" si="3"/>
        <v>9127.5890547945182</v>
      </c>
      <c r="I15" s="16">
        <f t="shared" si="4"/>
        <v>-126.77094520548235</v>
      </c>
    </row>
    <row r="16" spans="1:13" x14ac:dyDescent="0.25">
      <c r="A16" s="29">
        <v>42252</v>
      </c>
      <c r="B16" s="1">
        <f t="shared" si="5"/>
        <v>30</v>
      </c>
      <c r="C16" s="4">
        <f t="shared" si="0"/>
        <v>34666</v>
      </c>
      <c r="D16" s="2">
        <f t="shared" si="1"/>
        <v>25729.279999999999</v>
      </c>
      <c r="E16" s="19">
        <f t="shared" si="2"/>
        <v>8936.7199999999993</v>
      </c>
      <c r="F16" s="2">
        <f t="shared" si="6"/>
        <v>714937.24999999977</v>
      </c>
      <c r="G16" s="2">
        <f t="shared" si="7"/>
        <v>689207.96999999974</v>
      </c>
      <c r="H16" s="14">
        <f t="shared" si="3"/>
        <v>8814.2948630136962</v>
      </c>
      <c r="I16" s="16">
        <f t="shared" si="4"/>
        <v>-122.42513698630319</v>
      </c>
    </row>
    <row r="17" spans="1:9" x14ac:dyDescent="0.25">
      <c r="A17" s="29">
        <v>42282</v>
      </c>
      <c r="B17" s="1">
        <f t="shared" si="5"/>
        <v>30</v>
      </c>
      <c r="C17" s="4">
        <f t="shared" si="0"/>
        <v>34666</v>
      </c>
      <c r="D17" s="2">
        <f t="shared" si="1"/>
        <v>26050.9</v>
      </c>
      <c r="E17" s="19">
        <f t="shared" si="2"/>
        <v>8615.1</v>
      </c>
      <c r="F17" s="2">
        <f t="shared" si="6"/>
        <v>689207.96999999974</v>
      </c>
      <c r="G17" s="2">
        <f t="shared" si="7"/>
        <v>663157.06999999972</v>
      </c>
      <c r="H17" s="14">
        <f t="shared" si="3"/>
        <v>8497.0845616438328</v>
      </c>
      <c r="I17" s="16">
        <f t="shared" si="4"/>
        <v>-118.01543835616758</v>
      </c>
    </row>
    <row r="18" spans="1:9" x14ac:dyDescent="0.25">
      <c r="A18" s="29">
        <v>42313</v>
      </c>
      <c r="B18" s="1">
        <f t="shared" si="5"/>
        <v>30</v>
      </c>
      <c r="C18" s="4">
        <f t="shared" si="0"/>
        <v>34666</v>
      </c>
      <c r="D18" s="2">
        <f t="shared" si="1"/>
        <v>26376.54</v>
      </c>
      <c r="E18" s="19">
        <f t="shared" si="2"/>
        <v>8289.4599999999991</v>
      </c>
      <c r="F18" s="2">
        <f t="shared" si="6"/>
        <v>663157.06999999972</v>
      </c>
      <c r="G18" s="2">
        <f t="shared" si="7"/>
        <v>636780.52999999968</v>
      </c>
      <c r="H18" s="14">
        <f t="shared" si="3"/>
        <v>8175.9090821917771</v>
      </c>
      <c r="I18" s="16">
        <f t="shared" si="4"/>
        <v>-113.55091780822204</v>
      </c>
    </row>
    <row r="19" spans="1:9" x14ac:dyDescent="0.25">
      <c r="A19" s="29">
        <v>42343</v>
      </c>
      <c r="B19" s="1">
        <f t="shared" si="5"/>
        <v>30</v>
      </c>
      <c r="C19" s="4">
        <f t="shared" si="0"/>
        <v>34666</v>
      </c>
      <c r="D19" s="2">
        <f t="shared" si="1"/>
        <v>26706.239999999998</v>
      </c>
      <c r="E19" s="19">
        <f t="shared" si="2"/>
        <v>7959.76</v>
      </c>
      <c r="F19" s="2">
        <f t="shared" si="6"/>
        <v>636780.52999999968</v>
      </c>
      <c r="G19" s="2">
        <f t="shared" si="7"/>
        <v>610074.28999999969</v>
      </c>
      <c r="H19" s="14">
        <f t="shared" si="3"/>
        <v>7850.7188630136943</v>
      </c>
      <c r="I19" s="16">
        <f t="shared" si="4"/>
        <v>-109.0411369863059</v>
      </c>
    </row>
    <row r="20" spans="1:9" x14ac:dyDescent="0.25">
      <c r="A20" s="29">
        <v>42374</v>
      </c>
      <c r="B20" s="1">
        <f t="shared" si="5"/>
        <v>30</v>
      </c>
      <c r="C20" s="4">
        <f t="shared" si="0"/>
        <v>34666</v>
      </c>
      <c r="D20" s="2">
        <f t="shared" si="1"/>
        <v>27040.07</v>
      </c>
      <c r="E20" s="19">
        <f t="shared" si="2"/>
        <v>7625.93</v>
      </c>
      <c r="F20" s="2">
        <f t="shared" si="6"/>
        <v>610074.28999999969</v>
      </c>
      <c r="G20" s="2">
        <f t="shared" si="7"/>
        <v>583034.21999999974</v>
      </c>
      <c r="H20" s="14">
        <f t="shared" si="3"/>
        <v>7521.4638493150642</v>
      </c>
      <c r="I20" s="16">
        <f t="shared" si="4"/>
        <v>-104.46615068493611</v>
      </c>
    </row>
    <row r="21" spans="1:9" x14ac:dyDescent="0.25">
      <c r="A21" s="29">
        <v>42405</v>
      </c>
      <c r="B21" s="1">
        <f t="shared" si="5"/>
        <v>30</v>
      </c>
      <c r="C21" s="4">
        <f t="shared" si="0"/>
        <v>34666</v>
      </c>
      <c r="D21" s="2">
        <f t="shared" si="1"/>
        <v>27378.07</v>
      </c>
      <c r="E21" s="19">
        <f t="shared" si="2"/>
        <v>7287.93</v>
      </c>
      <c r="F21" s="2">
        <f t="shared" si="6"/>
        <v>583034.21999999974</v>
      </c>
      <c r="G21" s="2">
        <f t="shared" si="7"/>
        <v>555656.14999999979</v>
      </c>
      <c r="H21" s="14">
        <f t="shared" si="3"/>
        <v>7188.0931232876683</v>
      </c>
      <c r="I21" s="16">
        <f t="shared" si="4"/>
        <v>-99.836876712332014</v>
      </c>
    </row>
    <row r="22" spans="1:9" x14ac:dyDescent="0.25">
      <c r="A22" s="29">
        <v>42434</v>
      </c>
      <c r="B22" s="1">
        <f t="shared" si="5"/>
        <v>30</v>
      </c>
      <c r="C22" s="4">
        <f t="shared" si="0"/>
        <v>34666</v>
      </c>
      <c r="D22" s="2">
        <f t="shared" si="1"/>
        <v>27720.3</v>
      </c>
      <c r="E22" s="19">
        <f t="shared" si="2"/>
        <v>6945.7</v>
      </c>
      <c r="F22" s="2">
        <f t="shared" si="6"/>
        <v>555656.14999999979</v>
      </c>
      <c r="G22" s="2">
        <f t="shared" si="7"/>
        <v>527935.84999999974</v>
      </c>
      <c r="H22" s="14">
        <f t="shared" si="3"/>
        <v>6850.5552739726008</v>
      </c>
      <c r="I22" s="16">
        <f t="shared" si="4"/>
        <v>-95.144726027398974</v>
      </c>
    </row>
    <row r="23" spans="1:9" x14ac:dyDescent="0.25">
      <c r="A23" s="29">
        <v>42465</v>
      </c>
      <c r="B23" s="1">
        <f t="shared" si="5"/>
        <v>30</v>
      </c>
      <c r="C23" s="4">
        <f t="shared" si="0"/>
        <v>34666</v>
      </c>
      <c r="D23" s="2">
        <f t="shared" si="1"/>
        <v>28066.799999999999</v>
      </c>
      <c r="E23" s="19">
        <f t="shared" si="2"/>
        <v>6599.2</v>
      </c>
      <c r="F23" s="2">
        <f t="shared" si="6"/>
        <v>527935.84999999974</v>
      </c>
      <c r="G23" s="2">
        <f t="shared" si="7"/>
        <v>499869.04999999976</v>
      </c>
      <c r="H23" s="14">
        <f t="shared" si="3"/>
        <v>6508.7981506849283</v>
      </c>
      <c r="I23" s="16">
        <f t="shared" si="4"/>
        <v>-90.401849315071559</v>
      </c>
    </row>
    <row r="24" spans="1:9" x14ac:dyDescent="0.25">
      <c r="A24" s="29">
        <v>42495</v>
      </c>
      <c r="B24" s="1">
        <f t="shared" si="5"/>
        <v>30</v>
      </c>
      <c r="C24" s="4">
        <f t="shared" si="0"/>
        <v>34666</v>
      </c>
      <c r="D24" s="2">
        <f t="shared" si="1"/>
        <v>28417.64</v>
      </c>
      <c r="E24" s="19">
        <f t="shared" si="2"/>
        <v>6248.36</v>
      </c>
      <c r="F24" s="2">
        <f t="shared" si="6"/>
        <v>499869.04999999976</v>
      </c>
      <c r="G24" s="2">
        <f t="shared" si="7"/>
        <v>471451.40999999974</v>
      </c>
      <c r="H24" s="14">
        <f t="shared" si="3"/>
        <v>6162.7691095890377</v>
      </c>
      <c r="I24" s="16">
        <f t="shared" si="4"/>
        <v>-85.590890410961947</v>
      </c>
    </row>
    <row r="25" spans="1:9" x14ac:dyDescent="0.25">
      <c r="A25" s="29">
        <v>42526</v>
      </c>
      <c r="B25" s="1">
        <f t="shared" si="5"/>
        <v>30</v>
      </c>
      <c r="C25" s="4">
        <f t="shared" si="0"/>
        <v>34666</v>
      </c>
      <c r="D25" s="2">
        <f t="shared" si="1"/>
        <v>28772.86</v>
      </c>
      <c r="E25" s="19">
        <f t="shared" si="2"/>
        <v>5893.14</v>
      </c>
      <c r="F25" s="2">
        <f t="shared" si="6"/>
        <v>471451.40999999974</v>
      </c>
      <c r="G25" s="2">
        <f t="shared" si="7"/>
        <v>442678.54999999976</v>
      </c>
      <c r="H25" s="14">
        <f t="shared" si="3"/>
        <v>5812.4146438356129</v>
      </c>
      <c r="I25" s="16">
        <f t="shared" si="4"/>
        <v>-80.725356164387449</v>
      </c>
    </row>
    <row r="26" spans="1:9" x14ac:dyDescent="0.25">
      <c r="A26" s="29">
        <v>42556</v>
      </c>
      <c r="B26" s="1">
        <f t="shared" si="5"/>
        <v>30</v>
      </c>
      <c r="C26" s="4">
        <f t="shared" si="0"/>
        <v>34666</v>
      </c>
      <c r="D26" s="2">
        <f t="shared" si="1"/>
        <v>29132.52</v>
      </c>
      <c r="E26" s="19">
        <f t="shared" si="2"/>
        <v>5533.48</v>
      </c>
      <c r="F26" s="2">
        <f t="shared" si="6"/>
        <v>442678.54999999976</v>
      </c>
      <c r="G26" s="2">
        <f t="shared" si="7"/>
        <v>413546.02999999974</v>
      </c>
      <c r="H26" s="14">
        <f t="shared" si="3"/>
        <v>5457.6807534246536</v>
      </c>
      <c r="I26" s="16">
        <f t="shared" si="4"/>
        <v>-75.799246575345933</v>
      </c>
    </row>
    <row r="27" spans="1:9" x14ac:dyDescent="0.25">
      <c r="A27" s="29">
        <v>42587</v>
      </c>
      <c r="B27" s="1">
        <f t="shared" si="5"/>
        <v>30</v>
      </c>
      <c r="C27" s="4">
        <f t="shared" si="0"/>
        <v>34666</v>
      </c>
      <c r="D27" s="2">
        <f t="shared" si="1"/>
        <v>29496.67</v>
      </c>
      <c r="E27" s="19">
        <f t="shared" si="2"/>
        <v>5169.33</v>
      </c>
      <c r="F27" s="2">
        <f t="shared" si="6"/>
        <v>413546.02999999974</v>
      </c>
      <c r="G27" s="2">
        <f t="shared" si="7"/>
        <v>384049.35999999975</v>
      </c>
      <c r="H27" s="14">
        <f t="shared" si="3"/>
        <v>5098.5126986301339</v>
      </c>
      <c r="I27" s="16">
        <f t="shared" si="4"/>
        <v>-70.817301369866072</v>
      </c>
    </row>
    <row r="28" spans="1:9" x14ac:dyDescent="0.25">
      <c r="A28" s="29">
        <v>42618</v>
      </c>
      <c r="B28" s="1">
        <f t="shared" si="5"/>
        <v>30</v>
      </c>
      <c r="C28" s="4">
        <f t="shared" si="0"/>
        <v>34666</v>
      </c>
      <c r="D28" s="2">
        <f t="shared" si="1"/>
        <v>29865.38</v>
      </c>
      <c r="E28" s="19">
        <f t="shared" si="2"/>
        <v>4800.62</v>
      </c>
      <c r="F28" s="2">
        <f t="shared" si="6"/>
        <v>384049.35999999975</v>
      </c>
      <c r="G28" s="2">
        <f t="shared" si="7"/>
        <v>354183.97999999975</v>
      </c>
      <c r="H28" s="14">
        <f t="shared" si="3"/>
        <v>4734.855123287668</v>
      </c>
      <c r="I28" s="16">
        <f t="shared" si="4"/>
        <v>-65.764876712331898</v>
      </c>
    </row>
    <row r="29" spans="1:9" x14ac:dyDescent="0.25">
      <c r="A29" s="29">
        <v>42648</v>
      </c>
      <c r="B29" s="1">
        <f t="shared" si="5"/>
        <v>30</v>
      </c>
      <c r="C29" s="4">
        <f t="shared" si="0"/>
        <v>34666</v>
      </c>
      <c r="D29" s="2">
        <f t="shared" si="1"/>
        <v>30238.7</v>
      </c>
      <c r="E29" s="19">
        <f t="shared" si="2"/>
        <v>4427.3</v>
      </c>
      <c r="F29" s="2">
        <f t="shared" si="6"/>
        <v>354183.97999999975</v>
      </c>
      <c r="G29" s="2">
        <f t="shared" si="7"/>
        <v>323945.27999999974</v>
      </c>
      <c r="H29" s="14">
        <f t="shared" si="3"/>
        <v>4366.6518082191751</v>
      </c>
      <c r="I29" s="16">
        <f t="shared" si="4"/>
        <v>-60.648191780825073</v>
      </c>
    </row>
    <row r="30" spans="1:9" x14ac:dyDescent="0.25">
      <c r="A30" s="29">
        <v>42679</v>
      </c>
      <c r="B30" s="1">
        <f t="shared" si="5"/>
        <v>30</v>
      </c>
      <c r="C30" s="4">
        <f t="shared" si="0"/>
        <v>34666</v>
      </c>
      <c r="D30" s="2">
        <f t="shared" si="1"/>
        <v>30616.68</v>
      </c>
      <c r="E30" s="19">
        <f t="shared" si="2"/>
        <v>4049.32</v>
      </c>
      <c r="F30" s="2">
        <f t="shared" si="6"/>
        <v>323945.27999999974</v>
      </c>
      <c r="G30" s="2">
        <f t="shared" si="7"/>
        <v>293328.59999999974</v>
      </c>
      <c r="H30" s="14">
        <f t="shared" si="3"/>
        <v>3993.8459178082162</v>
      </c>
      <c r="I30" s="16">
        <f t="shared" si="4"/>
        <v>-55.474082191783964</v>
      </c>
    </row>
    <row r="31" spans="1:9" x14ac:dyDescent="0.25">
      <c r="A31" s="29">
        <v>42709</v>
      </c>
      <c r="B31" s="1">
        <f t="shared" si="5"/>
        <v>30</v>
      </c>
      <c r="C31" s="4">
        <f t="shared" si="0"/>
        <v>34666</v>
      </c>
      <c r="D31" s="2">
        <f t="shared" si="1"/>
        <v>30999.39</v>
      </c>
      <c r="E31" s="19">
        <f t="shared" si="2"/>
        <v>3666.61</v>
      </c>
      <c r="F31" s="2">
        <f t="shared" si="6"/>
        <v>293328.59999999974</v>
      </c>
      <c r="G31" s="2">
        <f t="shared" si="7"/>
        <v>262329.20999999973</v>
      </c>
      <c r="H31" s="14">
        <f t="shared" si="3"/>
        <v>3616.3799999999965</v>
      </c>
      <c r="I31" s="16">
        <f t="shared" si="4"/>
        <v>-50.230000000003656</v>
      </c>
    </row>
    <row r="32" spans="1:9" x14ac:dyDescent="0.25">
      <c r="A32" s="29">
        <v>42740</v>
      </c>
      <c r="B32" s="1">
        <f t="shared" si="5"/>
        <v>30</v>
      </c>
      <c r="C32" s="4">
        <f t="shared" si="0"/>
        <v>34666</v>
      </c>
      <c r="D32" s="2">
        <f t="shared" si="1"/>
        <v>31386.880000000001</v>
      </c>
      <c r="E32" s="19">
        <f t="shared" si="2"/>
        <v>3279.12</v>
      </c>
      <c r="F32" s="2">
        <f t="shared" si="6"/>
        <v>262329.20999999973</v>
      </c>
      <c r="G32" s="2">
        <f t="shared" si="7"/>
        <v>230942.32999999973</v>
      </c>
      <c r="H32" s="14">
        <f t="shared" si="3"/>
        <v>3234.1957397260244</v>
      </c>
      <c r="I32" s="16">
        <f t="shared" si="4"/>
        <v>-44.924260273975506</v>
      </c>
    </row>
    <row r="33" spans="1:9" x14ac:dyDescent="0.25">
      <c r="A33" s="29">
        <v>42771</v>
      </c>
      <c r="B33" s="1">
        <f t="shared" si="5"/>
        <v>30</v>
      </c>
      <c r="C33" s="4">
        <f t="shared" si="0"/>
        <v>34666</v>
      </c>
      <c r="D33" s="2">
        <f t="shared" si="1"/>
        <v>31779.22</v>
      </c>
      <c r="E33" s="19">
        <f t="shared" si="2"/>
        <v>2886.78</v>
      </c>
      <c r="F33" s="2">
        <f t="shared" si="6"/>
        <v>230942.32999999973</v>
      </c>
      <c r="G33" s="2">
        <f t="shared" si="7"/>
        <v>199163.10999999972</v>
      </c>
      <c r="H33" s="14">
        <f t="shared" si="3"/>
        <v>2847.234205479449</v>
      </c>
      <c r="I33" s="16">
        <f t="shared" si="4"/>
        <v>-39.545794520551226</v>
      </c>
    </row>
    <row r="34" spans="1:9" x14ac:dyDescent="0.25">
      <c r="A34" s="29">
        <v>42799</v>
      </c>
      <c r="B34" s="1">
        <f t="shared" si="5"/>
        <v>30</v>
      </c>
      <c r="C34" s="4">
        <f t="shared" si="0"/>
        <v>34666</v>
      </c>
      <c r="D34" s="2">
        <f t="shared" si="1"/>
        <v>32176.46</v>
      </c>
      <c r="E34" s="19">
        <f t="shared" si="2"/>
        <v>2489.54</v>
      </c>
      <c r="F34" s="2">
        <f t="shared" si="6"/>
        <v>199163.10999999972</v>
      </c>
      <c r="G34" s="2">
        <f t="shared" si="7"/>
        <v>166986.64999999973</v>
      </c>
      <c r="H34" s="14"/>
      <c r="I34" s="16"/>
    </row>
    <row r="35" spans="1:9" x14ac:dyDescent="0.25">
      <c r="A35" s="29">
        <v>42830</v>
      </c>
      <c r="B35" s="1">
        <f t="shared" si="5"/>
        <v>30</v>
      </c>
      <c r="C35" s="4">
        <f t="shared" si="0"/>
        <v>34666</v>
      </c>
      <c r="D35" s="2">
        <f t="shared" si="1"/>
        <v>32578.67</v>
      </c>
      <c r="E35" s="19">
        <f t="shared" si="2"/>
        <v>2087.33</v>
      </c>
      <c r="F35" s="2">
        <f t="shared" si="6"/>
        <v>166986.64999999973</v>
      </c>
      <c r="G35" s="2">
        <f t="shared" si="7"/>
        <v>134407.97999999975</v>
      </c>
      <c r="H35" s="14"/>
      <c r="I35" s="16"/>
    </row>
    <row r="36" spans="1:9" x14ac:dyDescent="0.25">
      <c r="A36" s="29">
        <v>42860</v>
      </c>
      <c r="B36" s="1">
        <f t="shared" si="5"/>
        <v>30</v>
      </c>
      <c r="C36" s="4">
        <f t="shared" si="0"/>
        <v>34666</v>
      </c>
      <c r="D36" s="2">
        <f t="shared" si="1"/>
        <v>32985.9</v>
      </c>
      <c r="E36" s="19">
        <f t="shared" si="2"/>
        <v>1680.1</v>
      </c>
      <c r="F36" s="2">
        <f t="shared" si="6"/>
        <v>134407.97999999975</v>
      </c>
      <c r="G36" s="2">
        <f t="shared" si="7"/>
        <v>101422.07999999975</v>
      </c>
      <c r="H36" s="14"/>
      <c r="I36" s="16"/>
    </row>
    <row r="37" spans="1:9" x14ac:dyDescent="0.25">
      <c r="A37" s="29">
        <v>42891</v>
      </c>
      <c r="B37" s="1">
        <f t="shared" si="5"/>
        <v>30</v>
      </c>
      <c r="C37" s="4">
        <f t="shared" si="0"/>
        <v>34666</v>
      </c>
      <c r="D37" s="2">
        <f t="shared" si="1"/>
        <v>33398.22</v>
      </c>
      <c r="E37" s="19">
        <f t="shared" si="2"/>
        <v>1267.78</v>
      </c>
      <c r="F37" s="2">
        <f t="shared" si="6"/>
        <v>101422.07999999975</v>
      </c>
      <c r="G37" s="2">
        <f t="shared" si="7"/>
        <v>68023.859999999753</v>
      </c>
      <c r="H37" s="14"/>
      <c r="I37" s="16"/>
    </row>
    <row r="38" spans="1:9" x14ac:dyDescent="0.25">
      <c r="A38" s="29">
        <v>42921</v>
      </c>
      <c r="B38" s="1">
        <f t="shared" si="5"/>
        <v>30</v>
      </c>
      <c r="C38" s="4">
        <f t="shared" si="0"/>
        <v>34666</v>
      </c>
      <c r="D38" s="2">
        <f t="shared" si="1"/>
        <v>33815.699999999997</v>
      </c>
      <c r="E38" s="19">
        <f t="shared" si="2"/>
        <v>850.3</v>
      </c>
      <c r="F38" s="2">
        <f t="shared" si="6"/>
        <v>68023.859999999753</v>
      </c>
      <c r="G38" s="2">
        <f t="shared" si="7"/>
        <v>34208.159999999756</v>
      </c>
      <c r="H38" s="14"/>
      <c r="I38" s="16"/>
    </row>
    <row r="39" spans="1:9" x14ac:dyDescent="0.25">
      <c r="A39" s="29">
        <v>42952</v>
      </c>
      <c r="B39" s="1">
        <f t="shared" si="5"/>
        <v>30</v>
      </c>
      <c r="C39" s="4">
        <f t="shared" si="0"/>
        <v>34666</v>
      </c>
      <c r="D39" s="2">
        <f t="shared" si="1"/>
        <v>34208.159999999756</v>
      </c>
      <c r="E39" s="19">
        <v>457.84000000024537</v>
      </c>
      <c r="F39" s="2">
        <f t="shared" si="6"/>
        <v>34208.159999999756</v>
      </c>
      <c r="G39" s="2">
        <f t="shared" si="7"/>
        <v>0</v>
      </c>
      <c r="H39" s="14"/>
      <c r="I39" s="16"/>
    </row>
    <row r="40" spans="1:9" x14ac:dyDescent="0.25">
      <c r="A40" s="70">
        <v>42374</v>
      </c>
      <c r="B40" s="98">
        <f>DAYS360(A19,A20,TRUE)</f>
        <v>30</v>
      </c>
      <c r="C40" s="141">
        <f>$E$2</f>
        <v>35993</v>
      </c>
      <c r="D40" s="142">
        <f t="shared" si="1"/>
        <v>28028.14</v>
      </c>
      <c r="E40" s="143">
        <f>ROUND((F40*$B$2*K2/360)+(F40*$F$2*J2/360),2)</f>
        <v>7964.86</v>
      </c>
      <c r="F40" s="142">
        <f>G19</f>
        <v>610074.28999999969</v>
      </c>
      <c r="G40" s="2">
        <f t="shared" si="7"/>
        <v>582046.14999999967</v>
      </c>
      <c r="H40" s="14"/>
      <c r="I40" s="16"/>
    </row>
    <row r="41" spans="1:9" x14ac:dyDescent="0.25">
      <c r="A41" s="29">
        <v>42405</v>
      </c>
      <c r="B41" s="1">
        <f t="shared" si="5"/>
        <v>30</v>
      </c>
      <c r="C41" s="4">
        <f>$E$2</f>
        <v>35993</v>
      </c>
      <c r="D41" s="2">
        <f t="shared" si="1"/>
        <v>26292.23</v>
      </c>
      <c r="E41" s="19">
        <f>ROUND(F41*$F$2*B41/360,2)</f>
        <v>9700.77</v>
      </c>
      <c r="F41" s="2">
        <f t="shared" si="6"/>
        <v>582046.14999999967</v>
      </c>
      <c r="G41" s="2">
        <f t="shared" si="7"/>
        <v>555753.91999999969</v>
      </c>
      <c r="H41" s="14"/>
      <c r="I41" s="16"/>
    </row>
    <row r="42" spans="1:9" x14ac:dyDescent="0.25">
      <c r="A42" s="29">
        <v>42434</v>
      </c>
      <c r="B42" s="1">
        <f t="shared" si="5"/>
        <v>30</v>
      </c>
      <c r="C42" s="4">
        <f t="shared" ref="C42:C51" si="8">$E$2</f>
        <v>35993</v>
      </c>
      <c r="D42" s="2">
        <f t="shared" ref="D42:D59" si="9">C42-E42</f>
        <v>26730.43</v>
      </c>
      <c r="E42" s="19">
        <f t="shared" ref="E42:E51" si="10">ROUND(F42*$F$2*B42/360,2)</f>
        <v>9262.57</v>
      </c>
      <c r="F42" s="2">
        <f t="shared" ref="F42:F59" si="11">G41</f>
        <v>555753.91999999969</v>
      </c>
      <c r="G42" s="2">
        <f t="shared" ref="G42:G59" si="12">F42-D42</f>
        <v>529023.48999999964</v>
      </c>
      <c r="H42" s="14"/>
      <c r="I42" s="16"/>
    </row>
    <row r="43" spans="1:9" x14ac:dyDescent="0.25">
      <c r="A43" s="29">
        <v>42465</v>
      </c>
      <c r="B43" s="1">
        <f t="shared" si="5"/>
        <v>30</v>
      </c>
      <c r="C43" s="4">
        <f t="shared" si="8"/>
        <v>35993</v>
      </c>
      <c r="D43" s="2">
        <f t="shared" si="9"/>
        <v>27175.940000000002</v>
      </c>
      <c r="E43" s="19">
        <f t="shared" si="10"/>
        <v>8817.06</v>
      </c>
      <c r="F43" s="2">
        <f t="shared" si="11"/>
        <v>529023.48999999964</v>
      </c>
      <c r="G43" s="2">
        <f t="shared" si="12"/>
        <v>501847.54999999964</v>
      </c>
      <c r="H43" s="14"/>
      <c r="I43" s="16"/>
    </row>
    <row r="44" spans="1:9" x14ac:dyDescent="0.25">
      <c r="A44" s="29">
        <v>42495</v>
      </c>
      <c r="B44" s="1">
        <f t="shared" si="5"/>
        <v>30</v>
      </c>
      <c r="C44" s="4">
        <f t="shared" si="8"/>
        <v>35993</v>
      </c>
      <c r="D44" s="2">
        <f t="shared" si="9"/>
        <v>27628.870000000003</v>
      </c>
      <c r="E44" s="19">
        <f t="shared" si="10"/>
        <v>8364.1299999999992</v>
      </c>
      <c r="F44" s="2">
        <f t="shared" si="11"/>
        <v>501847.54999999964</v>
      </c>
      <c r="G44" s="2">
        <f t="shared" si="12"/>
        <v>474218.67999999964</v>
      </c>
      <c r="H44" s="14"/>
      <c r="I44" s="16"/>
    </row>
    <row r="45" spans="1:9" x14ac:dyDescent="0.25">
      <c r="A45" s="29">
        <v>42526</v>
      </c>
      <c r="B45" s="1">
        <f t="shared" si="5"/>
        <v>30</v>
      </c>
      <c r="C45" s="4">
        <f t="shared" si="8"/>
        <v>35993</v>
      </c>
      <c r="D45" s="2">
        <f t="shared" si="9"/>
        <v>28089.360000000001</v>
      </c>
      <c r="E45" s="19">
        <f t="shared" si="10"/>
        <v>7903.64</v>
      </c>
      <c r="F45" s="2">
        <f t="shared" si="11"/>
        <v>474218.67999999964</v>
      </c>
      <c r="G45" s="2">
        <f t="shared" si="12"/>
        <v>446129.31999999966</v>
      </c>
      <c r="H45" s="14"/>
      <c r="I45" s="16"/>
    </row>
    <row r="46" spans="1:9" x14ac:dyDescent="0.25">
      <c r="A46" s="29">
        <v>42556</v>
      </c>
      <c r="B46" s="1">
        <f t="shared" si="5"/>
        <v>30</v>
      </c>
      <c r="C46" s="4">
        <f t="shared" si="8"/>
        <v>35993</v>
      </c>
      <c r="D46" s="2">
        <f t="shared" si="9"/>
        <v>28557.510000000002</v>
      </c>
      <c r="E46" s="19">
        <f t="shared" si="10"/>
        <v>7435.49</v>
      </c>
      <c r="F46" s="2">
        <f t="shared" si="11"/>
        <v>446129.31999999966</v>
      </c>
      <c r="G46" s="2">
        <f t="shared" si="12"/>
        <v>417571.80999999965</v>
      </c>
      <c r="H46" s="14"/>
      <c r="I46" s="16"/>
    </row>
    <row r="47" spans="1:9" x14ac:dyDescent="0.25">
      <c r="A47" s="29">
        <v>42587</v>
      </c>
      <c r="B47" s="1">
        <f t="shared" si="5"/>
        <v>30</v>
      </c>
      <c r="C47" s="4">
        <f t="shared" si="8"/>
        <v>35993</v>
      </c>
      <c r="D47" s="2">
        <f t="shared" si="9"/>
        <v>29033.47</v>
      </c>
      <c r="E47" s="19">
        <f t="shared" si="10"/>
        <v>6959.53</v>
      </c>
      <c r="F47" s="2">
        <f t="shared" si="11"/>
        <v>417571.80999999965</v>
      </c>
      <c r="G47" s="2">
        <f t="shared" si="12"/>
        <v>388538.33999999962</v>
      </c>
      <c r="H47" s="14"/>
      <c r="I47" s="16"/>
    </row>
    <row r="48" spans="1:9" x14ac:dyDescent="0.25">
      <c r="A48" s="29">
        <v>42618</v>
      </c>
      <c r="B48" s="1">
        <f t="shared" si="5"/>
        <v>30</v>
      </c>
      <c r="C48" s="4">
        <f t="shared" si="8"/>
        <v>35993</v>
      </c>
      <c r="D48" s="2">
        <f t="shared" si="9"/>
        <v>29517.360000000001</v>
      </c>
      <c r="E48" s="19">
        <f t="shared" si="10"/>
        <v>6475.64</v>
      </c>
      <c r="F48" s="2">
        <f t="shared" si="11"/>
        <v>388538.33999999962</v>
      </c>
      <c r="G48" s="2">
        <f t="shared" si="12"/>
        <v>359020.97999999963</v>
      </c>
      <c r="H48" s="14"/>
      <c r="I48" s="16"/>
    </row>
    <row r="49" spans="1:9" x14ac:dyDescent="0.25">
      <c r="A49" s="29">
        <v>42648</v>
      </c>
      <c r="B49" s="1">
        <f t="shared" si="5"/>
        <v>30</v>
      </c>
      <c r="C49" s="4">
        <f t="shared" si="8"/>
        <v>35993</v>
      </c>
      <c r="D49" s="2">
        <f t="shared" si="9"/>
        <v>30009.32</v>
      </c>
      <c r="E49" s="19">
        <f t="shared" si="10"/>
        <v>5983.68</v>
      </c>
      <c r="F49" s="2">
        <f t="shared" si="11"/>
        <v>359020.97999999963</v>
      </c>
      <c r="G49" s="2">
        <f t="shared" si="12"/>
        <v>329011.65999999963</v>
      </c>
      <c r="H49" s="14"/>
      <c r="I49" s="16"/>
    </row>
    <row r="50" spans="1:9" x14ac:dyDescent="0.25">
      <c r="A50" s="29">
        <v>42679</v>
      </c>
      <c r="B50" s="1">
        <f t="shared" si="5"/>
        <v>30</v>
      </c>
      <c r="C50" s="4">
        <f t="shared" si="8"/>
        <v>35993</v>
      </c>
      <c r="D50" s="2">
        <f t="shared" si="9"/>
        <v>30509.47</v>
      </c>
      <c r="E50" s="19">
        <f t="shared" si="10"/>
        <v>5483.53</v>
      </c>
      <c r="F50" s="2">
        <f t="shared" si="11"/>
        <v>329011.65999999963</v>
      </c>
      <c r="G50" s="2">
        <f t="shared" si="12"/>
        <v>298502.18999999959</v>
      </c>
      <c r="H50" s="14"/>
      <c r="I50" s="16"/>
    </row>
    <row r="51" spans="1:9" x14ac:dyDescent="0.25">
      <c r="A51" s="29">
        <v>42709</v>
      </c>
      <c r="B51" s="1">
        <f t="shared" si="5"/>
        <v>30</v>
      </c>
      <c r="C51" s="4">
        <f t="shared" si="8"/>
        <v>35993</v>
      </c>
      <c r="D51" s="2">
        <f t="shared" si="9"/>
        <v>31017.96</v>
      </c>
      <c r="E51" s="19">
        <f t="shared" si="10"/>
        <v>4975.04</v>
      </c>
      <c r="F51" s="2">
        <f t="shared" si="11"/>
        <v>298502.18999999959</v>
      </c>
      <c r="G51" s="2">
        <f t="shared" si="12"/>
        <v>267484.22999999957</v>
      </c>
      <c r="H51" s="14"/>
      <c r="I51" s="16"/>
    </row>
    <row r="52" spans="1:9" x14ac:dyDescent="0.25">
      <c r="A52" s="70">
        <v>42740</v>
      </c>
      <c r="B52" s="98">
        <f t="shared" si="5"/>
        <v>30</v>
      </c>
      <c r="C52" s="141">
        <f>$H$2</f>
        <v>34951</v>
      </c>
      <c r="D52" s="142">
        <f t="shared" si="9"/>
        <v>30790.13</v>
      </c>
      <c r="E52" s="143">
        <f>ROUND((F52*$F$2*L2/360)+(F52*$I$2*M2/360),2)</f>
        <v>4160.87</v>
      </c>
      <c r="F52" s="142">
        <f t="shared" si="11"/>
        <v>267484.22999999957</v>
      </c>
      <c r="G52" s="142">
        <f t="shared" si="12"/>
        <v>236694.09999999957</v>
      </c>
      <c r="H52" s="14"/>
      <c r="I52" s="16"/>
    </row>
    <row r="53" spans="1:9" x14ac:dyDescent="0.25">
      <c r="A53" s="54">
        <v>42771</v>
      </c>
      <c r="B53" s="1">
        <f t="shared" si="5"/>
        <v>30</v>
      </c>
      <c r="C53" s="4">
        <f>$H$2</f>
        <v>34951</v>
      </c>
      <c r="D53" s="2">
        <f t="shared" si="9"/>
        <v>32978.550000000003</v>
      </c>
      <c r="E53" s="19">
        <f>ROUND(F53*$I$2*B53/360,2)</f>
        <v>1972.45</v>
      </c>
      <c r="F53" s="2">
        <f t="shared" si="11"/>
        <v>236694.09999999957</v>
      </c>
      <c r="G53" s="2">
        <f t="shared" si="12"/>
        <v>203715.54999999958</v>
      </c>
      <c r="H53" s="14"/>
      <c r="I53" s="16"/>
    </row>
    <row r="54" spans="1:9" x14ac:dyDescent="0.25">
      <c r="A54" s="54">
        <v>42799</v>
      </c>
      <c r="B54" s="1">
        <f t="shared" si="5"/>
        <v>30</v>
      </c>
      <c r="C54" s="4">
        <f t="shared" ref="C54:C59" si="13">$H$2</f>
        <v>34951</v>
      </c>
      <c r="D54" s="2">
        <f t="shared" si="9"/>
        <v>33253.370000000003</v>
      </c>
      <c r="E54" s="19">
        <f t="shared" ref="E54:E58" si="14">ROUND(F54*$I$2*B54/360,2)</f>
        <v>1697.63</v>
      </c>
      <c r="F54" s="2">
        <f t="shared" si="11"/>
        <v>203715.54999999958</v>
      </c>
      <c r="G54" s="2">
        <f t="shared" si="12"/>
        <v>170462.17999999959</v>
      </c>
      <c r="H54" s="14"/>
      <c r="I54" s="16"/>
    </row>
    <row r="55" spans="1:9" x14ac:dyDescent="0.25">
      <c r="A55" s="54">
        <v>42830</v>
      </c>
      <c r="B55" s="1">
        <f t="shared" si="5"/>
        <v>30</v>
      </c>
      <c r="C55" s="4">
        <f t="shared" si="13"/>
        <v>34951</v>
      </c>
      <c r="D55" s="2">
        <f t="shared" si="9"/>
        <v>33530.480000000003</v>
      </c>
      <c r="E55" s="19">
        <f t="shared" si="14"/>
        <v>1420.52</v>
      </c>
      <c r="F55" s="2">
        <f t="shared" si="11"/>
        <v>170462.17999999959</v>
      </c>
      <c r="G55" s="2">
        <f t="shared" si="12"/>
        <v>136931.69999999958</v>
      </c>
      <c r="H55" s="14"/>
      <c r="I55" s="16"/>
    </row>
    <row r="56" spans="1:9" x14ac:dyDescent="0.25">
      <c r="A56" s="54">
        <v>42860</v>
      </c>
      <c r="B56" s="1">
        <f t="shared" si="5"/>
        <v>30</v>
      </c>
      <c r="C56" s="4">
        <f t="shared" si="13"/>
        <v>34951</v>
      </c>
      <c r="D56" s="2">
        <f t="shared" si="9"/>
        <v>33809.9</v>
      </c>
      <c r="E56" s="19">
        <f t="shared" si="14"/>
        <v>1141.0999999999999</v>
      </c>
      <c r="F56" s="2">
        <f t="shared" si="11"/>
        <v>136931.69999999958</v>
      </c>
      <c r="G56" s="2">
        <f t="shared" si="12"/>
        <v>103121.79999999958</v>
      </c>
      <c r="H56" s="14"/>
      <c r="I56" s="16"/>
    </row>
    <row r="57" spans="1:9" x14ac:dyDescent="0.25">
      <c r="A57" s="54">
        <v>42891</v>
      </c>
      <c r="B57" s="1">
        <f t="shared" si="5"/>
        <v>30</v>
      </c>
      <c r="C57" s="4">
        <f t="shared" si="13"/>
        <v>34951</v>
      </c>
      <c r="D57" s="2">
        <f t="shared" si="9"/>
        <v>34091.65</v>
      </c>
      <c r="E57" s="19">
        <f t="shared" si="14"/>
        <v>859.35</v>
      </c>
      <c r="F57" s="2">
        <f t="shared" si="11"/>
        <v>103121.79999999958</v>
      </c>
      <c r="G57" s="2">
        <f t="shared" si="12"/>
        <v>69030.149999999587</v>
      </c>
      <c r="H57" s="14"/>
      <c r="I57" s="16"/>
    </row>
    <row r="58" spans="1:9" x14ac:dyDescent="0.25">
      <c r="A58" s="54">
        <v>42921</v>
      </c>
      <c r="B58" s="1">
        <f t="shared" si="5"/>
        <v>30</v>
      </c>
      <c r="C58" s="4">
        <f t="shared" si="13"/>
        <v>34951</v>
      </c>
      <c r="D58" s="2">
        <f t="shared" si="9"/>
        <v>34375.75</v>
      </c>
      <c r="E58" s="19">
        <f t="shared" si="14"/>
        <v>575.25</v>
      </c>
      <c r="F58" s="2">
        <f t="shared" si="11"/>
        <v>69030.149999999587</v>
      </c>
      <c r="G58" s="2">
        <f t="shared" si="12"/>
        <v>34654.399999999587</v>
      </c>
      <c r="H58" s="14"/>
      <c r="I58" s="16"/>
    </row>
    <row r="59" spans="1:9" x14ac:dyDescent="0.25">
      <c r="A59" s="54">
        <v>42952</v>
      </c>
      <c r="B59" s="1">
        <f t="shared" si="5"/>
        <v>30</v>
      </c>
      <c r="C59" s="4">
        <f t="shared" si="13"/>
        <v>34951</v>
      </c>
      <c r="D59" s="2">
        <f t="shared" si="9"/>
        <v>34654.399999999587</v>
      </c>
      <c r="E59" s="19">
        <v>296.60000000041242</v>
      </c>
      <c r="F59" s="2">
        <f t="shared" si="11"/>
        <v>34654.399999999587</v>
      </c>
      <c r="G59" s="2">
        <f t="shared" si="12"/>
        <v>0</v>
      </c>
      <c r="H59" s="14"/>
      <c r="I59" s="16"/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4BBF35-333C-4D84-9B45-989D1878F6E8}">
  <dimension ref="A1:U3"/>
  <sheetViews>
    <sheetView workbookViewId="0">
      <selection activeCell="A3" sqref="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98.710937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103</v>
      </c>
      <c r="P2" s="20" t="s">
        <v>104</v>
      </c>
      <c r="Q2" s="20" t="s">
        <v>105</v>
      </c>
      <c r="R2" s="20" t="s">
        <v>169</v>
      </c>
      <c r="S2" s="20" t="s">
        <v>104</v>
      </c>
      <c r="T2" s="20" t="s">
        <v>13</v>
      </c>
      <c r="U2" s="50" t="s">
        <v>364</v>
      </c>
    </row>
    <row r="3" spans="1:21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29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103</v>
      </c>
      <c r="P3" s="20" t="s">
        <v>104</v>
      </c>
      <c r="Q3" s="20" t="s">
        <v>105</v>
      </c>
      <c r="R3" s="20" t="s">
        <v>169</v>
      </c>
      <c r="S3" s="20" t="s">
        <v>104</v>
      </c>
      <c r="T3" s="20" t="s">
        <v>13</v>
      </c>
      <c r="U3" s="50" t="s">
        <v>365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4923BA-0F9B-41AB-A94F-1E994020BFFD}">
  <dimension ref="A1:I63"/>
  <sheetViews>
    <sheetView zoomScale="80" zoomScaleNormal="80" workbookViewId="0">
      <pane ySplit="3" topLeftCell="A38" activePane="bottomLeft" state="frozen"/>
      <selection activeCell="A3" sqref="A3"/>
      <selection pane="bottomLeft" activeCell="D1" sqref="D1:I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15.5703125" bestFit="1" customWidth="1"/>
    <col min="4" max="4" width="11.42578125" bestFit="1" customWidth="1"/>
    <col min="5" max="5" width="12.42578125" bestFit="1" customWidth="1"/>
    <col min="6" max="6" width="17" bestFit="1" customWidth="1"/>
    <col min="7" max="7" width="15.85546875" bestFit="1" customWidth="1"/>
    <col min="8" max="8" width="16.7109375" bestFit="1" customWidth="1"/>
    <col min="9" max="9" width="7.42578125" bestFit="1" customWidth="1"/>
    <col min="10" max="10" width="10.85546875" bestFit="1" customWidth="1"/>
  </cols>
  <sheetData>
    <row r="1" spans="1:9" x14ac:dyDescent="0.25">
      <c r="A1" s="17" t="s">
        <v>33</v>
      </c>
      <c r="B1" s="78">
        <v>41856</v>
      </c>
      <c r="C1" s="17" t="s">
        <v>355</v>
      </c>
      <c r="D1" s="137" t="s">
        <v>347</v>
      </c>
      <c r="E1" s="137" t="s">
        <v>354</v>
      </c>
      <c r="F1" s="138" t="s">
        <v>331</v>
      </c>
      <c r="G1" s="137" t="s">
        <v>346</v>
      </c>
      <c r="H1" s="137" t="s">
        <v>352</v>
      </c>
      <c r="I1" s="138" t="s">
        <v>366</v>
      </c>
    </row>
    <row r="2" spans="1:9" x14ac:dyDescent="0.25">
      <c r="A2" s="17" t="s">
        <v>34</v>
      </c>
      <c r="B2" s="18">
        <v>0.15</v>
      </c>
      <c r="C2" s="17">
        <f>ROUNDUP(34673.5343079289,0)</f>
        <v>34674</v>
      </c>
      <c r="D2" s="125">
        <v>42618</v>
      </c>
      <c r="E2" s="139">
        <f>ROUNDUP(67461.0881818182,0)</f>
        <v>67462</v>
      </c>
      <c r="F2" s="149">
        <v>24</v>
      </c>
      <c r="G2" s="125">
        <v>42495</v>
      </c>
      <c r="H2" s="139">
        <f>ROUNDUP(14517.3666200506,0)</f>
        <v>14518</v>
      </c>
      <c r="I2" s="149">
        <v>36</v>
      </c>
    </row>
    <row r="3" spans="1:9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23" t="s">
        <v>36</v>
      </c>
    </row>
    <row r="4" spans="1:9" x14ac:dyDescent="0.25">
      <c r="A4" s="29">
        <v>41887</v>
      </c>
      <c r="B4" s="1">
        <f>_xlfn.DAYS(A4,B1)</f>
        <v>31</v>
      </c>
      <c r="C4" s="4">
        <f t="shared" ref="C4:C40" si="0">$C$2</f>
        <v>34674</v>
      </c>
      <c r="D4" s="3">
        <f>C4-E4</f>
        <v>21934.27</v>
      </c>
      <c r="E4" s="19">
        <f>ROUND(F4*$B$2*B4/365,2)</f>
        <v>12739.73</v>
      </c>
      <c r="F4" s="23">
        <v>1000000</v>
      </c>
      <c r="G4" s="2">
        <f>F4-D4</f>
        <v>978065.73</v>
      </c>
      <c r="H4" s="14">
        <f>F4*$B$2*B4/365</f>
        <v>12739.726027397261</v>
      </c>
      <c r="I4" s="16">
        <f>H4-E4</f>
        <v>-3.9726027389406227E-3</v>
      </c>
    </row>
    <row r="5" spans="1:9" x14ac:dyDescent="0.25">
      <c r="A5" s="29">
        <v>41917</v>
      </c>
      <c r="B5" s="1">
        <f>_xlfn.DAYS(A5,A4)</f>
        <v>30</v>
      </c>
      <c r="C5" s="4">
        <f t="shared" si="0"/>
        <v>34674</v>
      </c>
      <c r="D5" s="2">
        <f t="shared" ref="D5:D39" si="1">C5-E5</f>
        <v>22615.66</v>
      </c>
      <c r="E5" s="19">
        <f>ROUND(F5*$B$2*B5/365,2)</f>
        <v>12058.34</v>
      </c>
      <c r="F5" s="2">
        <f>G4</f>
        <v>978065.73</v>
      </c>
      <c r="G5" s="2">
        <f>F5-D5</f>
        <v>955450.07</v>
      </c>
      <c r="H5" s="14">
        <f t="shared" ref="H5:H33" si="2">F5*$B$2*B5/365</f>
        <v>12058.344616438357</v>
      </c>
      <c r="I5" s="16">
        <f t="shared" ref="I5:I33" si="3">H5-E5</f>
        <v>4.6164383566065226E-3</v>
      </c>
    </row>
    <row r="6" spans="1:9" x14ac:dyDescent="0.25">
      <c r="A6" s="29">
        <v>41948</v>
      </c>
      <c r="B6" s="1">
        <f t="shared" ref="B6:B39" si="4">_xlfn.DAYS(A6,A5)</f>
        <v>31</v>
      </c>
      <c r="C6" s="4">
        <f t="shared" si="0"/>
        <v>34674</v>
      </c>
      <c r="D6" s="2">
        <f t="shared" si="1"/>
        <v>22501.83</v>
      </c>
      <c r="E6" s="19">
        <f t="shared" ref="E6:E38" si="5">ROUND(F6*$B$2*B6/365,2)</f>
        <v>12172.17</v>
      </c>
      <c r="F6" s="2">
        <f t="shared" ref="F6:F39" si="6">G5</f>
        <v>955450.07</v>
      </c>
      <c r="G6" s="2">
        <f t="shared" ref="G6:G39" si="7">F6-D6</f>
        <v>932948.24</v>
      </c>
      <c r="H6" s="14">
        <f t="shared" si="2"/>
        <v>12172.172124657533</v>
      </c>
      <c r="I6" s="16">
        <f t="shared" si="3"/>
        <v>2.1246575324767036E-3</v>
      </c>
    </row>
    <row r="7" spans="1:9" x14ac:dyDescent="0.25">
      <c r="A7" s="29">
        <v>41978</v>
      </c>
      <c r="B7" s="1">
        <f t="shared" si="4"/>
        <v>30</v>
      </c>
      <c r="C7" s="4">
        <f t="shared" si="0"/>
        <v>34674</v>
      </c>
      <c r="D7" s="2">
        <f t="shared" si="1"/>
        <v>23171.9</v>
      </c>
      <c r="E7" s="19">
        <f t="shared" si="5"/>
        <v>11502.1</v>
      </c>
      <c r="F7" s="2">
        <f t="shared" si="6"/>
        <v>932948.24</v>
      </c>
      <c r="G7" s="2">
        <f t="shared" si="7"/>
        <v>909776.34</v>
      </c>
      <c r="H7" s="14">
        <f t="shared" si="2"/>
        <v>11502.101589041096</v>
      </c>
      <c r="I7" s="16">
        <f t="shared" si="3"/>
        <v>1.5890410959400469E-3</v>
      </c>
    </row>
    <row r="8" spans="1:9" x14ac:dyDescent="0.25">
      <c r="A8" s="29">
        <v>42009</v>
      </c>
      <c r="B8" s="1">
        <f t="shared" si="4"/>
        <v>31</v>
      </c>
      <c r="C8" s="4">
        <f t="shared" si="0"/>
        <v>34674</v>
      </c>
      <c r="D8" s="2">
        <f t="shared" si="1"/>
        <v>23083.7</v>
      </c>
      <c r="E8" s="19">
        <f t="shared" si="5"/>
        <v>11590.3</v>
      </c>
      <c r="F8" s="2">
        <f t="shared" si="6"/>
        <v>909776.34</v>
      </c>
      <c r="G8" s="2">
        <f t="shared" si="7"/>
        <v>886692.64</v>
      </c>
      <c r="H8" s="14">
        <f t="shared" si="2"/>
        <v>11590.301317808218</v>
      </c>
      <c r="I8" s="16">
        <f t="shared" si="3"/>
        <v>1.3178082190279383E-3</v>
      </c>
    </row>
    <row r="9" spans="1:9" x14ac:dyDescent="0.25">
      <c r="A9" s="29">
        <v>42040</v>
      </c>
      <c r="B9" s="1">
        <f t="shared" si="4"/>
        <v>31</v>
      </c>
      <c r="C9" s="4">
        <f t="shared" si="0"/>
        <v>34674</v>
      </c>
      <c r="D9" s="2">
        <f t="shared" si="1"/>
        <v>23377.78</v>
      </c>
      <c r="E9" s="19">
        <f t="shared" si="5"/>
        <v>11296.22</v>
      </c>
      <c r="F9" s="2">
        <f t="shared" si="6"/>
        <v>886692.64</v>
      </c>
      <c r="G9" s="2">
        <f t="shared" si="7"/>
        <v>863314.86</v>
      </c>
      <c r="H9" s="14">
        <f t="shared" si="2"/>
        <v>11296.221304109589</v>
      </c>
      <c r="I9" s="16">
        <f t="shared" si="3"/>
        <v>1.3041095899097854E-3</v>
      </c>
    </row>
    <row r="10" spans="1:9" x14ac:dyDescent="0.25">
      <c r="A10" s="29">
        <v>42068</v>
      </c>
      <c r="B10" s="1">
        <f t="shared" si="4"/>
        <v>28</v>
      </c>
      <c r="C10" s="4">
        <f t="shared" si="0"/>
        <v>34674</v>
      </c>
      <c r="D10" s="2">
        <f t="shared" si="1"/>
        <v>24739.97</v>
      </c>
      <c r="E10" s="19">
        <f t="shared" si="5"/>
        <v>9934.0300000000007</v>
      </c>
      <c r="F10" s="2">
        <f t="shared" si="6"/>
        <v>863314.86</v>
      </c>
      <c r="G10" s="2">
        <f t="shared" si="7"/>
        <v>838574.89</v>
      </c>
      <c r="H10" s="14">
        <f t="shared" si="2"/>
        <v>9934.0340054794506</v>
      </c>
      <c r="I10" s="16">
        <f t="shared" si="3"/>
        <v>4.0054794499155832E-3</v>
      </c>
    </row>
    <row r="11" spans="1:9" x14ac:dyDescent="0.25">
      <c r="A11" s="29">
        <v>42099</v>
      </c>
      <c r="B11" s="1">
        <f t="shared" si="4"/>
        <v>31</v>
      </c>
      <c r="C11" s="4">
        <f t="shared" si="0"/>
        <v>34674</v>
      </c>
      <c r="D11" s="2">
        <f t="shared" si="1"/>
        <v>23990.79</v>
      </c>
      <c r="E11" s="19">
        <f t="shared" si="5"/>
        <v>10683.21</v>
      </c>
      <c r="F11" s="2">
        <f t="shared" si="6"/>
        <v>838574.89</v>
      </c>
      <c r="G11" s="2">
        <f t="shared" si="7"/>
        <v>814584.1</v>
      </c>
      <c r="H11" s="14">
        <f t="shared" si="2"/>
        <v>10683.214352054794</v>
      </c>
      <c r="I11" s="16">
        <f t="shared" si="3"/>
        <v>4.3520547951629851E-3</v>
      </c>
    </row>
    <row r="12" spans="1:9" x14ac:dyDescent="0.25">
      <c r="A12" s="29">
        <v>42129</v>
      </c>
      <c r="B12" s="1">
        <f t="shared" si="4"/>
        <v>30</v>
      </c>
      <c r="C12" s="4">
        <f t="shared" si="0"/>
        <v>34674</v>
      </c>
      <c r="D12" s="2">
        <f t="shared" si="1"/>
        <v>24631.18</v>
      </c>
      <c r="E12" s="19">
        <f t="shared" si="5"/>
        <v>10042.82</v>
      </c>
      <c r="F12" s="2">
        <f t="shared" si="6"/>
        <v>814584.1</v>
      </c>
      <c r="G12" s="2">
        <f t="shared" si="7"/>
        <v>789952.91999999993</v>
      </c>
      <c r="H12" s="14">
        <f t="shared" si="2"/>
        <v>10042.817671232877</v>
      </c>
      <c r="I12" s="16">
        <f t="shared" si="3"/>
        <v>-2.3287671228899853E-3</v>
      </c>
    </row>
    <row r="13" spans="1:9" x14ac:dyDescent="0.25">
      <c r="A13" s="29">
        <v>42160</v>
      </c>
      <c r="B13" s="1">
        <f t="shared" si="4"/>
        <v>31</v>
      </c>
      <c r="C13" s="4">
        <f t="shared" si="0"/>
        <v>34674</v>
      </c>
      <c r="D13" s="2">
        <f t="shared" si="1"/>
        <v>24610.22</v>
      </c>
      <c r="E13" s="19">
        <f t="shared" si="5"/>
        <v>10063.780000000001</v>
      </c>
      <c r="F13" s="2">
        <f t="shared" si="6"/>
        <v>789952.91999999993</v>
      </c>
      <c r="G13" s="2">
        <f t="shared" si="7"/>
        <v>765342.7</v>
      </c>
      <c r="H13" s="14">
        <f t="shared" si="2"/>
        <v>10063.783775342465</v>
      </c>
      <c r="I13" s="16">
        <f t="shared" si="3"/>
        <v>3.7753424639959121E-3</v>
      </c>
    </row>
    <row r="14" spans="1:9" x14ac:dyDescent="0.25">
      <c r="A14" s="29">
        <v>42190</v>
      </c>
      <c r="B14" s="1">
        <f t="shared" si="4"/>
        <v>30</v>
      </c>
      <c r="C14" s="4">
        <f t="shared" si="0"/>
        <v>34674</v>
      </c>
      <c r="D14" s="2">
        <f t="shared" si="1"/>
        <v>25238.27</v>
      </c>
      <c r="E14" s="19">
        <f t="shared" si="5"/>
        <v>9435.73</v>
      </c>
      <c r="F14" s="2">
        <f t="shared" si="6"/>
        <v>765342.7</v>
      </c>
      <c r="G14" s="2">
        <f t="shared" si="7"/>
        <v>740104.42999999993</v>
      </c>
      <c r="H14" s="14">
        <f t="shared" si="2"/>
        <v>9435.731917808218</v>
      </c>
      <c r="I14" s="16">
        <f t="shared" si="3"/>
        <v>1.9178082184225786E-3</v>
      </c>
    </row>
    <row r="15" spans="1:9" x14ac:dyDescent="0.25">
      <c r="A15" s="29">
        <v>42221</v>
      </c>
      <c r="B15" s="1">
        <f t="shared" si="4"/>
        <v>31</v>
      </c>
      <c r="C15" s="4">
        <f t="shared" si="0"/>
        <v>34674</v>
      </c>
      <c r="D15" s="2">
        <f t="shared" si="1"/>
        <v>25245.27</v>
      </c>
      <c r="E15" s="19">
        <f t="shared" si="5"/>
        <v>9428.73</v>
      </c>
      <c r="F15" s="2">
        <f t="shared" si="6"/>
        <v>740104.42999999993</v>
      </c>
      <c r="G15" s="2">
        <f t="shared" si="7"/>
        <v>714859.15999999992</v>
      </c>
      <c r="H15" s="14">
        <f t="shared" si="2"/>
        <v>9428.7276698630121</v>
      </c>
      <c r="I15" s="16">
        <f t="shared" si="3"/>
        <v>-2.3301369874388911E-3</v>
      </c>
    </row>
    <row r="16" spans="1:9" x14ac:dyDescent="0.25">
      <c r="A16" s="29">
        <v>42252</v>
      </c>
      <c r="B16" s="1">
        <f t="shared" si="4"/>
        <v>31</v>
      </c>
      <c r="C16" s="4">
        <f t="shared" si="0"/>
        <v>34674</v>
      </c>
      <c r="D16" s="2">
        <f t="shared" si="1"/>
        <v>25566.89</v>
      </c>
      <c r="E16" s="19">
        <f t="shared" si="5"/>
        <v>9107.11</v>
      </c>
      <c r="F16" s="2">
        <f t="shared" si="6"/>
        <v>714859.15999999992</v>
      </c>
      <c r="G16" s="2">
        <f t="shared" si="7"/>
        <v>689292.2699999999</v>
      </c>
      <c r="H16" s="14">
        <f t="shared" si="2"/>
        <v>9107.1098465753421</v>
      </c>
      <c r="I16" s="16">
        <f t="shared" si="3"/>
        <v>-1.5342465849244036E-4</v>
      </c>
    </row>
    <row r="17" spans="1:9" x14ac:dyDescent="0.25">
      <c r="A17" s="29">
        <v>42282</v>
      </c>
      <c r="B17" s="1">
        <f t="shared" si="4"/>
        <v>30</v>
      </c>
      <c r="C17" s="4">
        <f t="shared" si="0"/>
        <v>34674</v>
      </c>
      <c r="D17" s="2">
        <f t="shared" si="1"/>
        <v>26175.879999999997</v>
      </c>
      <c r="E17" s="19">
        <f t="shared" si="5"/>
        <v>8498.1200000000008</v>
      </c>
      <c r="F17" s="2">
        <f t="shared" si="6"/>
        <v>689292.2699999999</v>
      </c>
      <c r="G17" s="2">
        <f t="shared" si="7"/>
        <v>663116.3899999999</v>
      </c>
      <c r="H17" s="14">
        <f t="shared" si="2"/>
        <v>8498.1238767123268</v>
      </c>
      <c r="I17" s="16">
        <f t="shared" si="3"/>
        <v>3.8767123260186054E-3</v>
      </c>
    </row>
    <row r="18" spans="1:9" x14ac:dyDescent="0.25">
      <c r="A18" s="29">
        <v>42313</v>
      </c>
      <c r="B18" s="1">
        <f t="shared" si="4"/>
        <v>31</v>
      </c>
      <c r="C18" s="4">
        <f t="shared" si="0"/>
        <v>34674</v>
      </c>
      <c r="D18" s="2">
        <f t="shared" si="1"/>
        <v>26226.080000000002</v>
      </c>
      <c r="E18" s="19">
        <f t="shared" si="5"/>
        <v>8447.92</v>
      </c>
      <c r="F18" s="2">
        <f t="shared" si="6"/>
        <v>663116.3899999999</v>
      </c>
      <c r="G18" s="2">
        <f t="shared" si="7"/>
        <v>636890.30999999994</v>
      </c>
      <c r="H18" s="14">
        <f t="shared" si="2"/>
        <v>8447.9211328767105</v>
      </c>
      <c r="I18" s="16">
        <f t="shared" si="3"/>
        <v>1.1328767104714643E-3</v>
      </c>
    </row>
    <row r="19" spans="1:9" x14ac:dyDescent="0.25">
      <c r="A19" s="29">
        <v>42343</v>
      </c>
      <c r="B19" s="1">
        <f t="shared" si="4"/>
        <v>30</v>
      </c>
      <c r="C19" s="4">
        <f t="shared" si="0"/>
        <v>34674</v>
      </c>
      <c r="D19" s="2">
        <f t="shared" si="1"/>
        <v>26821.93</v>
      </c>
      <c r="E19" s="19">
        <f t="shared" si="5"/>
        <v>7852.07</v>
      </c>
      <c r="F19" s="2">
        <f t="shared" si="6"/>
        <v>636890.30999999994</v>
      </c>
      <c r="G19" s="2">
        <f t="shared" si="7"/>
        <v>610068.37999999989</v>
      </c>
      <c r="H19" s="14">
        <f t="shared" si="2"/>
        <v>7852.0723150684917</v>
      </c>
      <c r="I19" s="16">
        <f t="shared" si="3"/>
        <v>2.315068491952843E-3</v>
      </c>
    </row>
    <row r="20" spans="1:9" x14ac:dyDescent="0.25">
      <c r="A20" s="29">
        <v>42374</v>
      </c>
      <c r="B20" s="1">
        <f t="shared" si="4"/>
        <v>31</v>
      </c>
      <c r="C20" s="4">
        <f t="shared" si="0"/>
        <v>34674</v>
      </c>
      <c r="D20" s="2">
        <f t="shared" si="1"/>
        <v>26901.9</v>
      </c>
      <c r="E20" s="19">
        <f t="shared" si="5"/>
        <v>7772.1</v>
      </c>
      <c r="F20" s="2">
        <f t="shared" si="6"/>
        <v>610068.37999999989</v>
      </c>
      <c r="G20" s="2">
        <f t="shared" si="7"/>
        <v>583166.47999999986</v>
      </c>
      <c r="H20" s="14">
        <f t="shared" si="2"/>
        <v>7772.1040191780803</v>
      </c>
      <c r="I20" s="16">
        <f t="shared" si="3"/>
        <v>4.0191780799432308E-3</v>
      </c>
    </row>
    <row r="21" spans="1:9" x14ac:dyDescent="0.25">
      <c r="A21" s="29">
        <v>42405</v>
      </c>
      <c r="B21" s="1">
        <f t="shared" si="4"/>
        <v>31</v>
      </c>
      <c r="C21" s="4">
        <f t="shared" si="0"/>
        <v>34674</v>
      </c>
      <c r="D21" s="2">
        <f t="shared" si="1"/>
        <v>27244.62</v>
      </c>
      <c r="E21" s="19">
        <f t="shared" si="5"/>
        <v>7429.38</v>
      </c>
      <c r="F21" s="2">
        <f t="shared" si="6"/>
        <v>583166.47999999986</v>
      </c>
      <c r="G21" s="2">
        <f t="shared" si="7"/>
        <v>555921.85999999987</v>
      </c>
      <c r="H21" s="14">
        <f t="shared" si="2"/>
        <v>7429.3811835616416</v>
      </c>
      <c r="I21" s="16">
        <f t="shared" si="3"/>
        <v>1.183561641482811E-3</v>
      </c>
    </row>
    <row r="22" spans="1:9" x14ac:dyDescent="0.25">
      <c r="A22" s="29">
        <v>42434</v>
      </c>
      <c r="B22" s="1">
        <f t="shared" si="4"/>
        <v>29</v>
      </c>
      <c r="C22" s="4">
        <f t="shared" si="0"/>
        <v>34674</v>
      </c>
      <c r="D22" s="2">
        <f t="shared" si="1"/>
        <v>28048.63</v>
      </c>
      <c r="E22" s="19">
        <f t="shared" si="5"/>
        <v>6625.37</v>
      </c>
      <c r="F22" s="2">
        <f t="shared" si="6"/>
        <v>555921.85999999987</v>
      </c>
      <c r="G22" s="2">
        <f t="shared" si="7"/>
        <v>527873.22999999986</v>
      </c>
      <c r="H22" s="14">
        <f t="shared" si="2"/>
        <v>6625.3701123287656</v>
      </c>
      <c r="I22" s="16">
        <f t="shared" si="3"/>
        <v>1.1232876568101346E-4</v>
      </c>
    </row>
    <row r="23" spans="1:9" x14ac:dyDescent="0.25">
      <c r="A23" s="29">
        <v>42465</v>
      </c>
      <c r="B23" s="1">
        <f t="shared" si="4"/>
        <v>31</v>
      </c>
      <c r="C23" s="4">
        <f t="shared" si="0"/>
        <v>34674</v>
      </c>
      <c r="D23" s="2">
        <f t="shared" si="1"/>
        <v>27949.040000000001</v>
      </c>
      <c r="E23" s="19">
        <f t="shared" si="5"/>
        <v>6724.96</v>
      </c>
      <c r="F23" s="2">
        <f t="shared" si="6"/>
        <v>527873.22999999986</v>
      </c>
      <c r="G23" s="2">
        <f t="shared" si="7"/>
        <v>499924.18999999989</v>
      </c>
      <c r="H23" s="14">
        <f t="shared" si="2"/>
        <v>6724.9603273972589</v>
      </c>
      <c r="I23" s="16">
        <f t="shared" si="3"/>
        <v>3.2739725884312065E-4</v>
      </c>
    </row>
    <row r="24" spans="1:9" x14ac:dyDescent="0.25">
      <c r="A24" s="29">
        <v>42495</v>
      </c>
      <c r="B24" s="1">
        <f t="shared" si="4"/>
        <v>30</v>
      </c>
      <c r="C24" s="4">
        <f t="shared" si="0"/>
        <v>34674</v>
      </c>
      <c r="D24" s="2">
        <f t="shared" si="1"/>
        <v>28510.55</v>
      </c>
      <c r="E24" s="19">
        <f t="shared" si="5"/>
        <v>6163.45</v>
      </c>
      <c r="F24" s="2">
        <f t="shared" si="6"/>
        <v>499924.18999999989</v>
      </c>
      <c r="G24" s="2">
        <f t="shared" si="7"/>
        <v>471413.6399999999</v>
      </c>
      <c r="H24" s="14">
        <f t="shared" si="2"/>
        <v>6163.4489178082176</v>
      </c>
      <c r="I24" s="16">
        <f t="shared" si="3"/>
        <v>-1.0821917821886018E-3</v>
      </c>
    </row>
    <row r="25" spans="1:9" x14ac:dyDescent="0.25">
      <c r="A25" s="29">
        <v>42526</v>
      </c>
      <c r="B25" s="1">
        <f t="shared" si="4"/>
        <v>31</v>
      </c>
      <c r="C25" s="4">
        <f t="shared" si="0"/>
        <v>34674</v>
      </c>
      <c r="D25" s="2">
        <f t="shared" si="1"/>
        <v>28668.32</v>
      </c>
      <c r="E25" s="19">
        <f t="shared" si="5"/>
        <v>6005.68</v>
      </c>
      <c r="F25" s="2">
        <f t="shared" si="6"/>
        <v>471413.6399999999</v>
      </c>
      <c r="G25" s="2">
        <f t="shared" si="7"/>
        <v>442745.31999999989</v>
      </c>
      <c r="H25" s="14">
        <f t="shared" si="2"/>
        <v>6005.6806191780806</v>
      </c>
      <c r="I25" s="16">
        <f t="shared" si="3"/>
        <v>6.1917808034195332E-4</v>
      </c>
    </row>
    <row r="26" spans="1:9" x14ac:dyDescent="0.25">
      <c r="A26" s="29">
        <v>42556</v>
      </c>
      <c r="B26" s="1">
        <f t="shared" si="4"/>
        <v>30</v>
      </c>
      <c r="C26" s="4">
        <f t="shared" si="0"/>
        <v>34674</v>
      </c>
      <c r="D26" s="2">
        <f t="shared" si="1"/>
        <v>29215.5</v>
      </c>
      <c r="E26" s="19">
        <f t="shared" si="5"/>
        <v>5458.5</v>
      </c>
      <c r="F26" s="2">
        <f t="shared" si="6"/>
        <v>442745.31999999989</v>
      </c>
      <c r="G26" s="2">
        <f t="shared" si="7"/>
        <v>413529.81999999989</v>
      </c>
      <c r="H26" s="14">
        <f t="shared" si="2"/>
        <v>5458.503945205478</v>
      </c>
      <c r="I26" s="16">
        <f t="shared" si="3"/>
        <v>3.9452054779758328E-3</v>
      </c>
    </row>
    <row r="27" spans="1:9" x14ac:dyDescent="0.25">
      <c r="A27" s="29">
        <v>42587</v>
      </c>
      <c r="B27" s="1">
        <f t="shared" si="4"/>
        <v>31</v>
      </c>
      <c r="C27" s="4">
        <f t="shared" si="0"/>
        <v>34674</v>
      </c>
      <c r="D27" s="2">
        <f t="shared" si="1"/>
        <v>29405.739999999998</v>
      </c>
      <c r="E27" s="19">
        <f t="shared" si="5"/>
        <v>5268.26</v>
      </c>
      <c r="F27" s="2">
        <f t="shared" si="6"/>
        <v>413529.81999999989</v>
      </c>
      <c r="G27" s="2">
        <f t="shared" si="7"/>
        <v>384124.0799999999</v>
      </c>
      <c r="H27" s="14">
        <f t="shared" si="2"/>
        <v>5268.2566109589025</v>
      </c>
      <c r="I27" s="16">
        <f t="shared" si="3"/>
        <v>-3.3890410977619467E-3</v>
      </c>
    </row>
    <row r="28" spans="1:9" x14ac:dyDescent="0.25">
      <c r="A28" s="29">
        <v>42618</v>
      </c>
      <c r="B28" s="1">
        <f t="shared" si="4"/>
        <v>31</v>
      </c>
      <c r="C28" s="4">
        <f t="shared" si="0"/>
        <v>34674</v>
      </c>
      <c r="D28" s="2">
        <f t="shared" si="1"/>
        <v>29780.36</v>
      </c>
      <c r="E28" s="19">
        <f t="shared" si="5"/>
        <v>4893.6400000000003</v>
      </c>
      <c r="F28" s="2">
        <f t="shared" si="6"/>
        <v>384124.0799999999</v>
      </c>
      <c r="G28" s="2">
        <f t="shared" si="7"/>
        <v>354343.71999999991</v>
      </c>
      <c r="H28" s="14">
        <f t="shared" si="2"/>
        <v>4893.6355397260259</v>
      </c>
      <c r="I28" s="16">
        <f t="shared" si="3"/>
        <v>-4.4602739744732389E-3</v>
      </c>
    </row>
    <row r="29" spans="1:9" x14ac:dyDescent="0.25">
      <c r="A29" s="29">
        <v>42648</v>
      </c>
      <c r="B29" s="1">
        <f t="shared" si="4"/>
        <v>30</v>
      </c>
      <c r="C29" s="4">
        <f t="shared" si="0"/>
        <v>34674</v>
      </c>
      <c r="D29" s="2">
        <f t="shared" si="1"/>
        <v>30305.38</v>
      </c>
      <c r="E29" s="19">
        <f t="shared" si="5"/>
        <v>4368.62</v>
      </c>
      <c r="F29" s="2">
        <f t="shared" si="6"/>
        <v>354343.71999999991</v>
      </c>
      <c r="G29" s="2">
        <f t="shared" si="7"/>
        <v>324038.33999999991</v>
      </c>
      <c r="H29" s="14">
        <f t="shared" si="2"/>
        <v>4368.6212054794505</v>
      </c>
      <c r="I29" s="16">
        <f t="shared" si="3"/>
        <v>1.2054794506184408E-3</v>
      </c>
    </row>
    <row r="30" spans="1:9" x14ac:dyDescent="0.25">
      <c r="A30" s="29">
        <v>42679</v>
      </c>
      <c r="B30" s="1">
        <f t="shared" si="4"/>
        <v>31</v>
      </c>
      <c r="C30" s="4">
        <f t="shared" si="0"/>
        <v>34674</v>
      </c>
      <c r="D30" s="2">
        <f t="shared" si="1"/>
        <v>30545.84</v>
      </c>
      <c r="E30" s="19">
        <f t="shared" si="5"/>
        <v>4128.16</v>
      </c>
      <c r="F30" s="2">
        <f t="shared" si="6"/>
        <v>324038.33999999991</v>
      </c>
      <c r="G30" s="2">
        <f t="shared" si="7"/>
        <v>293492.49999999988</v>
      </c>
      <c r="H30" s="14">
        <f t="shared" si="2"/>
        <v>4128.159673972601</v>
      </c>
      <c r="I30" s="16">
        <f t="shared" si="3"/>
        <v>-3.2602739884168841E-4</v>
      </c>
    </row>
    <row r="31" spans="1:9" x14ac:dyDescent="0.25">
      <c r="A31" s="29">
        <v>42709</v>
      </c>
      <c r="B31" s="1">
        <f t="shared" si="4"/>
        <v>30</v>
      </c>
      <c r="C31" s="4">
        <f t="shared" si="0"/>
        <v>34674</v>
      </c>
      <c r="D31" s="2">
        <f t="shared" si="1"/>
        <v>31055.599999999999</v>
      </c>
      <c r="E31" s="19">
        <f t="shared" si="5"/>
        <v>3618.4</v>
      </c>
      <c r="F31" s="2">
        <f t="shared" si="6"/>
        <v>293492.49999999988</v>
      </c>
      <c r="G31" s="2">
        <f t="shared" si="7"/>
        <v>262436.89999999991</v>
      </c>
      <c r="H31" s="14">
        <f t="shared" si="2"/>
        <v>3618.4006849315051</v>
      </c>
      <c r="I31" s="16">
        <f t="shared" si="3"/>
        <v>6.849315050203586E-4</v>
      </c>
    </row>
    <row r="32" spans="1:9" x14ac:dyDescent="0.25">
      <c r="A32" s="29">
        <v>42740</v>
      </c>
      <c r="B32" s="1">
        <f t="shared" si="4"/>
        <v>31</v>
      </c>
      <c r="C32" s="4">
        <f t="shared" si="0"/>
        <v>34674</v>
      </c>
      <c r="D32" s="2">
        <f t="shared" si="1"/>
        <v>31330.63</v>
      </c>
      <c r="E32" s="19">
        <f t="shared" si="5"/>
        <v>3343.37</v>
      </c>
      <c r="F32" s="2">
        <f t="shared" si="6"/>
        <v>262436.89999999991</v>
      </c>
      <c r="G32" s="2">
        <f t="shared" si="7"/>
        <v>231106.2699999999</v>
      </c>
      <c r="H32" s="14">
        <f t="shared" si="2"/>
        <v>3343.3742054794507</v>
      </c>
      <c r="I32" s="16">
        <f t="shared" si="3"/>
        <v>4.2054794507748738E-3</v>
      </c>
    </row>
    <row r="33" spans="1:9" x14ac:dyDescent="0.25">
      <c r="A33" s="29">
        <v>42771</v>
      </c>
      <c r="B33" s="1">
        <f t="shared" si="4"/>
        <v>31</v>
      </c>
      <c r="C33" s="4">
        <f t="shared" si="0"/>
        <v>34674</v>
      </c>
      <c r="D33" s="2">
        <f t="shared" si="1"/>
        <v>31729.77</v>
      </c>
      <c r="E33" s="19">
        <f t="shared" si="5"/>
        <v>2944.23</v>
      </c>
      <c r="F33" s="2">
        <f t="shared" si="6"/>
        <v>231106.2699999999</v>
      </c>
      <c r="G33" s="2">
        <f t="shared" si="7"/>
        <v>199376.49999999991</v>
      </c>
      <c r="H33" s="14">
        <f t="shared" si="2"/>
        <v>2944.2305630136971</v>
      </c>
      <c r="I33" s="16">
        <f t="shared" si="3"/>
        <v>5.6301369704669924E-4</v>
      </c>
    </row>
    <row r="34" spans="1:9" x14ac:dyDescent="0.25">
      <c r="A34" s="29">
        <v>42799</v>
      </c>
      <c r="B34" s="1">
        <f t="shared" si="4"/>
        <v>28</v>
      </c>
      <c r="C34" s="4">
        <f t="shared" si="0"/>
        <v>34674</v>
      </c>
      <c r="D34" s="2">
        <f t="shared" si="1"/>
        <v>32379.8</v>
      </c>
      <c r="E34" s="19">
        <f t="shared" si="5"/>
        <v>2294.1999999999998</v>
      </c>
      <c r="F34" s="2">
        <f t="shared" si="6"/>
        <v>199376.49999999991</v>
      </c>
      <c r="G34" s="2">
        <f t="shared" si="7"/>
        <v>166996.69999999992</v>
      </c>
      <c r="H34" s="14"/>
      <c r="I34" s="16"/>
    </row>
    <row r="35" spans="1:9" x14ac:dyDescent="0.25">
      <c r="A35" s="29">
        <v>42830</v>
      </c>
      <c r="B35" s="1">
        <f t="shared" si="4"/>
        <v>31</v>
      </c>
      <c r="C35" s="4">
        <f t="shared" si="0"/>
        <v>34674</v>
      </c>
      <c r="D35" s="2">
        <f t="shared" si="1"/>
        <v>32546.510000000002</v>
      </c>
      <c r="E35" s="19">
        <f t="shared" si="5"/>
        <v>2127.4899999999998</v>
      </c>
      <c r="F35" s="2">
        <f t="shared" si="6"/>
        <v>166996.69999999992</v>
      </c>
      <c r="G35" s="2">
        <f t="shared" si="7"/>
        <v>134450.18999999992</v>
      </c>
      <c r="H35" s="14"/>
      <c r="I35" s="16"/>
    </row>
    <row r="36" spans="1:9" x14ac:dyDescent="0.25">
      <c r="A36" s="29">
        <v>42860</v>
      </c>
      <c r="B36" s="1">
        <f t="shared" si="4"/>
        <v>30</v>
      </c>
      <c r="C36" s="4">
        <f t="shared" si="0"/>
        <v>34674</v>
      </c>
      <c r="D36" s="2">
        <f t="shared" si="1"/>
        <v>33016.39</v>
      </c>
      <c r="E36" s="19">
        <f t="shared" si="5"/>
        <v>1657.61</v>
      </c>
      <c r="F36" s="2">
        <f t="shared" si="6"/>
        <v>134450.18999999992</v>
      </c>
      <c r="G36" s="2">
        <f t="shared" si="7"/>
        <v>101433.79999999992</v>
      </c>
      <c r="H36" s="14"/>
      <c r="I36" s="16"/>
    </row>
    <row r="37" spans="1:9" x14ac:dyDescent="0.25">
      <c r="A37" s="29">
        <v>42891</v>
      </c>
      <c r="B37" s="1">
        <f t="shared" si="4"/>
        <v>31</v>
      </c>
      <c r="C37" s="4">
        <f t="shared" si="0"/>
        <v>34674</v>
      </c>
      <c r="D37" s="2">
        <f t="shared" si="1"/>
        <v>33381.760000000002</v>
      </c>
      <c r="E37" s="19">
        <f t="shared" si="5"/>
        <v>1292.24</v>
      </c>
      <c r="F37" s="2">
        <f t="shared" si="6"/>
        <v>101433.79999999992</v>
      </c>
      <c r="G37" s="2">
        <f t="shared" si="7"/>
        <v>68052.039999999921</v>
      </c>
      <c r="H37" s="14"/>
      <c r="I37" s="16"/>
    </row>
    <row r="38" spans="1:9" x14ac:dyDescent="0.25">
      <c r="A38" s="29">
        <v>42921</v>
      </c>
      <c r="B38" s="1">
        <f t="shared" si="4"/>
        <v>30</v>
      </c>
      <c r="C38" s="4">
        <f t="shared" si="0"/>
        <v>34674</v>
      </c>
      <c r="D38" s="2">
        <f t="shared" si="1"/>
        <v>33835</v>
      </c>
      <c r="E38" s="19">
        <f t="shared" si="5"/>
        <v>839</v>
      </c>
      <c r="F38" s="2">
        <f t="shared" si="6"/>
        <v>68052.039999999921</v>
      </c>
      <c r="G38" s="2">
        <f t="shared" si="7"/>
        <v>34217.039999999921</v>
      </c>
      <c r="H38" s="14"/>
      <c r="I38" s="16"/>
    </row>
    <row r="39" spans="1:9" x14ac:dyDescent="0.25">
      <c r="A39" s="29">
        <v>42952</v>
      </c>
      <c r="B39" s="1">
        <f t="shared" si="4"/>
        <v>31</v>
      </c>
      <c r="C39" s="4">
        <f t="shared" si="0"/>
        <v>34674</v>
      </c>
      <c r="D39" s="2">
        <f t="shared" si="1"/>
        <v>34217.039999999921</v>
      </c>
      <c r="E39" s="19">
        <v>456.96000000008064</v>
      </c>
      <c r="F39" s="2">
        <f t="shared" si="6"/>
        <v>34217.039999999921</v>
      </c>
      <c r="G39" s="2">
        <f t="shared" si="7"/>
        <v>0</v>
      </c>
      <c r="H39" s="14"/>
      <c r="I39" s="16"/>
    </row>
    <row r="40" spans="1:9" x14ac:dyDescent="0.25">
      <c r="A40" s="70">
        <v>42252</v>
      </c>
      <c r="B40" s="98">
        <f>_xlfn.DAYS(A16,A15)</f>
        <v>31</v>
      </c>
      <c r="C40" s="141">
        <f t="shared" si="0"/>
        <v>34674</v>
      </c>
      <c r="D40" s="142">
        <f t="shared" ref="D40:D49" si="8">C40-E40</f>
        <v>25566.89</v>
      </c>
      <c r="E40" s="143">
        <f>ROUND(F16*$B$2*B16/365,2)</f>
        <v>9107.11</v>
      </c>
      <c r="F40" s="142">
        <f>G15</f>
        <v>714859.15999999992</v>
      </c>
      <c r="G40" s="142">
        <f t="shared" ref="G40:G49" si="9">F40-D40</f>
        <v>689292.2699999999</v>
      </c>
    </row>
    <row r="41" spans="1:9" x14ac:dyDescent="0.25">
      <c r="A41" s="29">
        <v>42282</v>
      </c>
      <c r="B41" s="1">
        <f t="shared" ref="B41:B63" si="10">_xlfn.DAYS(A41,A40)</f>
        <v>30</v>
      </c>
      <c r="C41" s="4">
        <f t="shared" ref="C41:C48" si="11">$E$2</f>
        <v>67462</v>
      </c>
      <c r="D41" s="2">
        <f t="shared" si="8"/>
        <v>58963.88</v>
      </c>
      <c r="E41" s="19">
        <f t="shared" ref="E41:E62" si="12">ROUND(F41*$B$2*B41/365,2)</f>
        <v>8498.1200000000008</v>
      </c>
      <c r="F41" s="2">
        <f t="shared" ref="F41:F49" si="13">G40</f>
        <v>689292.2699999999</v>
      </c>
      <c r="G41" s="2">
        <f t="shared" si="9"/>
        <v>630328.3899999999</v>
      </c>
    </row>
    <row r="42" spans="1:9" x14ac:dyDescent="0.25">
      <c r="A42" s="29">
        <v>42313</v>
      </c>
      <c r="B42" s="1">
        <f t="shared" si="10"/>
        <v>31</v>
      </c>
      <c r="C42" s="4">
        <f t="shared" si="11"/>
        <v>67462</v>
      </c>
      <c r="D42" s="2">
        <f t="shared" si="8"/>
        <v>59431.79</v>
      </c>
      <c r="E42" s="19">
        <f t="shared" si="12"/>
        <v>8030.21</v>
      </c>
      <c r="F42" s="2">
        <f t="shared" si="13"/>
        <v>630328.3899999999</v>
      </c>
      <c r="G42" s="2">
        <f t="shared" si="9"/>
        <v>570896.59999999986</v>
      </c>
    </row>
    <row r="43" spans="1:9" x14ac:dyDescent="0.25">
      <c r="A43" s="29">
        <v>42343</v>
      </c>
      <c r="B43" s="1">
        <f t="shared" si="10"/>
        <v>30</v>
      </c>
      <c r="C43" s="4">
        <f t="shared" si="11"/>
        <v>67462</v>
      </c>
      <c r="D43" s="2">
        <f t="shared" si="8"/>
        <v>60423.55</v>
      </c>
      <c r="E43" s="19">
        <f t="shared" si="12"/>
        <v>7038.45</v>
      </c>
      <c r="F43" s="2">
        <f t="shared" si="13"/>
        <v>570896.59999999986</v>
      </c>
      <c r="G43" s="2">
        <f t="shared" si="9"/>
        <v>510473.04999999987</v>
      </c>
    </row>
    <row r="44" spans="1:9" x14ac:dyDescent="0.25">
      <c r="A44" s="29">
        <v>42374</v>
      </c>
      <c r="B44" s="1">
        <f t="shared" si="10"/>
        <v>31</v>
      </c>
      <c r="C44" s="4">
        <f t="shared" si="11"/>
        <v>67462</v>
      </c>
      <c r="D44" s="2">
        <f t="shared" si="8"/>
        <v>60958.71</v>
      </c>
      <c r="E44" s="19">
        <f t="shared" si="12"/>
        <v>6503.29</v>
      </c>
      <c r="F44" s="2">
        <f t="shared" si="13"/>
        <v>510473.04999999987</v>
      </c>
      <c r="G44" s="2">
        <f t="shared" si="9"/>
        <v>449514.33999999985</v>
      </c>
    </row>
    <row r="45" spans="1:9" x14ac:dyDescent="0.25">
      <c r="A45" s="29">
        <v>42405</v>
      </c>
      <c r="B45" s="1">
        <f t="shared" si="10"/>
        <v>31</v>
      </c>
      <c r="C45" s="4">
        <f t="shared" si="11"/>
        <v>67462</v>
      </c>
      <c r="D45" s="2">
        <f t="shared" si="8"/>
        <v>61735.31</v>
      </c>
      <c r="E45" s="19">
        <f t="shared" si="12"/>
        <v>5726.69</v>
      </c>
      <c r="F45" s="2">
        <f t="shared" si="13"/>
        <v>449514.33999999985</v>
      </c>
      <c r="G45" s="2">
        <f t="shared" si="9"/>
        <v>387779.02999999985</v>
      </c>
    </row>
    <row r="46" spans="1:9" x14ac:dyDescent="0.25">
      <c r="A46" s="29">
        <v>42434</v>
      </c>
      <c r="B46" s="1">
        <f t="shared" si="10"/>
        <v>29</v>
      </c>
      <c r="C46" s="4">
        <f t="shared" si="11"/>
        <v>67462</v>
      </c>
      <c r="D46" s="2">
        <f t="shared" si="8"/>
        <v>62840.520000000004</v>
      </c>
      <c r="E46" s="19">
        <f t="shared" si="12"/>
        <v>4621.4799999999996</v>
      </c>
      <c r="F46" s="2">
        <f t="shared" si="13"/>
        <v>387779.02999999985</v>
      </c>
      <c r="G46" s="2">
        <f t="shared" si="9"/>
        <v>324938.50999999983</v>
      </c>
    </row>
    <row r="47" spans="1:9" x14ac:dyDescent="0.25">
      <c r="A47" s="29">
        <v>42465</v>
      </c>
      <c r="B47" s="1">
        <f t="shared" si="10"/>
        <v>31</v>
      </c>
      <c r="C47" s="4">
        <f t="shared" si="11"/>
        <v>67462</v>
      </c>
      <c r="D47" s="2">
        <f t="shared" si="8"/>
        <v>63322.37</v>
      </c>
      <c r="E47" s="19">
        <f t="shared" si="12"/>
        <v>4139.63</v>
      </c>
      <c r="F47" s="2">
        <f t="shared" si="13"/>
        <v>324938.50999999983</v>
      </c>
      <c r="G47" s="2">
        <f t="shared" si="9"/>
        <v>261616.13999999984</v>
      </c>
    </row>
    <row r="48" spans="1:9" x14ac:dyDescent="0.25">
      <c r="A48" s="29">
        <v>42495</v>
      </c>
      <c r="B48" s="1">
        <f t="shared" si="10"/>
        <v>30</v>
      </c>
      <c r="C48" s="4">
        <f t="shared" si="11"/>
        <v>67462</v>
      </c>
      <c r="D48" s="2">
        <f t="shared" si="8"/>
        <v>64236.6</v>
      </c>
      <c r="E48" s="19">
        <f t="shared" si="12"/>
        <v>3225.4</v>
      </c>
      <c r="F48" s="2">
        <f t="shared" si="13"/>
        <v>261616.13999999984</v>
      </c>
      <c r="G48" s="2">
        <f t="shared" si="9"/>
        <v>197379.53999999983</v>
      </c>
    </row>
    <row r="49" spans="1:7" x14ac:dyDescent="0.25">
      <c r="A49" s="29">
        <v>42526</v>
      </c>
      <c r="B49" s="1">
        <f t="shared" si="10"/>
        <v>31</v>
      </c>
      <c r="C49" s="4">
        <f>$H$2</f>
        <v>14518</v>
      </c>
      <c r="D49" s="2">
        <f t="shared" si="8"/>
        <v>12003.44</v>
      </c>
      <c r="E49" s="19">
        <f t="shared" si="12"/>
        <v>2514.56</v>
      </c>
      <c r="F49" s="2">
        <f t="shared" si="13"/>
        <v>197379.53999999983</v>
      </c>
      <c r="G49" s="2">
        <f t="shared" si="9"/>
        <v>185376.09999999983</v>
      </c>
    </row>
    <row r="50" spans="1:7" x14ac:dyDescent="0.25">
      <c r="A50" s="29">
        <v>42556</v>
      </c>
      <c r="B50" s="1">
        <f t="shared" si="10"/>
        <v>30</v>
      </c>
      <c r="C50" s="4">
        <f t="shared" ref="C50:C63" si="14">$H$2</f>
        <v>14518</v>
      </c>
      <c r="D50" s="2">
        <f t="shared" ref="D50:D63" si="15">C50-E50</f>
        <v>12232.54</v>
      </c>
      <c r="E50" s="19">
        <f t="shared" si="12"/>
        <v>2285.46</v>
      </c>
      <c r="F50" s="2">
        <f t="shared" ref="F50:F63" si="16">G49</f>
        <v>185376.09999999983</v>
      </c>
      <c r="G50" s="2">
        <f t="shared" ref="G50:G63" si="17">F50-D50</f>
        <v>173143.55999999982</v>
      </c>
    </row>
    <row r="51" spans="1:7" x14ac:dyDescent="0.25">
      <c r="A51" s="29">
        <v>42587</v>
      </c>
      <c r="B51" s="1">
        <f t="shared" si="10"/>
        <v>31</v>
      </c>
      <c r="C51" s="4">
        <f t="shared" si="14"/>
        <v>14518</v>
      </c>
      <c r="D51" s="2">
        <f t="shared" si="15"/>
        <v>12312.2</v>
      </c>
      <c r="E51" s="19">
        <f t="shared" si="12"/>
        <v>2205.8000000000002</v>
      </c>
      <c r="F51" s="2">
        <f t="shared" si="16"/>
        <v>173143.55999999982</v>
      </c>
      <c r="G51" s="2">
        <f t="shared" si="17"/>
        <v>160831.35999999981</v>
      </c>
    </row>
    <row r="52" spans="1:7" x14ac:dyDescent="0.25">
      <c r="A52" s="29">
        <v>42618</v>
      </c>
      <c r="B52" s="1">
        <f t="shared" si="10"/>
        <v>31</v>
      </c>
      <c r="C52" s="4">
        <f t="shared" si="14"/>
        <v>14518</v>
      </c>
      <c r="D52" s="2">
        <f t="shared" si="15"/>
        <v>12469.05</v>
      </c>
      <c r="E52" s="19">
        <f t="shared" si="12"/>
        <v>2048.9499999999998</v>
      </c>
      <c r="F52" s="2">
        <f t="shared" si="16"/>
        <v>160831.35999999981</v>
      </c>
      <c r="G52" s="2">
        <f t="shared" si="17"/>
        <v>148362.30999999982</v>
      </c>
    </row>
    <row r="53" spans="1:7" x14ac:dyDescent="0.25">
      <c r="A53" s="29">
        <v>42648</v>
      </c>
      <c r="B53" s="1">
        <f t="shared" si="10"/>
        <v>30</v>
      </c>
      <c r="C53" s="4">
        <f t="shared" si="14"/>
        <v>14518</v>
      </c>
      <c r="D53" s="2">
        <f t="shared" si="15"/>
        <v>12688.880000000001</v>
      </c>
      <c r="E53" s="19">
        <f t="shared" si="12"/>
        <v>1829.12</v>
      </c>
      <c r="F53" s="2">
        <f t="shared" si="16"/>
        <v>148362.30999999982</v>
      </c>
      <c r="G53" s="2">
        <f t="shared" si="17"/>
        <v>135673.42999999982</v>
      </c>
    </row>
    <row r="54" spans="1:7" x14ac:dyDescent="0.25">
      <c r="A54" s="29">
        <v>42679</v>
      </c>
      <c r="B54" s="1">
        <f t="shared" si="10"/>
        <v>31</v>
      </c>
      <c r="C54" s="4">
        <f t="shared" si="14"/>
        <v>14518</v>
      </c>
      <c r="D54" s="2">
        <f t="shared" si="15"/>
        <v>12789.56</v>
      </c>
      <c r="E54" s="19">
        <f t="shared" si="12"/>
        <v>1728.44</v>
      </c>
      <c r="F54" s="2">
        <f t="shared" si="16"/>
        <v>135673.42999999982</v>
      </c>
      <c r="G54" s="2">
        <f t="shared" si="17"/>
        <v>122883.86999999982</v>
      </c>
    </row>
    <row r="55" spans="1:7" x14ac:dyDescent="0.25">
      <c r="A55" s="29">
        <v>42709</v>
      </c>
      <c r="B55" s="1">
        <f t="shared" si="10"/>
        <v>30</v>
      </c>
      <c r="C55" s="4">
        <f t="shared" si="14"/>
        <v>14518</v>
      </c>
      <c r="D55" s="2">
        <f t="shared" si="15"/>
        <v>13002.99</v>
      </c>
      <c r="E55" s="19">
        <f t="shared" si="12"/>
        <v>1515.01</v>
      </c>
      <c r="F55" s="2">
        <f t="shared" si="16"/>
        <v>122883.86999999982</v>
      </c>
      <c r="G55" s="2">
        <f t="shared" si="17"/>
        <v>109880.87999999982</v>
      </c>
    </row>
    <row r="56" spans="1:7" x14ac:dyDescent="0.25">
      <c r="A56" s="29">
        <v>42740</v>
      </c>
      <c r="B56" s="1">
        <f t="shared" si="10"/>
        <v>31</v>
      </c>
      <c r="C56" s="4">
        <f t="shared" si="14"/>
        <v>14518</v>
      </c>
      <c r="D56" s="2">
        <f t="shared" si="15"/>
        <v>13118.15</v>
      </c>
      <c r="E56" s="19">
        <f t="shared" si="12"/>
        <v>1399.85</v>
      </c>
      <c r="F56" s="2">
        <f t="shared" si="16"/>
        <v>109880.87999999982</v>
      </c>
      <c r="G56" s="2">
        <f t="shared" si="17"/>
        <v>96762.729999999821</v>
      </c>
    </row>
    <row r="57" spans="1:7" x14ac:dyDescent="0.25">
      <c r="A57" s="29">
        <v>42771</v>
      </c>
      <c r="B57" s="1">
        <f t="shared" si="10"/>
        <v>31</v>
      </c>
      <c r="C57" s="4">
        <f t="shared" si="14"/>
        <v>14518</v>
      </c>
      <c r="D57" s="2">
        <f t="shared" si="15"/>
        <v>13285.27</v>
      </c>
      <c r="E57" s="19">
        <f t="shared" si="12"/>
        <v>1232.73</v>
      </c>
      <c r="F57" s="2">
        <f t="shared" si="16"/>
        <v>96762.729999999821</v>
      </c>
      <c r="G57" s="2">
        <f t="shared" si="17"/>
        <v>83477.459999999817</v>
      </c>
    </row>
    <row r="58" spans="1:7" x14ac:dyDescent="0.25">
      <c r="A58" s="29">
        <v>42799</v>
      </c>
      <c r="B58" s="1">
        <f t="shared" si="10"/>
        <v>28</v>
      </c>
      <c r="C58" s="4">
        <f t="shared" si="14"/>
        <v>14518</v>
      </c>
      <c r="D58" s="2">
        <f t="shared" si="15"/>
        <v>13557.44</v>
      </c>
      <c r="E58" s="19">
        <f t="shared" si="12"/>
        <v>960.56</v>
      </c>
      <c r="F58" s="2">
        <f t="shared" si="16"/>
        <v>83477.459999999817</v>
      </c>
      <c r="G58" s="2">
        <f t="shared" si="17"/>
        <v>69920.019999999815</v>
      </c>
    </row>
    <row r="59" spans="1:7" x14ac:dyDescent="0.25">
      <c r="A59" s="29">
        <v>42830</v>
      </c>
      <c r="B59" s="1">
        <f t="shared" si="10"/>
        <v>31</v>
      </c>
      <c r="C59" s="4">
        <f t="shared" si="14"/>
        <v>14518</v>
      </c>
      <c r="D59" s="2">
        <f t="shared" si="15"/>
        <v>13627.24</v>
      </c>
      <c r="E59" s="19">
        <f t="shared" si="12"/>
        <v>890.76</v>
      </c>
      <c r="F59" s="2">
        <f t="shared" si="16"/>
        <v>69920.019999999815</v>
      </c>
      <c r="G59" s="2">
        <f t="shared" si="17"/>
        <v>56292.779999999817</v>
      </c>
    </row>
    <row r="60" spans="1:7" x14ac:dyDescent="0.25">
      <c r="A60" s="29">
        <v>42860</v>
      </c>
      <c r="B60" s="1">
        <f t="shared" si="10"/>
        <v>30</v>
      </c>
      <c r="C60" s="4">
        <f t="shared" si="14"/>
        <v>14518</v>
      </c>
      <c r="D60" s="2">
        <f t="shared" si="15"/>
        <v>13823.98</v>
      </c>
      <c r="E60" s="19">
        <f t="shared" si="12"/>
        <v>694.02</v>
      </c>
      <c r="F60" s="2">
        <f t="shared" si="16"/>
        <v>56292.779999999817</v>
      </c>
      <c r="G60" s="2">
        <f t="shared" si="17"/>
        <v>42468.799999999814</v>
      </c>
    </row>
    <row r="61" spans="1:7" x14ac:dyDescent="0.25">
      <c r="A61" s="29">
        <v>42891</v>
      </c>
      <c r="B61" s="1">
        <f t="shared" si="10"/>
        <v>31</v>
      </c>
      <c r="C61" s="4">
        <f t="shared" si="14"/>
        <v>14518</v>
      </c>
      <c r="D61" s="2">
        <f t="shared" si="15"/>
        <v>13976.96</v>
      </c>
      <c r="E61" s="19">
        <f t="shared" si="12"/>
        <v>541.04</v>
      </c>
      <c r="F61" s="2">
        <f t="shared" si="16"/>
        <v>42468.799999999814</v>
      </c>
      <c r="G61" s="2">
        <f t="shared" si="17"/>
        <v>28491.839999999815</v>
      </c>
    </row>
    <row r="62" spans="1:7" x14ac:dyDescent="0.25">
      <c r="A62" s="29">
        <v>42921</v>
      </c>
      <c r="B62" s="1">
        <f t="shared" si="10"/>
        <v>30</v>
      </c>
      <c r="C62" s="4">
        <f t="shared" si="14"/>
        <v>14518</v>
      </c>
      <c r="D62" s="2">
        <f t="shared" si="15"/>
        <v>14166.73</v>
      </c>
      <c r="E62" s="19">
        <f t="shared" si="12"/>
        <v>351.27</v>
      </c>
      <c r="F62" s="2">
        <f t="shared" si="16"/>
        <v>28491.839999999815</v>
      </c>
      <c r="G62" s="2">
        <f t="shared" si="17"/>
        <v>14325.109999999815</v>
      </c>
    </row>
    <row r="63" spans="1:7" x14ac:dyDescent="0.25">
      <c r="A63" s="29">
        <v>42952</v>
      </c>
      <c r="B63" s="1">
        <f t="shared" si="10"/>
        <v>31</v>
      </c>
      <c r="C63" s="4">
        <f t="shared" si="14"/>
        <v>14518</v>
      </c>
      <c r="D63" s="2">
        <f t="shared" si="15"/>
        <v>14325.109999999815</v>
      </c>
      <c r="E63" s="19">
        <v>192.89000000018495</v>
      </c>
      <c r="F63" s="2">
        <f t="shared" si="16"/>
        <v>14325.109999999815</v>
      </c>
      <c r="G63" s="2">
        <f t="shared" si="17"/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CD6801-4D64-4211-B881-2B154D68D10F}">
  <dimension ref="A1:I63"/>
  <sheetViews>
    <sheetView zoomScale="90" zoomScaleNormal="90" workbookViewId="0">
      <pane ySplit="3" topLeftCell="A42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5.42578125" bestFit="1" customWidth="1"/>
    <col min="2" max="2" width="13" bestFit="1" customWidth="1"/>
    <col min="3" max="3" width="14.28515625" bestFit="1" customWidth="1"/>
    <col min="4" max="4" width="11.140625" bestFit="1" customWidth="1"/>
    <col min="5" max="5" width="12.140625" bestFit="1" customWidth="1"/>
    <col min="6" max="6" width="16" bestFit="1" customWidth="1"/>
    <col min="7" max="7" width="14.85546875" bestFit="1" customWidth="1"/>
    <col min="8" max="8" width="15.5703125" bestFit="1" customWidth="1"/>
    <col min="9" max="9" width="8.7109375" bestFit="1" customWidth="1"/>
    <col min="10" max="10" width="10.85546875" bestFit="1" customWidth="1"/>
  </cols>
  <sheetData>
    <row r="1" spans="1:9" x14ac:dyDescent="0.25">
      <c r="A1" s="17" t="s">
        <v>33</v>
      </c>
      <c r="B1" s="78">
        <v>41856</v>
      </c>
      <c r="C1" s="17" t="s">
        <v>355</v>
      </c>
      <c r="D1" s="137" t="s">
        <v>347</v>
      </c>
      <c r="E1" s="137" t="s">
        <v>354</v>
      </c>
      <c r="F1" s="138" t="s">
        <v>331</v>
      </c>
      <c r="G1" s="137" t="s">
        <v>346</v>
      </c>
      <c r="H1" s="137" t="s">
        <v>352</v>
      </c>
      <c r="I1" s="138" t="s">
        <v>366</v>
      </c>
    </row>
    <row r="2" spans="1:9" x14ac:dyDescent="0.25">
      <c r="A2" s="17" t="s">
        <v>34</v>
      </c>
      <c r="B2" s="18">
        <v>0.15</v>
      </c>
      <c r="C2" s="17">
        <f>ROUNDUP(34665.3285041941,0)</f>
        <v>34666</v>
      </c>
      <c r="D2" s="125">
        <v>42618</v>
      </c>
      <c r="E2" s="139">
        <f>ROUNDUP(67451.67625,0)</f>
        <v>67452</v>
      </c>
      <c r="F2" s="149">
        <v>24</v>
      </c>
      <c r="G2" s="125">
        <v>42495</v>
      </c>
      <c r="H2" s="139">
        <f>ROUNDUP(14513.8946666666,0)</f>
        <v>14514</v>
      </c>
      <c r="I2" s="149">
        <v>36</v>
      </c>
    </row>
    <row r="3" spans="1:9" x14ac:dyDescent="0.25">
      <c r="A3" s="150" t="s">
        <v>17</v>
      </c>
      <c r="B3" s="150" t="s">
        <v>18</v>
      </c>
      <c r="C3" s="150" t="s">
        <v>14</v>
      </c>
      <c r="D3" s="150" t="s">
        <v>22</v>
      </c>
      <c r="E3" s="150" t="s">
        <v>21</v>
      </c>
      <c r="F3" s="150" t="s">
        <v>19</v>
      </c>
      <c r="G3" s="150" t="s">
        <v>20</v>
      </c>
      <c r="H3" s="151" t="s">
        <v>35</v>
      </c>
      <c r="I3" s="151" t="s">
        <v>36</v>
      </c>
    </row>
    <row r="4" spans="1:9" x14ac:dyDescent="0.25">
      <c r="A4" s="152">
        <v>41887</v>
      </c>
      <c r="B4" s="153">
        <f>DAYS360(B1,A4,TRUE)</f>
        <v>30</v>
      </c>
      <c r="C4" s="154">
        <f t="shared" ref="C4:C40" si="0">$C$2</f>
        <v>34666</v>
      </c>
      <c r="D4" s="155">
        <f>C4-E4</f>
        <v>22166</v>
      </c>
      <c r="E4" s="19">
        <f>ROUND(F4*$B$2*B4/360,2)</f>
        <v>12500</v>
      </c>
      <c r="F4" s="156">
        <v>1000000</v>
      </c>
      <c r="G4" s="157">
        <f>F4-D4</f>
        <v>977834</v>
      </c>
      <c r="H4" s="14">
        <f>F4*$B$2*B4/365</f>
        <v>12328.767123287671</v>
      </c>
      <c r="I4" s="16">
        <f>H4-E4</f>
        <v>-171.23287671232902</v>
      </c>
    </row>
    <row r="5" spans="1:9" x14ac:dyDescent="0.25">
      <c r="A5" s="152">
        <v>41917</v>
      </c>
      <c r="B5" s="153">
        <f>DAYS360(A4,A5,TRUE)</f>
        <v>30</v>
      </c>
      <c r="C5" s="154">
        <f t="shared" si="0"/>
        <v>34666</v>
      </c>
      <c r="D5" s="157">
        <f t="shared" ref="D5:D51" si="1">C5-E5</f>
        <v>22443.07</v>
      </c>
      <c r="E5" s="19">
        <f t="shared" ref="E5:E38" si="2">ROUND(F5*$B$2*B5/360,2)</f>
        <v>12222.93</v>
      </c>
      <c r="F5" s="157">
        <f>G4</f>
        <v>977834</v>
      </c>
      <c r="G5" s="157">
        <f>F5-D5</f>
        <v>955390.93</v>
      </c>
      <c r="H5" s="14">
        <f t="shared" ref="H5:H33" si="3">F5*$B$2*B5/365</f>
        <v>12055.487671232877</v>
      </c>
      <c r="I5" s="16">
        <f t="shared" ref="I5:I33" si="4">H5-E5</f>
        <v>-167.4423287671234</v>
      </c>
    </row>
    <row r="6" spans="1:9" x14ac:dyDescent="0.25">
      <c r="A6" s="152">
        <v>41948</v>
      </c>
      <c r="B6" s="153">
        <f t="shared" ref="B6:B51" si="5">DAYS360(A5,A6,TRUE)</f>
        <v>30</v>
      </c>
      <c r="C6" s="154">
        <f t="shared" si="0"/>
        <v>34666</v>
      </c>
      <c r="D6" s="157">
        <f t="shared" si="1"/>
        <v>22723.61</v>
      </c>
      <c r="E6" s="19">
        <f t="shared" si="2"/>
        <v>11942.39</v>
      </c>
      <c r="F6" s="157">
        <f t="shared" ref="F6:F39" si="6">G5</f>
        <v>955390.93</v>
      </c>
      <c r="G6" s="157">
        <f t="shared" ref="G6:G51" si="7">F6-D6</f>
        <v>932667.32000000007</v>
      </c>
      <c r="H6" s="14">
        <f t="shared" si="3"/>
        <v>11778.792287671231</v>
      </c>
      <c r="I6" s="16">
        <f t="shared" si="4"/>
        <v>-163.59771232876847</v>
      </c>
    </row>
    <row r="7" spans="1:9" x14ac:dyDescent="0.25">
      <c r="A7" s="152">
        <v>41978</v>
      </c>
      <c r="B7" s="153">
        <f t="shared" si="5"/>
        <v>30</v>
      </c>
      <c r="C7" s="154">
        <f t="shared" si="0"/>
        <v>34666</v>
      </c>
      <c r="D7" s="157">
        <f t="shared" si="1"/>
        <v>23007.66</v>
      </c>
      <c r="E7" s="19">
        <f t="shared" si="2"/>
        <v>11658.34</v>
      </c>
      <c r="F7" s="157">
        <f t="shared" si="6"/>
        <v>932667.32000000007</v>
      </c>
      <c r="G7" s="157">
        <f t="shared" si="7"/>
        <v>909659.66</v>
      </c>
      <c r="H7" s="14">
        <f t="shared" si="3"/>
        <v>11498.638191780821</v>
      </c>
      <c r="I7" s="16">
        <f t="shared" si="4"/>
        <v>-159.70180821917893</v>
      </c>
    </row>
    <row r="8" spans="1:9" x14ac:dyDescent="0.25">
      <c r="A8" s="152">
        <v>42009</v>
      </c>
      <c r="B8" s="153">
        <f t="shared" si="5"/>
        <v>30</v>
      </c>
      <c r="C8" s="154">
        <f t="shared" si="0"/>
        <v>34666</v>
      </c>
      <c r="D8" s="157">
        <f t="shared" si="1"/>
        <v>23295.25</v>
      </c>
      <c r="E8" s="19">
        <f t="shared" si="2"/>
        <v>11370.75</v>
      </c>
      <c r="F8" s="157">
        <f t="shared" si="6"/>
        <v>909659.66</v>
      </c>
      <c r="G8" s="157">
        <f t="shared" si="7"/>
        <v>886364.41</v>
      </c>
      <c r="H8" s="14">
        <f t="shared" si="3"/>
        <v>11214.98210958904</v>
      </c>
      <c r="I8" s="16">
        <f t="shared" si="4"/>
        <v>-155.76789041095981</v>
      </c>
    </row>
    <row r="9" spans="1:9" x14ac:dyDescent="0.25">
      <c r="A9" s="152">
        <v>42040</v>
      </c>
      <c r="B9" s="153">
        <f t="shared" si="5"/>
        <v>30</v>
      </c>
      <c r="C9" s="154">
        <f t="shared" si="0"/>
        <v>34666</v>
      </c>
      <c r="D9" s="157">
        <f t="shared" si="1"/>
        <v>23586.440000000002</v>
      </c>
      <c r="E9" s="19">
        <f t="shared" si="2"/>
        <v>11079.56</v>
      </c>
      <c r="F9" s="157">
        <f t="shared" si="6"/>
        <v>886364.41</v>
      </c>
      <c r="G9" s="157">
        <f t="shared" si="7"/>
        <v>862777.97</v>
      </c>
      <c r="H9" s="14">
        <f t="shared" si="3"/>
        <v>10927.780397260272</v>
      </c>
      <c r="I9" s="16">
        <f t="shared" si="4"/>
        <v>-151.77960273972712</v>
      </c>
    </row>
    <row r="10" spans="1:9" x14ac:dyDescent="0.25">
      <c r="A10" s="152">
        <v>42068</v>
      </c>
      <c r="B10" s="153">
        <f t="shared" si="5"/>
        <v>30</v>
      </c>
      <c r="C10" s="154">
        <f t="shared" si="0"/>
        <v>34666</v>
      </c>
      <c r="D10" s="157">
        <f t="shared" si="1"/>
        <v>23881.279999999999</v>
      </c>
      <c r="E10" s="19">
        <f t="shared" si="2"/>
        <v>10784.72</v>
      </c>
      <c r="F10" s="157">
        <f t="shared" si="6"/>
        <v>862777.97</v>
      </c>
      <c r="G10" s="157">
        <f t="shared" si="7"/>
        <v>838896.69</v>
      </c>
      <c r="H10" s="14">
        <f t="shared" si="3"/>
        <v>10636.988671232875</v>
      </c>
      <c r="I10" s="16">
        <f t="shared" si="4"/>
        <v>-147.73132876712407</v>
      </c>
    </row>
    <row r="11" spans="1:9" x14ac:dyDescent="0.25">
      <c r="A11" s="152">
        <v>42099</v>
      </c>
      <c r="B11" s="153">
        <f t="shared" si="5"/>
        <v>30</v>
      </c>
      <c r="C11" s="154">
        <f t="shared" si="0"/>
        <v>34666</v>
      </c>
      <c r="D11" s="157">
        <f t="shared" si="1"/>
        <v>24179.79</v>
      </c>
      <c r="E11" s="19">
        <f t="shared" si="2"/>
        <v>10486.21</v>
      </c>
      <c r="F11" s="157">
        <f t="shared" si="6"/>
        <v>838896.69</v>
      </c>
      <c r="G11" s="157">
        <f t="shared" si="7"/>
        <v>814716.89999999991</v>
      </c>
      <c r="H11" s="14">
        <f t="shared" si="3"/>
        <v>10342.561931506849</v>
      </c>
      <c r="I11" s="16">
        <f t="shared" si="4"/>
        <v>-143.64806849315028</v>
      </c>
    </row>
    <row r="12" spans="1:9" x14ac:dyDescent="0.25">
      <c r="A12" s="152">
        <v>42129</v>
      </c>
      <c r="B12" s="153">
        <f t="shared" si="5"/>
        <v>30</v>
      </c>
      <c r="C12" s="154">
        <f t="shared" si="0"/>
        <v>34666</v>
      </c>
      <c r="D12" s="157">
        <f t="shared" si="1"/>
        <v>24482.04</v>
      </c>
      <c r="E12" s="19">
        <f t="shared" si="2"/>
        <v>10183.959999999999</v>
      </c>
      <c r="F12" s="157">
        <f t="shared" si="6"/>
        <v>814716.89999999991</v>
      </c>
      <c r="G12" s="157">
        <f t="shared" si="7"/>
        <v>790234.85999999987</v>
      </c>
      <c r="H12" s="14">
        <f t="shared" si="3"/>
        <v>10044.454931506847</v>
      </c>
      <c r="I12" s="16">
        <f t="shared" si="4"/>
        <v>-139.50506849315207</v>
      </c>
    </row>
    <row r="13" spans="1:9" x14ac:dyDescent="0.25">
      <c r="A13" s="152">
        <v>42160</v>
      </c>
      <c r="B13" s="153">
        <f t="shared" si="5"/>
        <v>30</v>
      </c>
      <c r="C13" s="154">
        <f t="shared" si="0"/>
        <v>34666</v>
      </c>
      <c r="D13" s="157">
        <f t="shared" si="1"/>
        <v>24788.059999999998</v>
      </c>
      <c r="E13" s="19">
        <f t="shared" si="2"/>
        <v>9877.94</v>
      </c>
      <c r="F13" s="157">
        <f t="shared" si="6"/>
        <v>790234.85999999987</v>
      </c>
      <c r="G13" s="157">
        <f t="shared" si="7"/>
        <v>765446.79999999981</v>
      </c>
      <c r="H13" s="14">
        <f t="shared" si="3"/>
        <v>9742.621561643833</v>
      </c>
      <c r="I13" s="16">
        <f t="shared" si="4"/>
        <v>-135.31843835616746</v>
      </c>
    </row>
    <row r="14" spans="1:9" x14ac:dyDescent="0.25">
      <c r="A14" s="152">
        <v>42190</v>
      </c>
      <c r="B14" s="153">
        <f t="shared" si="5"/>
        <v>30</v>
      </c>
      <c r="C14" s="154">
        <f t="shared" si="0"/>
        <v>34666</v>
      </c>
      <c r="D14" s="157">
        <f t="shared" si="1"/>
        <v>25097.91</v>
      </c>
      <c r="E14" s="19">
        <f t="shared" si="2"/>
        <v>9568.09</v>
      </c>
      <c r="F14" s="157">
        <f t="shared" si="6"/>
        <v>765446.79999999981</v>
      </c>
      <c r="G14" s="157">
        <f t="shared" si="7"/>
        <v>740348.88999999978</v>
      </c>
      <c r="H14" s="14">
        <f t="shared" si="3"/>
        <v>9437.015342465751</v>
      </c>
      <c r="I14" s="16">
        <f t="shared" si="4"/>
        <v>-131.07465753424913</v>
      </c>
    </row>
    <row r="15" spans="1:9" x14ac:dyDescent="0.25">
      <c r="A15" s="152">
        <v>42221</v>
      </c>
      <c r="B15" s="153">
        <f t="shared" si="5"/>
        <v>30</v>
      </c>
      <c r="C15" s="154">
        <f t="shared" si="0"/>
        <v>34666</v>
      </c>
      <c r="D15" s="157">
        <f t="shared" si="1"/>
        <v>25411.64</v>
      </c>
      <c r="E15" s="19">
        <f t="shared" si="2"/>
        <v>9254.36</v>
      </c>
      <c r="F15" s="157">
        <f t="shared" si="6"/>
        <v>740348.88999999978</v>
      </c>
      <c r="G15" s="157">
        <f t="shared" si="7"/>
        <v>714937.24999999977</v>
      </c>
      <c r="H15" s="14">
        <f t="shared" si="3"/>
        <v>9127.5890547945182</v>
      </c>
      <c r="I15" s="16">
        <f t="shared" si="4"/>
        <v>-126.77094520548235</v>
      </c>
    </row>
    <row r="16" spans="1:9" x14ac:dyDescent="0.25">
      <c r="A16" s="152">
        <v>42252</v>
      </c>
      <c r="B16" s="153">
        <f t="shared" si="5"/>
        <v>30</v>
      </c>
      <c r="C16" s="154">
        <f t="shared" si="0"/>
        <v>34666</v>
      </c>
      <c r="D16" s="157">
        <f t="shared" si="1"/>
        <v>25729.279999999999</v>
      </c>
      <c r="E16" s="19">
        <f t="shared" si="2"/>
        <v>8936.7199999999993</v>
      </c>
      <c r="F16" s="157">
        <f t="shared" si="6"/>
        <v>714937.24999999977</v>
      </c>
      <c r="G16" s="157">
        <f t="shared" si="7"/>
        <v>689207.96999999974</v>
      </c>
      <c r="H16" s="14">
        <f t="shared" si="3"/>
        <v>8814.2948630136962</v>
      </c>
      <c r="I16" s="16">
        <f t="shared" si="4"/>
        <v>-122.42513698630319</v>
      </c>
    </row>
    <row r="17" spans="1:9" x14ac:dyDescent="0.25">
      <c r="A17" s="152">
        <v>42282</v>
      </c>
      <c r="B17" s="153">
        <f t="shared" si="5"/>
        <v>30</v>
      </c>
      <c r="C17" s="154">
        <f t="shared" si="0"/>
        <v>34666</v>
      </c>
      <c r="D17" s="157">
        <f t="shared" si="1"/>
        <v>26050.9</v>
      </c>
      <c r="E17" s="19">
        <f t="shared" si="2"/>
        <v>8615.1</v>
      </c>
      <c r="F17" s="157">
        <f t="shared" si="6"/>
        <v>689207.96999999974</v>
      </c>
      <c r="G17" s="157">
        <f t="shared" si="7"/>
        <v>663157.06999999972</v>
      </c>
      <c r="H17" s="14">
        <f t="shared" si="3"/>
        <v>8497.0845616438328</v>
      </c>
      <c r="I17" s="16">
        <f t="shared" si="4"/>
        <v>-118.01543835616758</v>
      </c>
    </row>
    <row r="18" spans="1:9" x14ac:dyDescent="0.25">
      <c r="A18" s="152">
        <v>42313</v>
      </c>
      <c r="B18" s="153">
        <f t="shared" si="5"/>
        <v>30</v>
      </c>
      <c r="C18" s="154">
        <f t="shared" si="0"/>
        <v>34666</v>
      </c>
      <c r="D18" s="157">
        <f t="shared" si="1"/>
        <v>26376.54</v>
      </c>
      <c r="E18" s="19">
        <f t="shared" si="2"/>
        <v>8289.4599999999991</v>
      </c>
      <c r="F18" s="157">
        <f t="shared" si="6"/>
        <v>663157.06999999972</v>
      </c>
      <c r="G18" s="157">
        <f t="shared" si="7"/>
        <v>636780.52999999968</v>
      </c>
      <c r="H18" s="14">
        <f t="shared" si="3"/>
        <v>8175.9090821917771</v>
      </c>
      <c r="I18" s="16">
        <f t="shared" si="4"/>
        <v>-113.55091780822204</v>
      </c>
    </row>
    <row r="19" spans="1:9" x14ac:dyDescent="0.25">
      <c r="A19" s="152">
        <v>42343</v>
      </c>
      <c r="B19" s="153">
        <f t="shared" si="5"/>
        <v>30</v>
      </c>
      <c r="C19" s="154">
        <f t="shared" si="0"/>
        <v>34666</v>
      </c>
      <c r="D19" s="157">
        <f t="shared" si="1"/>
        <v>26706.239999999998</v>
      </c>
      <c r="E19" s="19">
        <f t="shared" si="2"/>
        <v>7959.76</v>
      </c>
      <c r="F19" s="157">
        <f t="shared" si="6"/>
        <v>636780.52999999968</v>
      </c>
      <c r="G19" s="157">
        <f t="shared" si="7"/>
        <v>610074.28999999969</v>
      </c>
      <c r="H19" s="14">
        <f t="shared" si="3"/>
        <v>7850.7188630136943</v>
      </c>
      <c r="I19" s="16">
        <f t="shared" si="4"/>
        <v>-109.0411369863059</v>
      </c>
    </row>
    <row r="20" spans="1:9" x14ac:dyDescent="0.25">
      <c r="A20" s="152">
        <v>42374</v>
      </c>
      <c r="B20" s="153">
        <f t="shared" si="5"/>
        <v>30</v>
      </c>
      <c r="C20" s="154">
        <f t="shared" si="0"/>
        <v>34666</v>
      </c>
      <c r="D20" s="157">
        <f t="shared" si="1"/>
        <v>27040.07</v>
      </c>
      <c r="E20" s="19">
        <f t="shared" si="2"/>
        <v>7625.93</v>
      </c>
      <c r="F20" s="157">
        <f t="shared" si="6"/>
        <v>610074.28999999969</v>
      </c>
      <c r="G20" s="157">
        <f t="shared" si="7"/>
        <v>583034.21999999974</v>
      </c>
      <c r="H20" s="14">
        <f t="shared" si="3"/>
        <v>7521.4638493150642</v>
      </c>
      <c r="I20" s="16">
        <f t="shared" si="4"/>
        <v>-104.46615068493611</v>
      </c>
    </row>
    <row r="21" spans="1:9" x14ac:dyDescent="0.25">
      <c r="A21" s="152">
        <v>42405</v>
      </c>
      <c r="B21" s="153">
        <f t="shared" si="5"/>
        <v>30</v>
      </c>
      <c r="C21" s="154">
        <f t="shared" si="0"/>
        <v>34666</v>
      </c>
      <c r="D21" s="157">
        <f t="shared" si="1"/>
        <v>27378.07</v>
      </c>
      <c r="E21" s="19">
        <f t="shared" si="2"/>
        <v>7287.93</v>
      </c>
      <c r="F21" s="157">
        <f t="shared" si="6"/>
        <v>583034.21999999974</v>
      </c>
      <c r="G21" s="157">
        <f t="shared" si="7"/>
        <v>555656.14999999979</v>
      </c>
      <c r="H21" s="14">
        <f t="shared" si="3"/>
        <v>7188.0931232876683</v>
      </c>
      <c r="I21" s="16">
        <f t="shared" si="4"/>
        <v>-99.836876712332014</v>
      </c>
    </row>
    <row r="22" spans="1:9" x14ac:dyDescent="0.25">
      <c r="A22" s="152">
        <v>42434</v>
      </c>
      <c r="B22" s="153">
        <f t="shared" si="5"/>
        <v>30</v>
      </c>
      <c r="C22" s="154">
        <f t="shared" si="0"/>
        <v>34666</v>
      </c>
      <c r="D22" s="157">
        <f t="shared" si="1"/>
        <v>27720.3</v>
      </c>
      <c r="E22" s="19">
        <f t="shared" si="2"/>
        <v>6945.7</v>
      </c>
      <c r="F22" s="157">
        <f t="shared" si="6"/>
        <v>555656.14999999979</v>
      </c>
      <c r="G22" s="157">
        <f t="shared" si="7"/>
        <v>527935.84999999974</v>
      </c>
      <c r="H22" s="14">
        <f t="shared" si="3"/>
        <v>6850.5552739726008</v>
      </c>
      <c r="I22" s="16">
        <f t="shared" si="4"/>
        <v>-95.144726027398974</v>
      </c>
    </row>
    <row r="23" spans="1:9" x14ac:dyDescent="0.25">
      <c r="A23" s="152">
        <v>42465</v>
      </c>
      <c r="B23" s="153">
        <f t="shared" si="5"/>
        <v>30</v>
      </c>
      <c r="C23" s="154">
        <f t="shared" si="0"/>
        <v>34666</v>
      </c>
      <c r="D23" s="157">
        <f t="shared" si="1"/>
        <v>28066.799999999999</v>
      </c>
      <c r="E23" s="19">
        <f t="shared" si="2"/>
        <v>6599.2</v>
      </c>
      <c r="F23" s="157">
        <f t="shared" si="6"/>
        <v>527935.84999999974</v>
      </c>
      <c r="G23" s="157">
        <f t="shared" si="7"/>
        <v>499869.04999999976</v>
      </c>
      <c r="H23" s="14">
        <f t="shared" si="3"/>
        <v>6508.7981506849283</v>
      </c>
      <c r="I23" s="16">
        <f t="shared" si="4"/>
        <v>-90.401849315071559</v>
      </c>
    </row>
    <row r="24" spans="1:9" x14ac:dyDescent="0.25">
      <c r="A24" s="152">
        <v>42495</v>
      </c>
      <c r="B24" s="153">
        <f t="shared" si="5"/>
        <v>30</v>
      </c>
      <c r="C24" s="154">
        <f t="shared" si="0"/>
        <v>34666</v>
      </c>
      <c r="D24" s="157">
        <f t="shared" si="1"/>
        <v>28417.64</v>
      </c>
      <c r="E24" s="19">
        <f t="shared" si="2"/>
        <v>6248.36</v>
      </c>
      <c r="F24" s="157">
        <f t="shared" si="6"/>
        <v>499869.04999999976</v>
      </c>
      <c r="G24" s="157">
        <f t="shared" si="7"/>
        <v>471451.40999999974</v>
      </c>
      <c r="H24" s="14">
        <f t="shared" si="3"/>
        <v>6162.7691095890377</v>
      </c>
      <c r="I24" s="16">
        <f t="shared" si="4"/>
        <v>-85.590890410961947</v>
      </c>
    </row>
    <row r="25" spans="1:9" x14ac:dyDescent="0.25">
      <c r="A25" s="152">
        <v>42526</v>
      </c>
      <c r="B25" s="153">
        <f t="shared" si="5"/>
        <v>30</v>
      </c>
      <c r="C25" s="154">
        <f t="shared" si="0"/>
        <v>34666</v>
      </c>
      <c r="D25" s="157">
        <f t="shared" si="1"/>
        <v>28772.86</v>
      </c>
      <c r="E25" s="19">
        <f t="shared" si="2"/>
        <v>5893.14</v>
      </c>
      <c r="F25" s="157">
        <f t="shared" si="6"/>
        <v>471451.40999999974</v>
      </c>
      <c r="G25" s="157">
        <f t="shared" si="7"/>
        <v>442678.54999999976</v>
      </c>
      <c r="H25" s="14">
        <f t="shared" si="3"/>
        <v>5812.4146438356129</v>
      </c>
      <c r="I25" s="16">
        <f t="shared" si="4"/>
        <v>-80.725356164387449</v>
      </c>
    </row>
    <row r="26" spans="1:9" x14ac:dyDescent="0.25">
      <c r="A26" s="152">
        <v>42556</v>
      </c>
      <c r="B26" s="153">
        <f t="shared" si="5"/>
        <v>30</v>
      </c>
      <c r="C26" s="154">
        <f t="shared" si="0"/>
        <v>34666</v>
      </c>
      <c r="D26" s="157">
        <f t="shared" si="1"/>
        <v>29132.52</v>
      </c>
      <c r="E26" s="19">
        <f t="shared" si="2"/>
        <v>5533.48</v>
      </c>
      <c r="F26" s="157">
        <f t="shared" si="6"/>
        <v>442678.54999999976</v>
      </c>
      <c r="G26" s="157">
        <f t="shared" si="7"/>
        <v>413546.02999999974</v>
      </c>
      <c r="H26" s="14">
        <f t="shared" si="3"/>
        <v>5457.6807534246536</v>
      </c>
      <c r="I26" s="16">
        <f t="shared" si="4"/>
        <v>-75.799246575345933</v>
      </c>
    </row>
    <row r="27" spans="1:9" x14ac:dyDescent="0.25">
      <c r="A27" s="152">
        <v>42587</v>
      </c>
      <c r="B27" s="153">
        <f t="shared" si="5"/>
        <v>30</v>
      </c>
      <c r="C27" s="154">
        <f t="shared" si="0"/>
        <v>34666</v>
      </c>
      <c r="D27" s="157">
        <f t="shared" si="1"/>
        <v>29496.67</v>
      </c>
      <c r="E27" s="19">
        <f t="shared" si="2"/>
        <v>5169.33</v>
      </c>
      <c r="F27" s="157">
        <f t="shared" si="6"/>
        <v>413546.02999999974</v>
      </c>
      <c r="G27" s="157">
        <f t="shared" si="7"/>
        <v>384049.35999999975</v>
      </c>
      <c r="H27" s="14">
        <f t="shared" si="3"/>
        <v>5098.5126986301339</v>
      </c>
      <c r="I27" s="16">
        <f t="shared" si="4"/>
        <v>-70.817301369866072</v>
      </c>
    </row>
    <row r="28" spans="1:9" x14ac:dyDescent="0.25">
      <c r="A28" s="152">
        <v>42618</v>
      </c>
      <c r="B28" s="153">
        <f t="shared" si="5"/>
        <v>30</v>
      </c>
      <c r="C28" s="154">
        <f t="shared" si="0"/>
        <v>34666</v>
      </c>
      <c r="D28" s="157">
        <f t="shared" si="1"/>
        <v>29865.38</v>
      </c>
      <c r="E28" s="19">
        <f t="shared" si="2"/>
        <v>4800.62</v>
      </c>
      <c r="F28" s="157">
        <f t="shared" si="6"/>
        <v>384049.35999999975</v>
      </c>
      <c r="G28" s="157">
        <f t="shared" si="7"/>
        <v>354183.97999999975</v>
      </c>
      <c r="H28" s="14">
        <f t="shared" si="3"/>
        <v>4734.855123287668</v>
      </c>
      <c r="I28" s="16">
        <f t="shared" si="4"/>
        <v>-65.764876712331898</v>
      </c>
    </row>
    <row r="29" spans="1:9" x14ac:dyDescent="0.25">
      <c r="A29" s="152">
        <v>42648</v>
      </c>
      <c r="B29" s="153">
        <f t="shared" si="5"/>
        <v>30</v>
      </c>
      <c r="C29" s="154">
        <f t="shared" si="0"/>
        <v>34666</v>
      </c>
      <c r="D29" s="157">
        <f t="shared" si="1"/>
        <v>30238.7</v>
      </c>
      <c r="E29" s="19">
        <f t="shared" si="2"/>
        <v>4427.3</v>
      </c>
      <c r="F29" s="157">
        <f t="shared" si="6"/>
        <v>354183.97999999975</v>
      </c>
      <c r="G29" s="157">
        <f t="shared" si="7"/>
        <v>323945.27999999974</v>
      </c>
      <c r="H29" s="14">
        <f t="shared" si="3"/>
        <v>4366.6518082191751</v>
      </c>
      <c r="I29" s="16">
        <f t="shared" si="4"/>
        <v>-60.648191780825073</v>
      </c>
    </row>
    <row r="30" spans="1:9" x14ac:dyDescent="0.25">
      <c r="A30" s="152">
        <v>42679</v>
      </c>
      <c r="B30" s="153">
        <f t="shared" si="5"/>
        <v>30</v>
      </c>
      <c r="C30" s="154">
        <f t="shared" si="0"/>
        <v>34666</v>
      </c>
      <c r="D30" s="157">
        <f t="shared" si="1"/>
        <v>30616.68</v>
      </c>
      <c r="E30" s="19">
        <f t="shared" si="2"/>
        <v>4049.32</v>
      </c>
      <c r="F30" s="157">
        <f t="shared" si="6"/>
        <v>323945.27999999974</v>
      </c>
      <c r="G30" s="157">
        <f t="shared" si="7"/>
        <v>293328.59999999974</v>
      </c>
      <c r="H30" s="14">
        <f t="shared" si="3"/>
        <v>3993.8459178082162</v>
      </c>
      <c r="I30" s="16">
        <f t="shared" si="4"/>
        <v>-55.474082191783964</v>
      </c>
    </row>
    <row r="31" spans="1:9" x14ac:dyDescent="0.25">
      <c r="A31" s="152">
        <v>42709</v>
      </c>
      <c r="B31" s="153">
        <f t="shared" si="5"/>
        <v>30</v>
      </c>
      <c r="C31" s="154">
        <f t="shared" si="0"/>
        <v>34666</v>
      </c>
      <c r="D31" s="157">
        <f t="shared" si="1"/>
        <v>30999.39</v>
      </c>
      <c r="E31" s="19">
        <f t="shared" si="2"/>
        <v>3666.61</v>
      </c>
      <c r="F31" s="157">
        <f t="shared" si="6"/>
        <v>293328.59999999974</v>
      </c>
      <c r="G31" s="157">
        <f t="shared" si="7"/>
        <v>262329.20999999973</v>
      </c>
      <c r="H31" s="14">
        <f t="shared" si="3"/>
        <v>3616.3799999999965</v>
      </c>
      <c r="I31" s="16">
        <f t="shared" si="4"/>
        <v>-50.230000000003656</v>
      </c>
    </row>
    <row r="32" spans="1:9" x14ac:dyDescent="0.25">
      <c r="A32" s="152">
        <v>42740</v>
      </c>
      <c r="B32" s="153">
        <f t="shared" si="5"/>
        <v>30</v>
      </c>
      <c r="C32" s="154">
        <f t="shared" si="0"/>
        <v>34666</v>
      </c>
      <c r="D32" s="157">
        <f t="shared" si="1"/>
        <v>31386.880000000001</v>
      </c>
      <c r="E32" s="19">
        <f t="shared" si="2"/>
        <v>3279.12</v>
      </c>
      <c r="F32" s="157">
        <f t="shared" si="6"/>
        <v>262329.20999999973</v>
      </c>
      <c r="G32" s="157">
        <f t="shared" si="7"/>
        <v>230942.32999999973</v>
      </c>
      <c r="H32" s="14">
        <f t="shared" si="3"/>
        <v>3234.1957397260244</v>
      </c>
      <c r="I32" s="16">
        <f t="shared" si="4"/>
        <v>-44.924260273975506</v>
      </c>
    </row>
    <row r="33" spans="1:9" x14ac:dyDescent="0.25">
      <c r="A33" s="152">
        <v>42771</v>
      </c>
      <c r="B33" s="153">
        <f t="shared" si="5"/>
        <v>30</v>
      </c>
      <c r="C33" s="154">
        <f t="shared" si="0"/>
        <v>34666</v>
      </c>
      <c r="D33" s="157">
        <f t="shared" si="1"/>
        <v>31779.22</v>
      </c>
      <c r="E33" s="19">
        <f t="shared" si="2"/>
        <v>2886.78</v>
      </c>
      <c r="F33" s="157">
        <f t="shared" si="6"/>
        <v>230942.32999999973</v>
      </c>
      <c r="G33" s="157">
        <f t="shared" si="7"/>
        <v>199163.10999999972</v>
      </c>
      <c r="H33" s="14">
        <f t="shared" si="3"/>
        <v>2847.234205479449</v>
      </c>
      <c r="I33" s="16">
        <f t="shared" si="4"/>
        <v>-39.545794520551226</v>
      </c>
    </row>
    <row r="34" spans="1:9" x14ac:dyDescent="0.25">
      <c r="A34" s="152">
        <v>42799</v>
      </c>
      <c r="B34" s="153">
        <f t="shared" si="5"/>
        <v>30</v>
      </c>
      <c r="C34" s="154">
        <f t="shared" si="0"/>
        <v>34666</v>
      </c>
      <c r="D34" s="157">
        <f t="shared" si="1"/>
        <v>32176.46</v>
      </c>
      <c r="E34" s="19">
        <f t="shared" si="2"/>
        <v>2489.54</v>
      </c>
      <c r="F34" s="157">
        <f t="shared" si="6"/>
        <v>199163.10999999972</v>
      </c>
      <c r="G34" s="157">
        <f t="shared" si="7"/>
        <v>166986.64999999973</v>
      </c>
      <c r="H34" s="14"/>
      <c r="I34" s="16"/>
    </row>
    <row r="35" spans="1:9" x14ac:dyDescent="0.25">
      <c r="A35" s="152">
        <v>42830</v>
      </c>
      <c r="B35" s="153">
        <f t="shared" si="5"/>
        <v>30</v>
      </c>
      <c r="C35" s="154">
        <f t="shared" si="0"/>
        <v>34666</v>
      </c>
      <c r="D35" s="157">
        <f t="shared" si="1"/>
        <v>32578.67</v>
      </c>
      <c r="E35" s="19">
        <f t="shared" si="2"/>
        <v>2087.33</v>
      </c>
      <c r="F35" s="157">
        <f t="shared" si="6"/>
        <v>166986.64999999973</v>
      </c>
      <c r="G35" s="157">
        <f t="shared" si="7"/>
        <v>134407.97999999975</v>
      </c>
      <c r="H35" s="14"/>
      <c r="I35" s="16"/>
    </row>
    <row r="36" spans="1:9" x14ac:dyDescent="0.25">
      <c r="A36" s="152">
        <v>42860</v>
      </c>
      <c r="B36" s="153">
        <f t="shared" si="5"/>
        <v>30</v>
      </c>
      <c r="C36" s="154">
        <f t="shared" si="0"/>
        <v>34666</v>
      </c>
      <c r="D36" s="157">
        <f t="shared" si="1"/>
        <v>32985.9</v>
      </c>
      <c r="E36" s="19">
        <f t="shared" si="2"/>
        <v>1680.1</v>
      </c>
      <c r="F36" s="157">
        <f t="shared" si="6"/>
        <v>134407.97999999975</v>
      </c>
      <c r="G36" s="157">
        <f t="shared" si="7"/>
        <v>101422.07999999975</v>
      </c>
      <c r="H36" s="14"/>
      <c r="I36" s="16"/>
    </row>
    <row r="37" spans="1:9" x14ac:dyDescent="0.25">
      <c r="A37" s="152">
        <v>42891</v>
      </c>
      <c r="B37" s="153">
        <f t="shared" si="5"/>
        <v>30</v>
      </c>
      <c r="C37" s="154">
        <f t="shared" si="0"/>
        <v>34666</v>
      </c>
      <c r="D37" s="157">
        <f t="shared" si="1"/>
        <v>33398.22</v>
      </c>
      <c r="E37" s="19">
        <f t="shared" si="2"/>
        <v>1267.78</v>
      </c>
      <c r="F37" s="157">
        <f t="shared" si="6"/>
        <v>101422.07999999975</v>
      </c>
      <c r="G37" s="157">
        <f t="shared" si="7"/>
        <v>68023.859999999753</v>
      </c>
      <c r="H37" s="14"/>
      <c r="I37" s="16"/>
    </row>
    <row r="38" spans="1:9" x14ac:dyDescent="0.25">
      <c r="A38" s="152">
        <v>42921</v>
      </c>
      <c r="B38" s="153">
        <f t="shared" si="5"/>
        <v>30</v>
      </c>
      <c r="C38" s="154">
        <f t="shared" si="0"/>
        <v>34666</v>
      </c>
      <c r="D38" s="157">
        <f t="shared" si="1"/>
        <v>33815.699999999997</v>
      </c>
      <c r="E38" s="19">
        <f t="shared" si="2"/>
        <v>850.3</v>
      </c>
      <c r="F38" s="157">
        <f t="shared" si="6"/>
        <v>68023.859999999753</v>
      </c>
      <c r="G38" s="157">
        <f t="shared" si="7"/>
        <v>34208.159999999756</v>
      </c>
      <c r="H38" s="14"/>
      <c r="I38" s="16"/>
    </row>
    <row r="39" spans="1:9" x14ac:dyDescent="0.25">
      <c r="A39" s="152">
        <v>42952</v>
      </c>
      <c r="B39" s="153">
        <f t="shared" si="5"/>
        <v>30</v>
      </c>
      <c r="C39" s="154">
        <f t="shared" si="0"/>
        <v>34666</v>
      </c>
      <c r="D39" s="157">
        <f t="shared" si="1"/>
        <v>34208.159999999756</v>
      </c>
      <c r="E39" s="19">
        <v>457.84000000024537</v>
      </c>
      <c r="F39" s="157">
        <f t="shared" si="6"/>
        <v>34208.159999999756</v>
      </c>
      <c r="G39" s="157">
        <f t="shared" si="7"/>
        <v>0</v>
      </c>
      <c r="H39" s="14"/>
      <c r="I39" s="16"/>
    </row>
    <row r="40" spans="1:9" x14ac:dyDescent="0.25">
      <c r="A40" s="158">
        <v>42252</v>
      </c>
      <c r="B40" s="159">
        <f>DAYS360(A15,A16,TRUE)</f>
        <v>30</v>
      </c>
      <c r="C40" s="160">
        <f t="shared" si="0"/>
        <v>34666</v>
      </c>
      <c r="D40" s="161">
        <f t="shared" si="1"/>
        <v>25729.279999999999</v>
      </c>
      <c r="E40" s="143">
        <f>ROUND(F16*$B$2*B16/360,2)</f>
        <v>8936.7199999999993</v>
      </c>
      <c r="F40" s="161">
        <f>G15</f>
        <v>714937.24999999977</v>
      </c>
      <c r="G40" s="161">
        <f t="shared" si="7"/>
        <v>689207.96999999974</v>
      </c>
      <c r="H40" s="14"/>
      <c r="I40" s="16"/>
    </row>
    <row r="41" spans="1:9" x14ac:dyDescent="0.25">
      <c r="A41" s="152">
        <v>42282</v>
      </c>
      <c r="B41" s="153">
        <f t="shared" si="5"/>
        <v>30</v>
      </c>
      <c r="C41" s="154">
        <f t="shared" ref="C41:C48" si="8">$E$2</f>
        <v>67452</v>
      </c>
      <c r="D41" s="157">
        <f t="shared" si="1"/>
        <v>58836.9</v>
      </c>
      <c r="E41" s="19">
        <f>ROUND(F41*$B$2*B41/360,2)</f>
        <v>8615.1</v>
      </c>
      <c r="F41" s="157">
        <f t="shared" ref="F41:F63" si="9">G40</f>
        <v>689207.96999999974</v>
      </c>
      <c r="G41" s="157">
        <f t="shared" si="7"/>
        <v>630371.06999999972</v>
      </c>
      <c r="H41" s="14"/>
      <c r="I41" s="16"/>
    </row>
    <row r="42" spans="1:9" x14ac:dyDescent="0.25">
      <c r="A42" s="152">
        <v>42313</v>
      </c>
      <c r="B42" s="153">
        <f t="shared" si="5"/>
        <v>30</v>
      </c>
      <c r="C42" s="154">
        <f t="shared" si="8"/>
        <v>67452</v>
      </c>
      <c r="D42" s="157">
        <f t="shared" si="1"/>
        <v>59572.36</v>
      </c>
      <c r="E42" s="19">
        <f t="shared" ref="E42:E62" si="10">ROUND(F42*$B$2*B42/360,2)</f>
        <v>7879.64</v>
      </c>
      <c r="F42" s="157">
        <f t="shared" si="9"/>
        <v>630371.06999999972</v>
      </c>
      <c r="G42" s="157">
        <f t="shared" si="7"/>
        <v>570798.70999999973</v>
      </c>
      <c r="H42" s="14"/>
      <c r="I42" s="16"/>
    </row>
    <row r="43" spans="1:9" x14ac:dyDescent="0.25">
      <c r="A43" s="152">
        <v>42343</v>
      </c>
      <c r="B43" s="153">
        <f t="shared" si="5"/>
        <v>30</v>
      </c>
      <c r="C43" s="154">
        <f t="shared" si="8"/>
        <v>67452</v>
      </c>
      <c r="D43" s="157">
        <f t="shared" si="1"/>
        <v>60317.020000000004</v>
      </c>
      <c r="E43" s="19">
        <f t="shared" si="10"/>
        <v>7134.98</v>
      </c>
      <c r="F43" s="157">
        <f t="shared" si="9"/>
        <v>570798.70999999973</v>
      </c>
      <c r="G43" s="157">
        <f t="shared" si="7"/>
        <v>510481.68999999971</v>
      </c>
      <c r="H43" s="14"/>
      <c r="I43" s="16"/>
    </row>
    <row r="44" spans="1:9" x14ac:dyDescent="0.25">
      <c r="A44" s="152">
        <v>42374</v>
      </c>
      <c r="B44" s="153">
        <f t="shared" si="5"/>
        <v>30</v>
      </c>
      <c r="C44" s="154">
        <f t="shared" si="8"/>
        <v>67452</v>
      </c>
      <c r="D44" s="157">
        <f t="shared" si="1"/>
        <v>61070.979999999996</v>
      </c>
      <c r="E44" s="19">
        <f t="shared" si="10"/>
        <v>6381.02</v>
      </c>
      <c r="F44" s="157">
        <f t="shared" si="9"/>
        <v>510481.68999999971</v>
      </c>
      <c r="G44" s="157">
        <f t="shared" si="7"/>
        <v>449410.70999999973</v>
      </c>
      <c r="H44" s="14"/>
      <c r="I44" s="16"/>
    </row>
    <row r="45" spans="1:9" x14ac:dyDescent="0.25">
      <c r="A45" s="152">
        <v>42405</v>
      </c>
      <c r="B45" s="153">
        <f t="shared" si="5"/>
        <v>30</v>
      </c>
      <c r="C45" s="154">
        <f t="shared" si="8"/>
        <v>67452</v>
      </c>
      <c r="D45" s="157">
        <f t="shared" si="1"/>
        <v>61834.37</v>
      </c>
      <c r="E45" s="19">
        <f t="shared" si="10"/>
        <v>5617.63</v>
      </c>
      <c r="F45" s="157">
        <f t="shared" si="9"/>
        <v>449410.70999999973</v>
      </c>
      <c r="G45" s="157">
        <f t="shared" si="7"/>
        <v>387576.33999999973</v>
      </c>
      <c r="H45" s="14"/>
      <c r="I45" s="16"/>
    </row>
    <row r="46" spans="1:9" x14ac:dyDescent="0.25">
      <c r="A46" s="152">
        <v>42434</v>
      </c>
      <c r="B46" s="153">
        <f t="shared" si="5"/>
        <v>30</v>
      </c>
      <c r="C46" s="154">
        <f t="shared" si="8"/>
        <v>67452</v>
      </c>
      <c r="D46" s="157">
        <f t="shared" si="1"/>
        <v>62607.3</v>
      </c>
      <c r="E46" s="19">
        <f t="shared" si="10"/>
        <v>4844.7</v>
      </c>
      <c r="F46" s="157">
        <f t="shared" si="9"/>
        <v>387576.33999999973</v>
      </c>
      <c r="G46" s="157">
        <f t="shared" si="7"/>
        <v>324969.03999999975</v>
      </c>
      <c r="H46" s="14"/>
      <c r="I46" s="16"/>
    </row>
    <row r="47" spans="1:9" x14ac:dyDescent="0.25">
      <c r="A47" s="152">
        <v>42465</v>
      </c>
      <c r="B47" s="153">
        <f t="shared" si="5"/>
        <v>30</v>
      </c>
      <c r="C47" s="154">
        <f t="shared" si="8"/>
        <v>67452</v>
      </c>
      <c r="D47" s="157">
        <f t="shared" si="1"/>
        <v>63389.89</v>
      </c>
      <c r="E47" s="19">
        <f t="shared" si="10"/>
        <v>4062.11</v>
      </c>
      <c r="F47" s="157">
        <f t="shared" si="9"/>
        <v>324969.03999999975</v>
      </c>
      <c r="G47" s="157">
        <f t="shared" si="7"/>
        <v>261579.14999999973</v>
      </c>
      <c r="H47" s="14"/>
      <c r="I47" s="16"/>
    </row>
    <row r="48" spans="1:9" x14ac:dyDescent="0.25">
      <c r="A48" s="152">
        <v>42495</v>
      </c>
      <c r="B48" s="153">
        <f t="shared" si="5"/>
        <v>30</v>
      </c>
      <c r="C48" s="154">
        <f t="shared" si="8"/>
        <v>67452</v>
      </c>
      <c r="D48" s="157">
        <f t="shared" si="1"/>
        <v>64182.26</v>
      </c>
      <c r="E48" s="19">
        <f t="shared" si="10"/>
        <v>3269.74</v>
      </c>
      <c r="F48" s="157">
        <f t="shared" si="9"/>
        <v>261579.14999999973</v>
      </c>
      <c r="G48" s="157">
        <f t="shared" si="7"/>
        <v>197396.88999999972</v>
      </c>
      <c r="H48" s="14"/>
      <c r="I48" s="16"/>
    </row>
    <row r="49" spans="1:9" x14ac:dyDescent="0.25">
      <c r="A49" s="158">
        <v>42526</v>
      </c>
      <c r="B49" s="159">
        <f t="shared" si="5"/>
        <v>30</v>
      </c>
      <c r="C49" s="160">
        <f>$H$2</f>
        <v>14514</v>
      </c>
      <c r="D49" s="161">
        <f t="shared" si="1"/>
        <v>12046.54</v>
      </c>
      <c r="E49" s="143">
        <f t="shared" si="10"/>
        <v>2467.46</v>
      </c>
      <c r="F49" s="161">
        <f t="shared" si="9"/>
        <v>197396.88999999972</v>
      </c>
      <c r="G49" s="161">
        <f t="shared" si="7"/>
        <v>185350.34999999971</v>
      </c>
      <c r="H49" s="14"/>
      <c r="I49" s="16"/>
    </row>
    <row r="50" spans="1:9" x14ac:dyDescent="0.25">
      <c r="A50" s="152">
        <v>42556</v>
      </c>
      <c r="B50" s="153">
        <f t="shared" si="5"/>
        <v>30</v>
      </c>
      <c r="C50" s="154">
        <f t="shared" ref="C50:C63" si="11">$H$2</f>
        <v>14514</v>
      </c>
      <c r="D50" s="157">
        <f t="shared" si="1"/>
        <v>12197.119999999999</v>
      </c>
      <c r="E50" s="19">
        <f t="shared" si="10"/>
        <v>2316.88</v>
      </c>
      <c r="F50" s="157">
        <f t="shared" si="9"/>
        <v>185350.34999999971</v>
      </c>
      <c r="G50" s="157">
        <f t="shared" si="7"/>
        <v>173153.22999999972</v>
      </c>
      <c r="H50" s="14"/>
      <c r="I50" s="16"/>
    </row>
    <row r="51" spans="1:9" x14ac:dyDescent="0.25">
      <c r="A51" s="152">
        <v>42587</v>
      </c>
      <c r="B51" s="153">
        <f t="shared" si="5"/>
        <v>30</v>
      </c>
      <c r="C51" s="154">
        <f t="shared" si="11"/>
        <v>14514</v>
      </c>
      <c r="D51" s="157">
        <f t="shared" si="1"/>
        <v>12349.58</v>
      </c>
      <c r="E51" s="19">
        <f t="shared" si="10"/>
        <v>2164.42</v>
      </c>
      <c r="F51" s="157">
        <f t="shared" si="9"/>
        <v>173153.22999999972</v>
      </c>
      <c r="G51" s="157">
        <f t="shared" si="7"/>
        <v>160803.64999999973</v>
      </c>
      <c r="H51" s="14"/>
      <c r="I51" s="16"/>
    </row>
    <row r="52" spans="1:9" x14ac:dyDescent="0.25">
      <c r="A52" s="152">
        <v>42618</v>
      </c>
      <c r="B52" s="153">
        <f t="shared" ref="B52:B63" si="12">DAYS360(A51,A52,TRUE)</f>
        <v>30</v>
      </c>
      <c r="C52" s="154">
        <f t="shared" si="11"/>
        <v>14514</v>
      </c>
      <c r="D52" s="157">
        <f t="shared" ref="D52:D63" si="13">C52-E52</f>
        <v>12503.95</v>
      </c>
      <c r="E52" s="19">
        <f t="shared" si="10"/>
        <v>2010.05</v>
      </c>
      <c r="F52" s="157">
        <f t="shared" si="9"/>
        <v>160803.64999999973</v>
      </c>
      <c r="G52" s="157">
        <f t="shared" ref="G52:G63" si="14">F52-D52</f>
        <v>148299.69999999972</v>
      </c>
      <c r="H52" s="93"/>
      <c r="I52" s="93"/>
    </row>
    <row r="53" spans="1:9" x14ac:dyDescent="0.25">
      <c r="A53" s="152">
        <v>42648</v>
      </c>
      <c r="B53" s="153">
        <f t="shared" si="12"/>
        <v>30</v>
      </c>
      <c r="C53" s="154">
        <f t="shared" si="11"/>
        <v>14514</v>
      </c>
      <c r="D53" s="157">
        <f t="shared" si="13"/>
        <v>12660.25</v>
      </c>
      <c r="E53" s="19">
        <f t="shared" si="10"/>
        <v>1853.75</v>
      </c>
      <c r="F53" s="157">
        <f t="shared" si="9"/>
        <v>148299.69999999972</v>
      </c>
      <c r="G53" s="157">
        <f t="shared" si="14"/>
        <v>135639.44999999972</v>
      </c>
      <c r="H53" s="93"/>
      <c r="I53" s="93"/>
    </row>
    <row r="54" spans="1:9" x14ac:dyDescent="0.25">
      <c r="A54" s="152">
        <v>42679</v>
      </c>
      <c r="B54" s="153">
        <f t="shared" si="12"/>
        <v>30</v>
      </c>
      <c r="C54" s="154">
        <f t="shared" si="11"/>
        <v>14514</v>
      </c>
      <c r="D54" s="157">
        <f t="shared" si="13"/>
        <v>12818.51</v>
      </c>
      <c r="E54" s="19">
        <f t="shared" si="10"/>
        <v>1695.49</v>
      </c>
      <c r="F54" s="157">
        <f t="shared" si="9"/>
        <v>135639.44999999972</v>
      </c>
      <c r="G54" s="157">
        <f t="shared" si="14"/>
        <v>122820.93999999973</v>
      </c>
      <c r="H54" s="93"/>
      <c r="I54" s="93"/>
    </row>
    <row r="55" spans="1:9" x14ac:dyDescent="0.25">
      <c r="A55" s="152">
        <v>42709</v>
      </c>
      <c r="B55" s="153">
        <f t="shared" si="12"/>
        <v>30</v>
      </c>
      <c r="C55" s="154">
        <f t="shared" si="11"/>
        <v>14514</v>
      </c>
      <c r="D55" s="157">
        <f t="shared" si="13"/>
        <v>12978.74</v>
      </c>
      <c r="E55" s="19">
        <f t="shared" si="10"/>
        <v>1535.26</v>
      </c>
      <c r="F55" s="157">
        <f t="shared" si="9"/>
        <v>122820.93999999973</v>
      </c>
      <c r="G55" s="157">
        <f t="shared" si="14"/>
        <v>109842.19999999972</v>
      </c>
      <c r="H55" s="93"/>
      <c r="I55" s="93"/>
    </row>
    <row r="56" spans="1:9" x14ac:dyDescent="0.25">
      <c r="A56" s="152">
        <v>42740</v>
      </c>
      <c r="B56" s="153">
        <f t="shared" si="12"/>
        <v>30</v>
      </c>
      <c r="C56" s="154">
        <f t="shared" si="11"/>
        <v>14514</v>
      </c>
      <c r="D56" s="157">
        <f t="shared" si="13"/>
        <v>13140.97</v>
      </c>
      <c r="E56" s="19">
        <f t="shared" si="10"/>
        <v>1373.03</v>
      </c>
      <c r="F56" s="157">
        <f t="shared" si="9"/>
        <v>109842.19999999972</v>
      </c>
      <c r="G56" s="157">
        <f t="shared" si="14"/>
        <v>96701.229999999719</v>
      </c>
      <c r="H56" s="93"/>
      <c r="I56" s="93"/>
    </row>
    <row r="57" spans="1:9" x14ac:dyDescent="0.25">
      <c r="A57" s="152">
        <v>42771</v>
      </c>
      <c r="B57" s="153">
        <f t="shared" si="12"/>
        <v>30</v>
      </c>
      <c r="C57" s="154">
        <f t="shared" si="11"/>
        <v>14514</v>
      </c>
      <c r="D57" s="157">
        <f t="shared" si="13"/>
        <v>13305.23</v>
      </c>
      <c r="E57" s="19">
        <f t="shared" si="10"/>
        <v>1208.77</v>
      </c>
      <c r="F57" s="157">
        <f t="shared" si="9"/>
        <v>96701.229999999719</v>
      </c>
      <c r="G57" s="157">
        <f t="shared" si="14"/>
        <v>83395.999999999724</v>
      </c>
      <c r="H57" s="93"/>
      <c r="I57" s="93"/>
    </row>
    <row r="58" spans="1:9" x14ac:dyDescent="0.25">
      <c r="A58" s="152">
        <v>42799</v>
      </c>
      <c r="B58" s="153">
        <f t="shared" si="12"/>
        <v>30</v>
      </c>
      <c r="C58" s="154">
        <f t="shared" si="11"/>
        <v>14514</v>
      </c>
      <c r="D58" s="157">
        <f t="shared" si="13"/>
        <v>13471.55</v>
      </c>
      <c r="E58" s="19">
        <f t="shared" si="10"/>
        <v>1042.45</v>
      </c>
      <c r="F58" s="157">
        <f t="shared" si="9"/>
        <v>83395.999999999724</v>
      </c>
      <c r="G58" s="157">
        <f t="shared" si="14"/>
        <v>69924.449999999721</v>
      </c>
      <c r="H58" s="93"/>
      <c r="I58" s="93"/>
    </row>
    <row r="59" spans="1:9" x14ac:dyDescent="0.25">
      <c r="A59" s="152">
        <v>42830</v>
      </c>
      <c r="B59" s="153">
        <f t="shared" si="12"/>
        <v>30</v>
      </c>
      <c r="C59" s="154">
        <f t="shared" si="11"/>
        <v>14514</v>
      </c>
      <c r="D59" s="157">
        <f t="shared" si="13"/>
        <v>13639.94</v>
      </c>
      <c r="E59" s="19">
        <f t="shared" si="10"/>
        <v>874.06</v>
      </c>
      <c r="F59" s="157">
        <f t="shared" si="9"/>
        <v>69924.449999999721</v>
      </c>
      <c r="G59" s="157">
        <f t="shared" si="14"/>
        <v>56284.509999999718</v>
      </c>
      <c r="H59" s="93"/>
      <c r="I59" s="93"/>
    </row>
    <row r="60" spans="1:9" x14ac:dyDescent="0.25">
      <c r="A60" s="152">
        <v>42860</v>
      </c>
      <c r="B60" s="153">
        <f t="shared" si="12"/>
        <v>30</v>
      </c>
      <c r="C60" s="154">
        <f t="shared" si="11"/>
        <v>14514</v>
      </c>
      <c r="D60" s="157">
        <f t="shared" si="13"/>
        <v>13810.44</v>
      </c>
      <c r="E60" s="19">
        <f t="shared" si="10"/>
        <v>703.56</v>
      </c>
      <c r="F60" s="157">
        <f t="shared" si="9"/>
        <v>56284.509999999718</v>
      </c>
      <c r="G60" s="157">
        <f t="shared" si="14"/>
        <v>42474.069999999716</v>
      </c>
      <c r="H60" s="93"/>
      <c r="I60" s="93"/>
    </row>
    <row r="61" spans="1:9" x14ac:dyDescent="0.25">
      <c r="A61" s="152">
        <v>42891</v>
      </c>
      <c r="B61" s="153">
        <f t="shared" si="12"/>
        <v>30</v>
      </c>
      <c r="C61" s="154">
        <f t="shared" si="11"/>
        <v>14514</v>
      </c>
      <c r="D61" s="157">
        <f t="shared" si="13"/>
        <v>13983.07</v>
      </c>
      <c r="E61" s="19">
        <f t="shared" si="10"/>
        <v>530.92999999999995</v>
      </c>
      <c r="F61" s="157">
        <f t="shared" si="9"/>
        <v>42474.069999999716</v>
      </c>
      <c r="G61" s="157">
        <f t="shared" si="14"/>
        <v>28490.999999999716</v>
      </c>
      <c r="H61" s="93"/>
      <c r="I61" s="93"/>
    </row>
    <row r="62" spans="1:9" x14ac:dyDescent="0.25">
      <c r="A62" s="152">
        <v>42921</v>
      </c>
      <c r="B62" s="153">
        <f t="shared" si="12"/>
        <v>30</v>
      </c>
      <c r="C62" s="154">
        <f t="shared" si="11"/>
        <v>14514</v>
      </c>
      <c r="D62" s="157">
        <f t="shared" si="13"/>
        <v>14157.86</v>
      </c>
      <c r="E62" s="19">
        <f t="shared" si="10"/>
        <v>356.14</v>
      </c>
      <c r="F62" s="157">
        <f t="shared" si="9"/>
        <v>28490.999999999716</v>
      </c>
      <c r="G62" s="157">
        <f t="shared" si="14"/>
        <v>14333.139999999716</v>
      </c>
      <c r="H62" s="93"/>
      <c r="I62" s="93"/>
    </row>
    <row r="63" spans="1:9" x14ac:dyDescent="0.25">
      <c r="A63" s="152">
        <v>42952</v>
      </c>
      <c r="B63" s="153">
        <f t="shared" si="12"/>
        <v>30</v>
      </c>
      <c r="C63" s="154">
        <f t="shared" si="11"/>
        <v>14514</v>
      </c>
      <c r="D63" s="157">
        <f t="shared" si="13"/>
        <v>14333.139999999716</v>
      </c>
      <c r="E63" s="19">
        <v>180.86000000028449</v>
      </c>
      <c r="F63" s="157">
        <f t="shared" si="9"/>
        <v>14333.139999999716</v>
      </c>
      <c r="G63" s="157">
        <f t="shared" si="14"/>
        <v>0</v>
      </c>
      <c r="H63" s="93"/>
      <c r="I63" s="93"/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4F28EF-3A8E-4380-B2BD-5FD42F5103C1}">
  <dimension ref="A1:U3"/>
  <sheetViews>
    <sheetView workbookViewId="0">
      <selection activeCell="J21" sqref="J21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103.285156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76</v>
      </c>
      <c r="D2" s="8" t="s">
        <v>77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29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122</v>
      </c>
      <c r="P2" s="20" t="s">
        <v>104</v>
      </c>
      <c r="Q2" s="20" t="s">
        <v>105</v>
      </c>
      <c r="R2" s="20" t="s">
        <v>223</v>
      </c>
      <c r="S2" s="20" t="s">
        <v>104</v>
      </c>
      <c r="T2" s="20" t="s">
        <v>13</v>
      </c>
      <c r="U2" s="50" t="s">
        <v>368</v>
      </c>
    </row>
    <row r="3" spans="1:21" x14ac:dyDescent="0.25">
      <c r="A3" s="38" t="s">
        <v>0</v>
      </c>
      <c r="B3" s="39" t="s">
        <v>9</v>
      </c>
      <c r="C3" s="39" t="s">
        <v>76</v>
      </c>
      <c r="D3" s="40" t="s">
        <v>77</v>
      </c>
      <c r="E3" s="40" t="s">
        <v>23</v>
      </c>
      <c r="F3" s="40" t="s">
        <v>41</v>
      </c>
      <c r="G3" s="40" t="s">
        <v>24</v>
      </c>
      <c r="H3" s="40" t="s">
        <v>13</v>
      </c>
      <c r="I3" s="40" t="s">
        <v>29</v>
      </c>
      <c r="J3" s="40" t="s">
        <v>42</v>
      </c>
      <c r="K3" s="40" t="s">
        <v>31</v>
      </c>
      <c r="L3" s="40" t="s">
        <v>26</v>
      </c>
      <c r="M3" s="40" t="s">
        <v>27</v>
      </c>
      <c r="N3" s="39" t="s">
        <v>29</v>
      </c>
      <c r="O3" s="39" t="s">
        <v>122</v>
      </c>
      <c r="P3" s="39" t="s">
        <v>104</v>
      </c>
      <c r="Q3" s="39" t="s">
        <v>105</v>
      </c>
      <c r="R3" s="39" t="s">
        <v>223</v>
      </c>
      <c r="S3" s="39" t="s">
        <v>104</v>
      </c>
      <c r="T3" s="39" t="s">
        <v>13</v>
      </c>
      <c r="U3" s="41" t="s">
        <v>367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694309-283D-4B45-B740-3D424CE4B792}">
  <dimension ref="A1:I63"/>
  <sheetViews>
    <sheetView zoomScale="80" zoomScaleNormal="80" workbookViewId="0">
      <pane ySplit="3" topLeftCell="A32" activePane="bottomLeft" state="frozen"/>
      <selection activeCell="A3" sqref="A3"/>
      <selection pane="bottomLeft" sqref="A1:C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15.5703125" bestFit="1" customWidth="1"/>
    <col min="4" max="4" width="11.42578125" bestFit="1" customWidth="1"/>
    <col min="5" max="5" width="12.42578125" bestFit="1" customWidth="1"/>
    <col min="6" max="6" width="17" bestFit="1" customWidth="1"/>
    <col min="7" max="7" width="15.85546875" bestFit="1" customWidth="1"/>
    <col min="8" max="8" width="16.7109375" bestFit="1" customWidth="1"/>
    <col min="9" max="9" width="7.42578125" bestFit="1" customWidth="1"/>
  </cols>
  <sheetData>
    <row r="1" spans="1:9" x14ac:dyDescent="0.25">
      <c r="A1" s="17" t="s">
        <v>33</v>
      </c>
      <c r="B1" s="78">
        <v>41856</v>
      </c>
      <c r="C1" s="17" t="s">
        <v>355</v>
      </c>
      <c r="D1" s="137" t="s">
        <v>347</v>
      </c>
      <c r="E1" s="137" t="s">
        <v>354</v>
      </c>
      <c r="F1" s="138" t="s">
        <v>331</v>
      </c>
      <c r="G1" s="137" t="s">
        <v>346</v>
      </c>
      <c r="H1" s="137" t="s">
        <v>352</v>
      </c>
      <c r="I1" s="138" t="s">
        <v>366</v>
      </c>
    </row>
    <row r="2" spans="1:9" x14ac:dyDescent="0.25">
      <c r="A2" s="17" t="s">
        <v>34</v>
      </c>
      <c r="B2" s="18">
        <v>0.15</v>
      </c>
      <c r="C2" s="17">
        <f>ROUNDUP(34673.5343079289,0)</f>
        <v>34674</v>
      </c>
      <c r="D2" s="125">
        <v>42614</v>
      </c>
      <c r="E2" s="139">
        <f>ROUNDUP(64538.2716666667,0)</f>
        <v>64539</v>
      </c>
      <c r="F2" s="149">
        <v>24</v>
      </c>
      <c r="G2" s="125">
        <v>42491</v>
      </c>
      <c r="H2" s="139">
        <f>ROUNDUP(17358.563790349,0)</f>
        <v>17359</v>
      </c>
      <c r="I2" s="149">
        <v>36</v>
      </c>
    </row>
    <row r="3" spans="1:9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23" t="s">
        <v>36</v>
      </c>
    </row>
    <row r="4" spans="1:9" x14ac:dyDescent="0.25">
      <c r="A4" s="29">
        <v>41887</v>
      </c>
      <c r="B4" s="1">
        <f>_xlfn.DAYS(A4,B1)</f>
        <v>31</v>
      </c>
      <c r="C4" s="4">
        <f t="shared" ref="C4:C39" si="0">$C$2</f>
        <v>34674</v>
      </c>
      <c r="D4" s="3">
        <f>C4-E4</f>
        <v>21934.27</v>
      </c>
      <c r="E4" s="19">
        <f>ROUND(F4*$B$2*B4/365,2)</f>
        <v>12739.73</v>
      </c>
      <c r="F4" s="23">
        <v>1000000</v>
      </c>
      <c r="G4" s="2">
        <f>F4-D4</f>
        <v>978065.73</v>
      </c>
      <c r="H4" s="14">
        <f>F4*$B$2*B4/365</f>
        <v>12739.726027397261</v>
      </c>
      <c r="I4" s="16">
        <f>H4-E4</f>
        <v>-3.9726027389406227E-3</v>
      </c>
    </row>
    <row r="5" spans="1:9" x14ac:dyDescent="0.25">
      <c r="A5" s="29">
        <v>41917</v>
      </c>
      <c r="B5" s="1">
        <f>_xlfn.DAYS(A5,A4)</f>
        <v>30</v>
      </c>
      <c r="C5" s="4">
        <f t="shared" si="0"/>
        <v>34674</v>
      </c>
      <c r="D5" s="2">
        <f t="shared" ref="D5:D39" si="1">C5-E5</f>
        <v>22615.66</v>
      </c>
      <c r="E5" s="19">
        <f>ROUND(F5*$B$2*B5/365,2)</f>
        <v>12058.34</v>
      </c>
      <c r="F5" s="2">
        <f>G4</f>
        <v>978065.73</v>
      </c>
      <c r="G5" s="2">
        <f>F5-D5</f>
        <v>955450.07</v>
      </c>
      <c r="H5" s="14">
        <f t="shared" ref="H5:H33" si="2">F5*$B$2*B5/365</f>
        <v>12058.344616438357</v>
      </c>
      <c r="I5" s="16">
        <f t="shared" ref="I5:I33" si="3">H5-E5</f>
        <v>4.6164383566065226E-3</v>
      </c>
    </row>
    <row r="6" spans="1:9" x14ac:dyDescent="0.25">
      <c r="A6" s="29">
        <v>41948</v>
      </c>
      <c r="B6" s="1">
        <f t="shared" ref="B6:B39" si="4">_xlfn.DAYS(A6,A5)</f>
        <v>31</v>
      </c>
      <c r="C6" s="4">
        <f t="shared" si="0"/>
        <v>34674</v>
      </c>
      <c r="D6" s="2">
        <f t="shared" si="1"/>
        <v>22501.83</v>
      </c>
      <c r="E6" s="19">
        <f t="shared" ref="E6:E38" si="5">ROUND(F6*$B$2*B6/365,2)</f>
        <v>12172.17</v>
      </c>
      <c r="F6" s="2">
        <f t="shared" ref="F6:F39" si="6">G5</f>
        <v>955450.07</v>
      </c>
      <c r="G6" s="2">
        <f t="shared" ref="G6:G39" si="7">F6-D6</f>
        <v>932948.24</v>
      </c>
      <c r="H6" s="14">
        <f t="shared" si="2"/>
        <v>12172.172124657533</v>
      </c>
      <c r="I6" s="16">
        <f t="shared" si="3"/>
        <v>2.1246575324767036E-3</v>
      </c>
    </row>
    <row r="7" spans="1:9" x14ac:dyDescent="0.25">
      <c r="A7" s="29">
        <v>41978</v>
      </c>
      <c r="B7" s="1">
        <f t="shared" si="4"/>
        <v>30</v>
      </c>
      <c r="C7" s="4">
        <f t="shared" si="0"/>
        <v>34674</v>
      </c>
      <c r="D7" s="2">
        <f t="shared" si="1"/>
        <v>23171.9</v>
      </c>
      <c r="E7" s="19">
        <f t="shared" si="5"/>
        <v>11502.1</v>
      </c>
      <c r="F7" s="2">
        <f t="shared" si="6"/>
        <v>932948.24</v>
      </c>
      <c r="G7" s="2">
        <f t="shared" si="7"/>
        <v>909776.34</v>
      </c>
      <c r="H7" s="14">
        <f t="shared" si="2"/>
        <v>11502.101589041096</v>
      </c>
      <c r="I7" s="16">
        <f t="shared" si="3"/>
        <v>1.5890410959400469E-3</v>
      </c>
    </row>
    <row r="8" spans="1:9" x14ac:dyDescent="0.25">
      <c r="A8" s="29">
        <v>42009</v>
      </c>
      <c r="B8" s="1">
        <f t="shared" si="4"/>
        <v>31</v>
      </c>
      <c r="C8" s="4">
        <f t="shared" si="0"/>
        <v>34674</v>
      </c>
      <c r="D8" s="2">
        <f t="shared" si="1"/>
        <v>23083.7</v>
      </c>
      <c r="E8" s="19">
        <f t="shared" si="5"/>
        <v>11590.3</v>
      </c>
      <c r="F8" s="2">
        <f t="shared" si="6"/>
        <v>909776.34</v>
      </c>
      <c r="G8" s="2">
        <f t="shared" si="7"/>
        <v>886692.64</v>
      </c>
      <c r="H8" s="14">
        <f t="shared" si="2"/>
        <v>11590.301317808218</v>
      </c>
      <c r="I8" s="16">
        <f t="shared" si="3"/>
        <v>1.3178082190279383E-3</v>
      </c>
    </row>
    <row r="9" spans="1:9" x14ac:dyDescent="0.25">
      <c r="A9" s="29">
        <v>42040</v>
      </c>
      <c r="B9" s="1">
        <f t="shared" si="4"/>
        <v>31</v>
      </c>
      <c r="C9" s="4">
        <f t="shared" si="0"/>
        <v>34674</v>
      </c>
      <c r="D9" s="2">
        <f t="shared" si="1"/>
        <v>23377.78</v>
      </c>
      <c r="E9" s="19">
        <f t="shared" si="5"/>
        <v>11296.22</v>
      </c>
      <c r="F9" s="2">
        <f t="shared" si="6"/>
        <v>886692.64</v>
      </c>
      <c r="G9" s="2">
        <f t="shared" si="7"/>
        <v>863314.86</v>
      </c>
      <c r="H9" s="14">
        <f t="shared" si="2"/>
        <v>11296.221304109589</v>
      </c>
      <c r="I9" s="16">
        <f t="shared" si="3"/>
        <v>1.3041095899097854E-3</v>
      </c>
    </row>
    <row r="10" spans="1:9" x14ac:dyDescent="0.25">
      <c r="A10" s="29">
        <v>42068</v>
      </c>
      <c r="B10" s="1">
        <f t="shared" si="4"/>
        <v>28</v>
      </c>
      <c r="C10" s="4">
        <f t="shared" si="0"/>
        <v>34674</v>
      </c>
      <c r="D10" s="2">
        <f t="shared" si="1"/>
        <v>24739.97</v>
      </c>
      <c r="E10" s="19">
        <f t="shared" si="5"/>
        <v>9934.0300000000007</v>
      </c>
      <c r="F10" s="2">
        <f t="shared" si="6"/>
        <v>863314.86</v>
      </c>
      <c r="G10" s="2">
        <f t="shared" si="7"/>
        <v>838574.89</v>
      </c>
      <c r="H10" s="14">
        <f t="shared" si="2"/>
        <v>9934.0340054794506</v>
      </c>
      <c r="I10" s="16">
        <f t="shared" si="3"/>
        <v>4.0054794499155832E-3</v>
      </c>
    </row>
    <row r="11" spans="1:9" x14ac:dyDescent="0.25">
      <c r="A11" s="29">
        <v>42099</v>
      </c>
      <c r="B11" s="1">
        <f t="shared" si="4"/>
        <v>31</v>
      </c>
      <c r="C11" s="4">
        <f t="shared" si="0"/>
        <v>34674</v>
      </c>
      <c r="D11" s="2">
        <f t="shared" si="1"/>
        <v>23990.79</v>
      </c>
      <c r="E11" s="19">
        <f t="shared" si="5"/>
        <v>10683.21</v>
      </c>
      <c r="F11" s="2">
        <f t="shared" si="6"/>
        <v>838574.89</v>
      </c>
      <c r="G11" s="2">
        <f t="shared" si="7"/>
        <v>814584.1</v>
      </c>
      <c r="H11" s="14">
        <f t="shared" si="2"/>
        <v>10683.214352054794</v>
      </c>
      <c r="I11" s="16">
        <f t="shared" si="3"/>
        <v>4.3520547951629851E-3</v>
      </c>
    </row>
    <row r="12" spans="1:9" x14ac:dyDescent="0.25">
      <c r="A12" s="29">
        <v>42129</v>
      </c>
      <c r="B12" s="1">
        <f t="shared" si="4"/>
        <v>30</v>
      </c>
      <c r="C12" s="4">
        <f t="shared" si="0"/>
        <v>34674</v>
      </c>
      <c r="D12" s="2">
        <f t="shared" si="1"/>
        <v>24631.18</v>
      </c>
      <c r="E12" s="19">
        <f t="shared" si="5"/>
        <v>10042.82</v>
      </c>
      <c r="F12" s="2">
        <f t="shared" si="6"/>
        <v>814584.1</v>
      </c>
      <c r="G12" s="2">
        <f t="shared" si="7"/>
        <v>789952.91999999993</v>
      </c>
      <c r="H12" s="14">
        <f t="shared" si="2"/>
        <v>10042.817671232877</v>
      </c>
      <c r="I12" s="16">
        <f t="shared" si="3"/>
        <v>-2.3287671228899853E-3</v>
      </c>
    </row>
    <row r="13" spans="1:9" x14ac:dyDescent="0.25">
      <c r="A13" s="29">
        <v>42160</v>
      </c>
      <c r="B13" s="1">
        <f t="shared" si="4"/>
        <v>31</v>
      </c>
      <c r="C13" s="4">
        <f t="shared" si="0"/>
        <v>34674</v>
      </c>
      <c r="D13" s="2">
        <f t="shared" si="1"/>
        <v>24610.22</v>
      </c>
      <c r="E13" s="19">
        <f t="shared" si="5"/>
        <v>10063.780000000001</v>
      </c>
      <c r="F13" s="2">
        <f t="shared" si="6"/>
        <v>789952.91999999993</v>
      </c>
      <c r="G13" s="2">
        <f t="shared" si="7"/>
        <v>765342.7</v>
      </c>
      <c r="H13" s="14">
        <f t="shared" si="2"/>
        <v>10063.783775342465</v>
      </c>
      <c r="I13" s="16">
        <f t="shared" si="3"/>
        <v>3.7753424639959121E-3</v>
      </c>
    </row>
    <row r="14" spans="1:9" x14ac:dyDescent="0.25">
      <c r="A14" s="29">
        <v>42190</v>
      </c>
      <c r="B14" s="1">
        <f t="shared" si="4"/>
        <v>30</v>
      </c>
      <c r="C14" s="4">
        <f t="shared" si="0"/>
        <v>34674</v>
      </c>
      <c r="D14" s="2">
        <f t="shared" si="1"/>
        <v>25238.27</v>
      </c>
      <c r="E14" s="19">
        <f t="shared" si="5"/>
        <v>9435.73</v>
      </c>
      <c r="F14" s="2">
        <f t="shared" si="6"/>
        <v>765342.7</v>
      </c>
      <c r="G14" s="2">
        <f t="shared" si="7"/>
        <v>740104.42999999993</v>
      </c>
      <c r="H14" s="14">
        <f t="shared" si="2"/>
        <v>9435.731917808218</v>
      </c>
      <c r="I14" s="16">
        <f t="shared" si="3"/>
        <v>1.9178082184225786E-3</v>
      </c>
    </row>
    <row r="15" spans="1:9" x14ac:dyDescent="0.25">
      <c r="A15" s="29">
        <v>42221</v>
      </c>
      <c r="B15" s="1">
        <f t="shared" si="4"/>
        <v>31</v>
      </c>
      <c r="C15" s="4">
        <f t="shared" si="0"/>
        <v>34674</v>
      </c>
      <c r="D15" s="2">
        <f t="shared" si="1"/>
        <v>25245.27</v>
      </c>
      <c r="E15" s="19">
        <f t="shared" si="5"/>
        <v>9428.73</v>
      </c>
      <c r="F15" s="2">
        <f t="shared" si="6"/>
        <v>740104.42999999993</v>
      </c>
      <c r="G15" s="2">
        <f t="shared" si="7"/>
        <v>714859.15999999992</v>
      </c>
      <c r="H15" s="14">
        <f t="shared" si="2"/>
        <v>9428.7276698630121</v>
      </c>
      <c r="I15" s="16">
        <f t="shared" si="3"/>
        <v>-2.3301369874388911E-3</v>
      </c>
    </row>
    <row r="16" spans="1:9" x14ac:dyDescent="0.25">
      <c r="A16" s="29">
        <v>42252</v>
      </c>
      <c r="B16" s="1">
        <f t="shared" si="4"/>
        <v>31</v>
      </c>
      <c r="C16" s="4">
        <f t="shared" si="0"/>
        <v>34674</v>
      </c>
      <c r="D16" s="2">
        <f t="shared" si="1"/>
        <v>25566.89</v>
      </c>
      <c r="E16" s="19">
        <f t="shared" si="5"/>
        <v>9107.11</v>
      </c>
      <c r="F16" s="2">
        <f t="shared" si="6"/>
        <v>714859.15999999992</v>
      </c>
      <c r="G16" s="2">
        <f t="shared" si="7"/>
        <v>689292.2699999999</v>
      </c>
      <c r="H16" s="14">
        <f t="shared" si="2"/>
        <v>9107.1098465753421</v>
      </c>
      <c r="I16" s="16">
        <f t="shared" si="3"/>
        <v>-1.5342465849244036E-4</v>
      </c>
    </row>
    <row r="17" spans="1:9" x14ac:dyDescent="0.25">
      <c r="A17" s="29">
        <v>42282</v>
      </c>
      <c r="B17" s="1">
        <f t="shared" si="4"/>
        <v>30</v>
      </c>
      <c r="C17" s="4">
        <f t="shared" si="0"/>
        <v>34674</v>
      </c>
      <c r="D17" s="2">
        <f t="shared" si="1"/>
        <v>26175.879999999997</v>
      </c>
      <c r="E17" s="19">
        <f t="shared" si="5"/>
        <v>8498.1200000000008</v>
      </c>
      <c r="F17" s="2">
        <f t="shared" si="6"/>
        <v>689292.2699999999</v>
      </c>
      <c r="G17" s="2">
        <f t="shared" si="7"/>
        <v>663116.3899999999</v>
      </c>
      <c r="H17" s="14">
        <f t="shared" si="2"/>
        <v>8498.1238767123268</v>
      </c>
      <c r="I17" s="16">
        <f t="shared" si="3"/>
        <v>3.8767123260186054E-3</v>
      </c>
    </row>
    <row r="18" spans="1:9" x14ac:dyDescent="0.25">
      <c r="A18" s="29">
        <v>42313</v>
      </c>
      <c r="B18" s="1">
        <f t="shared" si="4"/>
        <v>31</v>
      </c>
      <c r="C18" s="4">
        <f t="shared" si="0"/>
        <v>34674</v>
      </c>
      <c r="D18" s="2">
        <f t="shared" si="1"/>
        <v>26226.080000000002</v>
      </c>
      <c r="E18" s="19">
        <f t="shared" si="5"/>
        <v>8447.92</v>
      </c>
      <c r="F18" s="2">
        <f t="shared" si="6"/>
        <v>663116.3899999999</v>
      </c>
      <c r="G18" s="2">
        <f t="shared" si="7"/>
        <v>636890.30999999994</v>
      </c>
      <c r="H18" s="14">
        <f t="shared" si="2"/>
        <v>8447.9211328767105</v>
      </c>
      <c r="I18" s="16">
        <f t="shared" si="3"/>
        <v>1.1328767104714643E-3</v>
      </c>
    </row>
    <row r="19" spans="1:9" x14ac:dyDescent="0.25">
      <c r="A19" s="29">
        <v>42343</v>
      </c>
      <c r="B19" s="1">
        <f t="shared" si="4"/>
        <v>30</v>
      </c>
      <c r="C19" s="4">
        <f t="shared" si="0"/>
        <v>34674</v>
      </c>
      <c r="D19" s="2">
        <f t="shared" si="1"/>
        <v>26821.93</v>
      </c>
      <c r="E19" s="19">
        <f t="shared" si="5"/>
        <v>7852.07</v>
      </c>
      <c r="F19" s="2">
        <f t="shared" si="6"/>
        <v>636890.30999999994</v>
      </c>
      <c r="G19" s="2">
        <f t="shared" si="7"/>
        <v>610068.37999999989</v>
      </c>
      <c r="H19" s="14">
        <f t="shared" si="2"/>
        <v>7852.0723150684917</v>
      </c>
      <c r="I19" s="16">
        <f t="shared" si="3"/>
        <v>2.315068491952843E-3</v>
      </c>
    </row>
    <row r="20" spans="1:9" x14ac:dyDescent="0.25">
      <c r="A20" s="29">
        <v>42374</v>
      </c>
      <c r="B20" s="1">
        <f t="shared" si="4"/>
        <v>31</v>
      </c>
      <c r="C20" s="4">
        <f t="shared" si="0"/>
        <v>34674</v>
      </c>
      <c r="D20" s="2">
        <f t="shared" si="1"/>
        <v>26901.9</v>
      </c>
      <c r="E20" s="19">
        <f t="shared" si="5"/>
        <v>7772.1</v>
      </c>
      <c r="F20" s="2">
        <f t="shared" si="6"/>
        <v>610068.37999999989</v>
      </c>
      <c r="G20" s="2">
        <f t="shared" si="7"/>
        <v>583166.47999999986</v>
      </c>
      <c r="H20" s="14">
        <f t="shared" si="2"/>
        <v>7772.1040191780803</v>
      </c>
      <c r="I20" s="16">
        <f t="shared" si="3"/>
        <v>4.0191780799432308E-3</v>
      </c>
    </row>
    <row r="21" spans="1:9" x14ac:dyDescent="0.25">
      <c r="A21" s="29">
        <v>42405</v>
      </c>
      <c r="B21" s="1">
        <f t="shared" si="4"/>
        <v>31</v>
      </c>
      <c r="C21" s="4">
        <f t="shared" si="0"/>
        <v>34674</v>
      </c>
      <c r="D21" s="2">
        <f t="shared" si="1"/>
        <v>27244.62</v>
      </c>
      <c r="E21" s="19">
        <f t="shared" si="5"/>
        <v>7429.38</v>
      </c>
      <c r="F21" s="2">
        <f t="shared" si="6"/>
        <v>583166.47999999986</v>
      </c>
      <c r="G21" s="2">
        <f t="shared" si="7"/>
        <v>555921.85999999987</v>
      </c>
      <c r="H21" s="14">
        <f t="shared" si="2"/>
        <v>7429.3811835616416</v>
      </c>
      <c r="I21" s="16">
        <f t="shared" si="3"/>
        <v>1.183561641482811E-3</v>
      </c>
    </row>
    <row r="22" spans="1:9" x14ac:dyDescent="0.25">
      <c r="A22" s="29">
        <v>42434</v>
      </c>
      <c r="B22" s="1">
        <f t="shared" si="4"/>
        <v>29</v>
      </c>
      <c r="C22" s="4">
        <f t="shared" si="0"/>
        <v>34674</v>
      </c>
      <c r="D22" s="2">
        <f t="shared" si="1"/>
        <v>28048.63</v>
      </c>
      <c r="E22" s="19">
        <f t="shared" si="5"/>
        <v>6625.37</v>
      </c>
      <c r="F22" s="2">
        <f t="shared" si="6"/>
        <v>555921.85999999987</v>
      </c>
      <c r="G22" s="2">
        <f t="shared" si="7"/>
        <v>527873.22999999986</v>
      </c>
      <c r="H22" s="14">
        <f t="shared" si="2"/>
        <v>6625.3701123287656</v>
      </c>
      <c r="I22" s="16">
        <f t="shared" si="3"/>
        <v>1.1232876568101346E-4</v>
      </c>
    </row>
    <row r="23" spans="1:9" x14ac:dyDescent="0.25">
      <c r="A23" s="29">
        <v>42465</v>
      </c>
      <c r="B23" s="1">
        <f t="shared" si="4"/>
        <v>31</v>
      </c>
      <c r="C23" s="4">
        <f t="shared" si="0"/>
        <v>34674</v>
      </c>
      <c r="D23" s="2">
        <f t="shared" si="1"/>
        <v>27949.040000000001</v>
      </c>
      <c r="E23" s="19">
        <f t="shared" si="5"/>
        <v>6724.96</v>
      </c>
      <c r="F23" s="2">
        <f t="shared" si="6"/>
        <v>527873.22999999986</v>
      </c>
      <c r="G23" s="2">
        <f t="shared" si="7"/>
        <v>499924.18999999989</v>
      </c>
      <c r="H23" s="14">
        <f t="shared" si="2"/>
        <v>6724.9603273972589</v>
      </c>
      <c r="I23" s="16">
        <f t="shared" si="3"/>
        <v>3.2739725884312065E-4</v>
      </c>
    </row>
    <row r="24" spans="1:9" x14ac:dyDescent="0.25">
      <c r="A24" s="29">
        <v>42495</v>
      </c>
      <c r="B24" s="1">
        <f t="shared" si="4"/>
        <v>30</v>
      </c>
      <c r="C24" s="4">
        <f t="shared" si="0"/>
        <v>34674</v>
      </c>
      <c r="D24" s="2">
        <f t="shared" si="1"/>
        <v>28510.55</v>
      </c>
      <c r="E24" s="19">
        <f t="shared" si="5"/>
        <v>6163.45</v>
      </c>
      <c r="F24" s="2">
        <f t="shared" si="6"/>
        <v>499924.18999999989</v>
      </c>
      <c r="G24" s="2">
        <f t="shared" si="7"/>
        <v>471413.6399999999</v>
      </c>
      <c r="H24" s="14">
        <f t="shared" si="2"/>
        <v>6163.4489178082176</v>
      </c>
      <c r="I24" s="16">
        <f t="shared" si="3"/>
        <v>-1.0821917821886018E-3</v>
      </c>
    </row>
    <row r="25" spans="1:9" x14ac:dyDescent="0.25">
      <c r="A25" s="29">
        <v>42526</v>
      </c>
      <c r="B25" s="1">
        <f t="shared" si="4"/>
        <v>31</v>
      </c>
      <c r="C25" s="4">
        <f t="shared" si="0"/>
        <v>34674</v>
      </c>
      <c r="D25" s="2">
        <f t="shared" si="1"/>
        <v>28668.32</v>
      </c>
      <c r="E25" s="19">
        <f t="shared" si="5"/>
        <v>6005.68</v>
      </c>
      <c r="F25" s="2">
        <f t="shared" si="6"/>
        <v>471413.6399999999</v>
      </c>
      <c r="G25" s="2">
        <f t="shared" si="7"/>
        <v>442745.31999999989</v>
      </c>
      <c r="H25" s="14">
        <f t="shared" si="2"/>
        <v>6005.6806191780806</v>
      </c>
      <c r="I25" s="16">
        <f t="shared" si="3"/>
        <v>6.1917808034195332E-4</v>
      </c>
    </row>
    <row r="26" spans="1:9" x14ac:dyDescent="0.25">
      <c r="A26" s="29">
        <v>42556</v>
      </c>
      <c r="B26" s="1">
        <f t="shared" si="4"/>
        <v>30</v>
      </c>
      <c r="C26" s="4">
        <f t="shared" si="0"/>
        <v>34674</v>
      </c>
      <c r="D26" s="2">
        <f t="shared" si="1"/>
        <v>29215.5</v>
      </c>
      <c r="E26" s="19">
        <f t="shared" si="5"/>
        <v>5458.5</v>
      </c>
      <c r="F26" s="2">
        <f t="shared" si="6"/>
        <v>442745.31999999989</v>
      </c>
      <c r="G26" s="2">
        <f t="shared" si="7"/>
        <v>413529.81999999989</v>
      </c>
      <c r="H26" s="14">
        <f t="shared" si="2"/>
        <v>5458.503945205478</v>
      </c>
      <c r="I26" s="16">
        <f t="shared" si="3"/>
        <v>3.9452054779758328E-3</v>
      </c>
    </row>
    <row r="27" spans="1:9" x14ac:dyDescent="0.25">
      <c r="A27" s="29">
        <v>42587</v>
      </c>
      <c r="B27" s="1">
        <f t="shared" si="4"/>
        <v>31</v>
      </c>
      <c r="C27" s="4">
        <f t="shared" si="0"/>
        <v>34674</v>
      </c>
      <c r="D27" s="2">
        <f t="shared" si="1"/>
        <v>29405.739999999998</v>
      </c>
      <c r="E27" s="19">
        <f t="shared" si="5"/>
        <v>5268.26</v>
      </c>
      <c r="F27" s="2">
        <f t="shared" si="6"/>
        <v>413529.81999999989</v>
      </c>
      <c r="G27" s="2">
        <f t="shared" si="7"/>
        <v>384124.0799999999</v>
      </c>
      <c r="H27" s="14">
        <f t="shared" si="2"/>
        <v>5268.2566109589025</v>
      </c>
      <c r="I27" s="16">
        <f t="shared" si="3"/>
        <v>-3.3890410977619467E-3</v>
      </c>
    </row>
    <row r="28" spans="1:9" x14ac:dyDescent="0.25">
      <c r="A28" s="29">
        <v>42618</v>
      </c>
      <c r="B28" s="1">
        <f t="shared" si="4"/>
        <v>31</v>
      </c>
      <c r="C28" s="4">
        <f t="shared" si="0"/>
        <v>34674</v>
      </c>
      <c r="D28" s="2">
        <f t="shared" si="1"/>
        <v>29780.36</v>
      </c>
      <c r="E28" s="19">
        <f t="shared" si="5"/>
        <v>4893.6400000000003</v>
      </c>
      <c r="F28" s="2">
        <f t="shared" si="6"/>
        <v>384124.0799999999</v>
      </c>
      <c r="G28" s="2">
        <f t="shared" si="7"/>
        <v>354343.71999999991</v>
      </c>
      <c r="H28" s="14">
        <f t="shared" si="2"/>
        <v>4893.6355397260259</v>
      </c>
      <c r="I28" s="16">
        <f t="shared" si="3"/>
        <v>-4.4602739744732389E-3</v>
      </c>
    </row>
    <row r="29" spans="1:9" x14ac:dyDescent="0.25">
      <c r="A29" s="29">
        <v>42648</v>
      </c>
      <c r="B29" s="1">
        <f t="shared" si="4"/>
        <v>30</v>
      </c>
      <c r="C29" s="4">
        <f t="shared" si="0"/>
        <v>34674</v>
      </c>
      <c r="D29" s="2">
        <f t="shared" si="1"/>
        <v>30305.38</v>
      </c>
      <c r="E29" s="19">
        <f t="shared" si="5"/>
        <v>4368.62</v>
      </c>
      <c r="F29" s="2">
        <f t="shared" si="6"/>
        <v>354343.71999999991</v>
      </c>
      <c r="G29" s="2">
        <f t="shared" si="7"/>
        <v>324038.33999999991</v>
      </c>
      <c r="H29" s="14">
        <f t="shared" si="2"/>
        <v>4368.6212054794505</v>
      </c>
      <c r="I29" s="16">
        <f t="shared" si="3"/>
        <v>1.2054794506184408E-3</v>
      </c>
    </row>
    <row r="30" spans="1:9" x14ac:dyDescent="0.25">
      <c r="A30" s="29">
        <v>42679</v>
      </c>
      <c r="B30" s="1">
        <f t="shared" si="4"/>
        <v>31</v>
      </c>
      <c r="C30" s="4">
        <f t="shared" si="0"/>
        <v>34674</v>
      </c>
      <c r="D30" s="2">
        <f t="shared" si="1"/>
        <v>30545.84</v>
      </c>
      <c r="E30" s="19">
        <f t="shared" si="5"/>
        <v>4128.16</v>
      </c>
      <c r="F30" s="2">
        <f t="shared" si="6"/>
        <v>324038.33999999991</v>
      </c>
      <c r="G30" s="2">
        <f t="shared" si="7"/>
        <v>293492.49999999988</v>
      </c>
      <c r="H30" s="14">
        <f t="shared" si="2"/>
        <v>4128.159673972601</v>
      </c>
      <c r="I30" s="16">
        <f t="shared" si="3"/>
        <v>-3.2602739884168841E-4</v>
      </c>
    </row>
    <row r="31" spans="1:9" x14ac:dyDescent="0.25">
      <c r="A31" s="29">
        <v>42709</v>
      </c>
      <c r="B31" s="1">
        <f t="shared" si="4"/>
        <v>30</v>
      </c>
      <c r="C31" s="4">
        <f t="shared" si="0"/>
        <v>34674</v>
      </c>
      <c r="D31" s="2">
        <f t="shared" si="1"/>
        <v>31055.599999999999</v>
      </c>
      <c r="E31" s="19">
        <f t="shared" si="5"/>
        <v>3618.4</v>
      </c>
      <c r="F31" s="2">
        <f t="shared" si="6"/>
        <v>293492.49999999988</v>
      </c>
      <c r="G31" s="2">
        <f t="shared" si="7"/>
        <v>262436.89999999991</v>
      </c>
      <c r="H31" s="14">
        <f t="shared" si="2"/>
        <v>3618.4006849315051</v>
      </c>
      <c r="I31" s="16">
        <f t="shared" si="3"/>
        <v>6.849315050203586E-4</v>
      </c>
    </row>
    <row r="32" spans="1:9" x14ac:dyDescent="0.25">
      <c r="A32" s="29">
        <v>42740</v>
      </c>
      <c r="B32" s="1">
        <f t="shared" si="4"/>
        <v>31</v>
      </c>
      <c r="C32" s="4">
        <f t="shared" si="0"/>
        <v>34674</v>
      </c>
      <c r="D32" s="2">
        <f t="shared" si="1"/>
        <v>31330.63</v>
      </c>
      <c r="E32" s="19">
        <f t="shared" si="5"/>
        <v>3343.37</v>
      </c>
      <c r="F32" s="2">
        <f t="shared" si="6"/>
        <v>262436.89999999991</v>
      </c>
      <c r="G32" s="2">
        <f t="shared" si="7"/>
        <v>231106.2699999999</v>
      </c>
      <c r="H32" s="14">
        <f t="shared" si="2"/>
        <v>3343.3742054794507</v>
      </c>
      <c r="I32" s="16">
        <f t="shared" si="3"/>
        <v>4.2054794507748738E-3</v>
      </c>
    </row>
    <row r="33" spans="1:9" x14ac:dyDescent="0.25">
      <c r="A33" s="29">
        <v>42771</v>
      </c>
      <c r="B33" s="1">
        <f t="shared" si="4"/>
        <v>31</v>
      </c>
      <c r="C33" s="4">
        <f t="shared" si="0"/>
        <v>34674</v>
      </c>
      <c r="D33" s="2">
        <f t="shared" si="1"/>
        <v>31729.77</v>
      </c>
      <c r="E33" s="19">
        <f t="shared" si="5"/>
        <v>2944.23</v>
      </c>
      <c r="F33" s="2">
        <f t="shared" si="6"/>
        <v>231106.2699999999</v>
      </c>
      <c r="G33" s="2">
        <f t="shared" si="7"/>
        <v>199376.49999999991</v>
      </c>
      <c r="H33" s="14">
        <f t="shared" si="2"/>
        <v>2944.2305630136971</v>
      </c>
      <c r="I33" s="16">
        <f t="shared" si="3"/>
        <v>5.6301369704669924E-4</v>
      </c>
    </row>
    <row r="34" spans="1:9" x14ac:dyDescent="0.25">
      <c r="A34" s="29">
        <v>42799</v>
      </c>
      <c r="B34" s="1">
        <f t="shared" si="4"/>
        <v>28</v>
      </c>
      <c r="C34" s="4">
        <f t="shared" si="0"/>
        <v>34674</v>
      </c>
      <c r="D34" s="2">
        <f t="shared" si="1"/>
        <v>32379.8</v>
      </c>
      <c r="E34" s="19">
        <f t="shared" si="5"/>
        <v>2294.1999999999998</v>
      </c>
      <c r="F34" s="2">
        <f t="shared" si="6"/>
        <v>199376.49999999991</v>
      </c>
      <c r="G34" s="2">
        <f t="shared" si="7"/>
        <v>166996.69999999992</v>
      </c>
      <c r="H34" s="14"/>
      <c r="I34" s="16"/>
    </row>
    <row r="35" spans="1:9" x14ac:dyDescent="0.25">
      <c r="A35" s="29">
        <v>42830</v>
      </c>
      <c r="B35" s="1">
        <f t="shared" si="4"/>
        <v>31</v>
      </c>
      <c r="C35" s="4">
        <f t="shared" si="0"/>
        <v>34674</v>
      </c>
      <c r="D35" s="2">
        <f t="shared" si="1"/>
        <v>32546.510000000002</v>
      </c>
      <c r="E35" s="19">
        <f t="shared" si="5"/>
        <v>2127.4899999999998</v>
      </c>
      <c r="F35" s="2">
        <f t="shared" si="6"/>
        <v>166996.69999999992</v>
      </c>
      <c r="G35" s="2">
        <f t="shared" si="7"/>
        <v>134450.18999999992</v>
      </c>
      <c r="H35" s="14"/>
      <c r="I35" s="16"/>
    </row>
    <row r="36" spans="1:9" x14ac:dyDescent="0.25">
      <c r="A36" s="29">
        <v>42860</v>
      </c>
      <c r="B36" s="1">
        <f t="shared" si="4"/>
        <v>30</v>
      </c>
      <c r="C36" s="4">
        <f t="shared" si="0"/>
        <v>34674</v>
      </c>
      <c r="D36" s="2">
        <f t="shared" si="1"/>
        <v>33016.39</v>
      </c>
      <c r="E36" s="19">
        <f t="shared" si="5"/>
        <v>1657.61</v>
      </c>
      <c r="F36" s="2">
        <f t="shared" si="6"/>
        <v>134450.18999999992</v>
      </c>
      <c r="G36" s="2">
        <f t="shared" si="7"/>
        <v>101433.79999999992</v>
      </c>
      <c r="H36" s="14"/>
      <c r="I36" s="16"/>
    </row>
    <row r="37" spans="1:9" x14ac:dyDescent="0.25">
      <c r="A37" s="29">
        <v>42891</v>
      </c>
      <c r="B37" s="1">
        <f t="shared" si="4"/>
        <v>31</v>
      </c>
      <c r="C37" s="4">
        <f t="shared" si="0"/>
        <v>34674</v>
      </c>
      <c r="D37" s="2">
        <f t="shared" si="1"/>
        <v>33381.760000000002</v>
      </c>
      <c r="E37" s="19">
        <f t="shared" si="5"/>
        <v>1292.24</v>
      </c>
      <c r="F37" s="2">
        <f t="shared" si="6"/>
        <v>101433.79999999992</v>
      </c>
      <c r="G37" s="2">
        <f t="shared" si="7"/>
        <v>68052.039999999921</v>
      </c>
      <c r="H37" s="14"/>
      <c r="I37" s="16"/>
    </row>
    <row r="38" spans="1:9" x14ac:dyDescent="0.25">
      <c r="A38" s="29">
        <v>42921</v>
      </c>
      <c r="B38" s="1">
        <f t="shared" si="4"/>
        <v>30</v>
      </c>
      <c r="C38" s="4">
        <f t="shared" si="0"/>
        <v>34674</v>
      </c>
      <c r="D38" s="2">
        <f t="shared" si="1"/>
        <v>33835</v>
      </c>
      <c r="E38" s="19">
        <f t="shared" si="5"/>
        <v>839</v>
      </c>
      <c r="F38" s="2">
        <f t="shared" si="6"/>
        <v>68052.039999999921</v>
      </c>
      <c r="G38" s="2">
        <f t="shared" si="7"/>
        <v>34217.039999999921</v>
      </c>
      <c r="H38" s="14"/>
      <c r="I38" s="16"/>
    </row>
    <row r="39" spans="1:9" x14ac:dyDescent="0.25">
      <c r="A39" s="29">
        <v>42952</v>
      </c>
      <c r="B39" s="1">
        <f t="shared" si="4"/>
        <v>31</v>
      </c>
      <c r="C39" s="4">
        <f t="shared" si="0"/>
        <v>34674</v>
      </c>
      <c r="D39" s="2">
        <f t="shared" si="1"/>
        <v>34217.039999999921</v>
      </c>
      <c r="E39" s="19">
        <v>456.96000000008064</v>
      </c>
      <c r="F39" s="2">
        <f t="shared" si="6"/>
        <v>34217.039999999921</v>
      </c>
      <c r="G39" s="2">
        <f t="shared" si="7"/>
        <v>0</v>
      </c>
      <c r="H39" s="14"/>
      <c r="I39" s="16"/>
    </row>
    <row r="40" spans="1:9" x14ac:dyDescent="0.25">
      <c r="A40" s="70">
        <v>42252</v>
      </c>
      <c r="B40" s="98">
        <f>_xlfn.DAYS(A16,A15)</f>
        <v>31</v>
      </c>
      <c r="C40" s="141">
        <f t="shared" ref="C40:C47" si="8">$E$2</f>
        <v>64539</v>
      </c>
      <c r="D40" s="142">
        <f t="shared" ref="D40" si="9">C40-E40</f>
        <v>55431.89</v>
      </c>
      <c r="E40" s="143">
        <f>ROUND(F40*$B$2*B40/365,2)</f>
        <v>9107.11</v>
      </c>
      <c r="F40" s="142">
        <f>G15</f>
        <v>714859.15999999992</v>
      </c>
      <c r="G40" s="142">
        <f t="shared" ref="G40" si="10">F40-D40</f>
        <v>659427.2699999999</v>
      </c>
    </row>
    <row r="41" spans="1:9" x14ac:dyDescent="0.25">
      <c r="A41" s="29">
        <v>42282</v>
      </c>
      <c r="B41" s="1">
        <f t="shared" ref="B41:B63" si="11">_xlfn.DAYS(A41,A40)</f>
        <v>30</v>
      </c>
      <c r="C41" s="4">
        <f t="shared" si="8"/>
        <v>64539</v>
      </c>
      <c r="D41" s="2">
        <f t="shared" ref="D41:D63" si="12">C41-E41</f>
        <v>56409.07</v>
      </c>
      <c r="E41" s="19">
        <f t="shared" ref="E41:E62" si="13">ROUND(F41*$B$2*B41/365,2)</f>
        <v>8129.93</v>
      </c>
      <c r="F41" s="2">
        <f t="shared" ref="F41:F63" si="14">G40</f>
        <v>659427.2699999999</v>
      </c>
      <c r="G41" s="2">
        <f t="shared" ref="G41:G63" si="15">F41-D41</f>
        <v>603018.19999999995</v>
      </c>
    </row>
    <row r="42" spans="1:9" x14ac:dyDescent="0.25">
      <c r="A42" s="29">
        <v>42313</v>
      </c>
      <c r="B42" s="1">
        <f t="shared" si="11"/>
        <v>31</v>
      </c>
      <c r="C42" s="4">
        <f t="shared" si="8"/>
        <v>64539</v>
      </c>
      <c r="D42" s="2">
        <f t="shared" si="12"/>
        <v>56856.71</v>
      </c>
      <c r="E42" s="19">
        <f t="shared" si="13"/>
        <v>7682.29</v>
      </c>
      <c r="F42" s="2">
        <f t="shared" si="14"/>
        <v>603018.19999999995</v>
      </c>
      <c r="G42" s="2">
        <f t="shared" si="15"/>
        <v>546161.49</v>
      </c>
    </row>
    <row r="43" spans="1:9" x14ac:dyDescent="0.25">
      <c r="A43" s="29">
        <v>42343</v>
      </c>
      <c r="B43" s="1">
        <f t="shared" si="11"/>
        <v>30</v>
      </c>
      <c r="C43" s="4">
        <f t="shared" si="8"/>
        <v>64539</v>
      </c>
      <c r="D43" s="2">
        <f t="shared" si="12"/>
        <v>57805.5</v>
      </c>
      <c r="E43" s="19">
        <f t="shared" si="13"/>
        <v>6733.5</v>
      </c>
      <c r="F43" s="2">
        <f t="shared" si="14"/>
        <v>546161.49</v>
      </c>
      <c r="G43" s="2">
        <f t="shared" si="15"/>
        <v>488355.99</v>
      </c>
    </row>
    <row r="44" spans="1:9" x14ac:dyDescent="0.25">
      <c r="A44" s="29">
        <v>42374</v>
      </c>
      <c r="B44" s="1">
        <f t="shared" si="11"/>
        <v>31</v>
      </c>
      <c r="C44" s="4">
        <f t="shared" si="8"/>
        <v>64539</v>
      </c>
      <c r="D44" s="2">
        <f t="shared" si="12"/>
        <v>58317.479999999996</v>
      </c>
      <c r="E44" s="19">
        <f t="shared" si="13"/>
        <v>6221.52</v>
      </c>
      <c r="F44" s="2">
        <f t="shared" si="14"/>
        <v>488355.99</v>
      </c>
      <c r="G44" s="2">
        <f t="shared" si="15"/>
        <v>430038.51</v>
      </c>
    </row>
    <row r="45" spans="1:9" x14ac:dyDescent="0.25">
      <c r="A45" s="29">
        <v>42405</v>
      </c>
      <c r="B45" s="1">
        <f t="shared" si="11"/>
        <v>31</v>
      </c>
      <c r="C45" s="4">
        <f t="shared" si="8"/>
        <v>64539</v>
      </c>
      <c r="D45" s="2">
        <f t="shared" si="12"/>
        <v>59060.43</v>
      </c>
      <c r="E45" s="19">
        <f t="shared" si="13"/>
        <v>5478.57</v>
      </c>
      <c r="F45" s="2">
        <f t="shared" si="14"/>
        <v>430038.51</v>
      </c>
      <c r="G45" s="2">
        <f t="shared" si="15"/>
        <v>370978.08</v>
      </c>
    </row>
    <row r="46" spans="1:9" x14ac:dyDescent="0.25">
      <c r="A46" s="29">
        <v>42434</v>
      </c>
      <c r="B46" s="1">
        <f t="shared" si="11"/>
        <v>29</v>
      </c>
      <c r="C46" s="4">
        <f t="shared" si="8"/>
        <v>64539</v>
      </c>
      <c r="D46" s="2">
        <f t="shared" si="12"/>
        <v>60117.75</v>
      </c>
      <c r="E46" s="19">
        <f t="shared" si="13"/>
        <v>4421.25</v>
      </c>
      <c r="F46" s="2">
        <f t="shared" si="14"/>
        <v>370978.08</v>
      </c>
      <c r="G46" s="2">
        <f t="shared" si="15"/>
        <v>310860.33</v>
      </c>
    </row>
    <row r="47" spans="1:9" x14ac:dyDescent="0.25">
      <c r="A47" s="29">
        <v>42465</v>
      </c>
      <c r="B47" s="1">
        <f t="shared" si="11"/>
        <v>31</v>
      </c>
      <c r="C47" s="4">
        <f t="shared" si="8"/>
        <v>64539</v>
      </c>
      <c r="D47" s="2">
        <f t="shared" si="12"/>
        <v>60578.720000000001</v>
      </c>
      <c r="E47" s="19">
        <f t="shared" si="13"/>
        <v>3960.28</v>
      </c>
      <c r="F47" s="2">
        <f t="shared" si="14"/>
        <v>310860.33</v>
      </c>
      <c r="G47" s="2">
        <f t="shared" si="15"/>
        <v>250281.61000000002</v>
      </c>
    </row>
    <row r="48" spans="1:9" x14ac:dyDescent="0.25">
      <c r="A48" s="70">
        <v>42495</v>
      </c>
      <c r="B48" s="98">
        <f t="shared" si="11"/>
        <v>30</v>
      </c>
      <c r="C48" s="141">
        <f>$H$2</f>
        <v>17359</v>
      </c>
      <c r="D48" s="142">
        <f t="shared" si="12"/>
        <v>14273.34</v>
      </c>
      <c r="E48" s="143">
        <f t="shared" si="13"/>
        <v>3085.66</v>
      </c>
      <c r="F48" s="142">
        <f t="shared" si="14"/>
        <v>250281.61000000002</v>
      </c>
      <c r="G48" s="142">
        <f t="shared" si="15"/>
        <v>236008.27000000002</v>
      </c>
    </row>
    <row r="49" spans="1:7" x14ac:dyDescent="0.25">
      <c r="A49" s="29">
        <v>42526</v>
      </c>
      <c r="B49" s="1">
        <f t="shared" si="11"/>
        <v>31</v>
      </c>
      <c r="C49" s="4">
        <f t="shared" ref="C49:C63" si="16">$H$2</f>
        <v>17359</v>
      </c>
      <c r="D49" s="2">
        <f t="shared" si="12"/>
        <v>14352.32</v>
      </c>
      <c r="E49" s="19">
        <f t="shared" si="13"/>
        <v>3006.68</v>
      </c>
      <c r="F49" s="2">
        <f t="shared" si="14"/>
        <v>236008.27000000002</v>
      </c>
      <c r="G49" s="2">
        <f t="shared" si="15"/>
        <v>221655.95</v>
      </c>
    </row>
    <row r="50" spans="1:7" x14ac:dyDescent="0.25">
      <c r="A50" s="29">
        <v>42556</v>
      </c>
      <c r="B50" s="1">
        <f t="shared" si="11"/>
        <v>30</v>
      </c>
      <c r="C50" s="4">
        <f t="shared" si="16"/>
        <v>17359</v>
      </c>
      <c r="D50" s="2">
        <f t="shared" si="12"/>
        <v>14626.26</v>
      </c>
      <c r="E50" s="19">
        <f t="shared" si="13"/>
        <v>2732.74</v>
      </c>
      <c r="F50" s="2">
        <f t="shared" si="14"/>
        <v>221655.95</v>
      </c>
      <c r="G50" s="2">
        <f t="shared" si="15"/>
        <v>207029.69</v>
      </c>
    </row>
    <row r="51" spans="1:7" x14ac:dyDescent="0.25">
      <c r="A51" s="29">
        <v>42587</v>
      </c>
      <c r="B51" s="1">
        <f t="shared" si="11"/>
        <v>31</v>
      </c>
      <c r="C51" s="4">
        <f t="shared" si="16"/>
        <v>17359</v>
      </c>
      <c r="D51" s="2">
        <f t="shared" si="12"/>
        <v>14721.5</v>
      </c>
      <c r="E51" s="19">
        <f t="shared" si="13"/>
        <v>2637.5</v>
      </c>
      <c r="F51" s="2">
        <f t="shared" si="14"/>
        <v>207029.69</v>
      </c>
      <c r="G51" s="2">
        <f t="shared" si="15"/>
        <v>192308.19</v>
      </c>
    </row>
    <row r="52" spans="1:7" x14ac:dyDescent="0.25">
      <c r="A52" s="29">
        <v>42618</v>
      </c>
      <c r="B52" s="1">
        <f t="shared" si="11"/>
        <v>31</v>
      </c>
      <c r="C52" s="4">
        <f t="shared" si="16"/>
        <v>17359</v>
      </c>
      <c r="D52" s="2">
        <f t="shared" si="12"/>
        <v>14909.05</v>
      </c>
      <c r="E52" s="19">
        <f t="shared" si="13"/>
        <v>2449.9499999999998</v>
      </c>
      <c r="F52" s="2">
        <f t="shared" si="14"/>
        <v>192308.19</v>
      </c>
      <c r="G52" s="2">
        <f t="shared" si="15"/>
        <v>177399.14</v>
      </c>
    </row>
    <row r="53" spans="1:7" x14ac:dyDescent="0.25">
      <c r="A53" s="29">
        <v>42648</v>
      </c>
      <c r="B53" s="1">
        <f t="shared" si="11"/>
        <v>30</v>
      </c>
      <c r="C53" s="4">
        <f t="shared" si="16"/>
        <v>17359</v>
      </c>
      <c r="D53" s="2">
        <f t="shared" si="12"/>
        <v>15171.89</v>
      </c>
      <c r="E53" s="19">
        <f t="shared" si="13"/>
        <v>2187.11</v>
      </c>
      <c r="F53" s="2">
        <f t="shared" si="14"/>
        <v>177399.14</v>
      </c>
      <c r="G53" s="2">
        <f t="shared" si="15"/>
        <v>162227.25</v>
      </c>
    </row>
    <row r="54" spans="1:7" x14ac:dyDescent="0.25">
      <c r="A54" s="29">
        <v>42679</v>
      </c>
      <c r="B54" s="1">
        <f t="shared" si="11"/>
        <v>31</v>
      </c>
      <c r="C54" s="4">
        <f t="shared" si="16"/>
        <v>17359</v>
      </c>
      <c r="D54" s="2">
        <f t="shared" si="12"/>
        <v>15292.27</v>
      </c>
      <c r="E54" s="19">
        <f t="shared" si="13"/>
        <v>2066.73</v>
      </c>
      <c r="F54" s="2">
        <f t="shared" si="14"/>
        <v>162227.25</v>
      </c>
      <c r="G54" s="2">
        <f t="shared" si="15"/>
        <v>146934.98000000001</v>
      </c>
    </row>
    <row r="55" spans="1:7" x14ac:dyDescent="0.25">
      <c r="A55" s="29">
        <v>42709</v>
      </c>
      <c r="B55" s="1">
        <f t="shared" si="11"/>
        <v>30</v>
      </c>
      <c r="C55" s="4">
        <f t="shared" si="16"/>
        <v>17359</v>
      </c>
      <c r="D55" s="2">
        <f t="shared" si="12"/>
        <v>15547.47</v>
      </c>
      <c r="E55" s="19">
        <f t="shared" si="13"/>
        <v>1811.53</v>
      </c>
      <c r="F55" s="2">
        <f t="shared" si="14"/>
        <v>146934.98000000001</v>
      </c>
      <c r="G55" s="2">
        <f t="shared" si="15"/>
        <v>131387.51</v>
      </c>
    </row>
    <row r="56" spans="1:7" x14ac:dyDescent="0.25">
      <c r="A56" s="29">
        <v>42740</v>
      </c>
      <c r="B56" s="1">
        <f t="shared" si="11"/>
        <v>31</v>
      </c>
      <c r="C56" s="4">
        <f t="shared" si="16"/>
        <v>17359</v>
      </c>
      <c r="D56" s="2">
        <f t="shared" si="12"/>
        <v>15685.16</v>
      </c>
      <c r="E56" s="19">
        <f t="shared" si="13"/>
        <v>1673.84</v>
      </c>
      <c r="F56" s="2">
        <f t="shared" si="14"/>
        <v>131387.51</v>
      </c>
      <c r="G56" s="2">
        <f t="shared" si="15"/>
        <v>115702.35</v>
      </c>
    </row>
    <row r="57" spans="1:7" x14ac:dyDescent="0.25">
      <c r="A57" s="29">
        <v>42771</v>
      </c>
      <c r="B57" s="1">
        <f t="shared" si="11"/>
        <v>31</v>
      </c>
      <c r="C57" s="4">
        <f t="shared" si="16"/>
        <v>17359</v>
      </c>
      <c r="D57" s="2">
        <f t="shared" si="12"/>
        <v>15884.98</v>
      </c>
      <c r="E57" s="19">
        <f t="shared" si="13"/>
        <v>1474.02</v>
      </c>
      <c r="F57" s="2">
        <f t="shared" si="14"/>
        <v>115702.35</v>
      </c>
      <c r="G57" s="2">
        <f t="shared" si="15"/>
        <v>99817.37000000001</v>
      </c>
    </row>
    <row r="58" spans="1:7" x14ac:dyDescent="0.25">
      <c r="A58" s="29">
        <v>42799</v>
      </c>
      <c r="B58" s="1">
        <f t="shared" si="11"/>
        <v>28</v>
      </c>
      <c r="C58" s="4">
        <f t="shared" si="16"/>
        <v>17359</v>
      </c>
      <c r="D58" s="2">
        <f t="shared" si="12"/>
        <v>16210.42</v>
      </c>
      <c r="E58" s="19">
        <f t="shared" si="13"/>
        <v>1148.58</v>
      </c>
      <c r="F58" s="2">
        <f t="shared" si="14"/>
        <v>99817.37000000001</v>
      </c>
      <c r="G58" s="2">
        <f t="shared" si="15"/>
        <v>83606.950000000012</v>
      </c>
    </row>
    <row r="59" spans="1:7" x14ac:dyDescent="0.25">
      <c r="A59" s="29">
        <v>42830</v>
      </c>
      <c r="B59" s="1">
        <f t="shared" si="11"/>
        <v>31</v>
      </c>
      <c r="C59" s="4">
        <f t="shared" si="16"/>
        <v>17359</v>
      </c>
      <c r="D59" s="2">
        <f t="shared" si="12"/>
        <v>16293.869999999999</v>
      </c>
      <c r="E59" s="19">
        <f t="shared" si="13"/>
        <v>1065.1300000000001</v>
      </c>
      <c r="F59" s="2">
        <f t="shared" si="14"/>
        <v>83606.950000000012</v>
      </c>
      <c r="G59" s="2">
        <f t="shared" si="15"/>
        <v>67313.080000000016</v>
      </c>
    </row>
    <row r="60" spans="1:7" x14ac:dyDescent="0.25">
      <c r="A60" s="29">
        <v>42860</v>
      </c>
      <c r="B60" s="1">
        <f t="shared" si="11"/>
        <v>30</v>
      </c>
      <c r="C60" s="4">
        <f t="shared" si="16"/>
        <v>17359</v>
      </c>
      <c r="D60" s="2">
        <f t="shared" si="12"/>
        <v>16529.11</v>
      </c>
      <c r="E60" s="19">
        <f t="shared" si="13"/>
        <v>829.89</v>
      </c>
      <c r="F60" s="2">
        <f t="shared" si="14"/>
        <v>67313.080000000016</v>
      </c>
      <c r="G60" s="2">
        <f t="shared" si="15"/>
        <v>50783.970000000016</v>
      </c>
    </row>
    <row r="61" spans="1:7" x14ac:dyDescent="0.25">
      <c r="A61" s="29">
        <v>42891</v>
      </c>
      <c r="B61" s="1">
        <f t="shared" si="11"/>
        <v>31</v>
      </c>
      <c r="C61" s="4">
        <f t="shared" si="16"/>
        <v>17359</v>
      </c>
      <c r="D61" s="2">
        <f t="shared" si="12"/>
        <v>16712.03</v>
      </c>
      <c r="E61" s="19">
        <f t="shared" si="13"/>
        <v>646.97</v>
      </c>
      <c r="F61" s="2">
        <f t="shared" si="14"/>
        <v>50783.970000000016</v>
      </c>
      <c r="G61" s="2">
        <f t="shared" si="15"/>
        <v>34071.940000000017</v>
      </c>
    </row>
    <row r="62" spans="1:7" x14ac:dyDescent="0.25">
      <c r="A62" s="29">
        <v>42921</v>
      </c>
      <c r="B62" s="1">
        <f t="shared" si="11"/>
        <v>30</v>
      </c>
      <c r="C62" s="4">
        <f t="shared" si="16"/>
        <v>17359</v>
      </c>
      <c r="D62" s="2">
        <f t="shared" si="12"/>
        <v>16938.93</v>
      </c>
      <c r="E62" s="19">
        <f t="shared" si="13"/>
        <v>420.07</v>
      </c>
      <c r="F62" s="2">
        <f t="shared" si="14"/>
        <v>34071.940000000017</v>
      </c>
      <c r="G62" s="2">
        <f t="shared" si="15"/>
        <v>17133.010000000017</v>
      </c>
    </row>
    <row r="63" spans="1:7" x14ac:dyDescent="0.25">
      <c r="A63" s="29">
        <v>42952</v>
      </c>
      <c r="B63" s="1">
        <f t="shared" si="11"/>
        <v>31</v>
      </c>
      <c r="C63" s="4">
        <f t="shared" si="16"/>
        <v>17359</v>
      </c>
      <c r="D63" s="2">
        <f t="shared" si="12"/>
        <v>17133.010000000017</v>
      </c>
      <c r="E63" s="19">
        <v>225.98999999998298</v>
      </c>
      <c r="F63" s="2">
        <f t="shared" si="14"/>
        <v>17133.010000000017</v>
      </c>
      <c r="G63" s="2">
        <f t="shared" si="15"/>
        <v>0</v>
      </c>
    </row>
  </sheetData>
  <pageMargins left="0.7" right="0.7" top="0.75" bottom="0.75" header="0.3" footer="0.3"/>
  <pageSetup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36DB41-9E26-4013-85CD-15B5BAE0A5A7}">
  <dimension ref="A1:I63"/>
  <sheetViews>
    <sheetView zoomScale="90" zoomScaleNormal="90" workbookViewId="0">
      <pane ySplit="3" topLeftCell="A33" activePane="bottomLeft" state="frozen"/>
      <selection activeCell="A3" sqref="A3"/>
      <selection pane="bottomLeft" activeCell="C48" sqref="C48"/>
    </sheetView>
  </sheetViews>
  <sheetFormatPr defaultRowHeight="15" x14ac:dyDescent="0.25"/>
  <cols>
    <col min="1" max="1" width="15.42578125" bestFit="1" customWidth="1"/>
    <col min="2" max="2" width="13" bestFit="1" customWidth="1"/>
    <col min="3" max="3" width="14.28515625" bestFit="1" customWidth="1"/>
    <col min="4" max="4" width="11.140625" bestFit="1" customWidth="1"/>
    <col min="5" max="5" width="12.140625" bestFit="1" customWidth="1"/>
    <col min="6" max="6" width="16" bestFit="1" customWidth="1"/>
    <col min="7" max="7" width="14.85546875" bestFit="1" customWidth="1"/>
    <col min="8" max="8" width="15.5703125" bestFit="1" customWidth="1"/>
    <col min="9" max="9" width="8.7109375" bestFit="1" customWidth="1"/>
    <col min="10" max="10" width="10.85546875" bestFit="1" customWidth="1"/>
  </cols>
  <sheetData>
    <row r="1" spans="1:9" x14ac:dyDescent="0.25">
      <c r="A1" s="17" t="s">
        <v>33</v>
      </c>
      <c r="B1" s="78">
        <v>41856</v>
      </c>
      <c r="C1" s="17" t="s">
        <v>355</v>
      </c>
      <c r="D1" s="137" t="s">
        <v>347</v>
      </c>
      <c r="E1" s="137" t="s">
        <v>354</v>
      </c>
      <c r="F1" s="138" t="s">
        <v>331</v>
      </c>
      <c r="G1" s="137" t="s">
        <v>346</v>
      </c>
      <c r="H1" s="137" t="s">
        <v>352</v>
      </c>
      <c r="I1" s="138" t="s">
        <v>366</v>
      </c>
    </row>
    <row r="2" spans="1:9" x14ac:dyDescent="0.25">
      <c r="A2" s="17" t="s">
        <v>34</v>
      </c>
      <c r="B2" s="18">
        <v>0.15</v>
      </c>
      <c r="C2" s="17">
        <f>ROUNDUP(34665.3285041941,0)</f>
        <v>34666</v>
      </c>
      <c r="D2" s="125">
        <v>42618</v>
      </c>
      <c r="E2" s="139">
        <f>ROUNDUP(64529.03,0)</f>
        <v>64530</v>
      </c>
      <c r="F2" s="149">
        <v>24</v>
      </c>
      <c r="G2" s="125">
        <v>42495</v>
      </c>
      <c r="H2" s="139">
        <f>ROUNDUP(17353.269375,0)</f>
        <v>17354</v>
      </c>
      <c r="I2" s="149">
        <v>36</v>
      </c>
    </row>
    <row r="3" spans="1:9" x14ac:dyDescent="0.25">
      <c r="A3" s="150" t="s">
        <v>17</v>
      </c>
      <c r="B3" s="150" t="s">
        <v>18</v>
      </c>
      <c r="C3" s="150" t="s">
        <v>14</v>
      </c>
      <c r="D3" s="150" t="s">
        <v>22</v>
      </c>
      <c r="E3" s="150" t="s">
        <v>21</v>
      </c>
      <c r="F3" s="150" t="s">
        <v>19</v>
      </c>
      <c r="G3" s="150" t="s">
        <v>20</v>
      </c>
      <c r="H3" s="151" t="s">
        <v>35</v>
      </c>
      <c r="I3" s="151" t="s">
        <v>36</v>
      </c>
    </row>
    <row r="4" spans="1:9" x14ac:dyDescent="0.25">
      <c r="A4" s="152">
        <v>41887</v>
      </c>
      <c r="B4" s="153">
        <f>DAYS360(B1,A4,TRUE)</f>
        <v>30</v>
      </c>
      <c r="C4" s="154">
        <f t="shared" ref="C4:C39" si="0">$C$2</f>
        <v>34666</v>
      </c>
      <c r="D4" s="155">
        <f>C4-E4</f>
        <v>22166</v>
      </c>
      <c r="E4" s="19">
        <f>ROUND(F4*$B$2*B4/360,2)</f>
        <v>12500</v>
      </c>
      <c r="F4" s="156">
        <v>1000000</v>
      </c>
      <c r="G4" s="157">
        <f>F4-D4</f>
        <v>977834</v>
      </c>
      <c r="H4" s="14">
        <f>F4*$B$2*B4/365</f>
        <v>12328.767123287671</v>
      </c>
      <c r="I4" s="16">
        <f>H4-E4</f>
        <v>-171.23287671232902</v>
      </c>
    </row>
    <row r="5" spans="1:9" x14ac:dyDescent="0.25">
      <c r="A5" s="152">
        <v>41917</v>
      </c>
      <c r="B5" s="153">
        <f>DAYS360(A4,A5,TRUE)</f>
        <v>30</v>
      </c>
      <c r="C5" s="154">
        <f t="shared" si="0"/>
        <v>34666</v>
      </c>
      <c r="D5" s="157">
        <f t="shared" ref="D5:D51" si="1">C5-E5</f>
        <v>22443.07</v>
      </c>
      <c r="E5" s="19">
        <f t="shared" ref="E5:E38" si="2">ROUND(F5*$B$2*B5/360,2)</f>
        <v>12222.93</v>
      </c>
      <c r="F5" s="157">
        <f>G4</f>
        <v>977834</v>
      </c>
      <c r="G5" s="157">
        <f>F5-D5</f>
        <v>955390.93</v>
      </c>
      <c r="H5" s="14">
        <f t="shared" ref="H5:H33" si="3">F5*$B$2*B5/365</f>
        <v>12055.487671232877</v>
      </c>
      <c r="I5" s="16">
        <f t="shared" ref="I5:I33" si="4">H5-E5</f>
        <v>-167.4423287671234</v>
      </c>
    </row>
    <row r="6" spans="1:9" x14ac:dyDescent="0.25">
      <c r="A6" s="152">
        <v>41948</v>
      </c>
      <c r="B6" s="153">
        <f t="shared" ref="B6:B51" si="5">DAYS360(A5,A6,TRUE)</f>
        <v>30</v>
      </c>
      <c r="C6" s="154">
        <f t="shared" si="0"/>
        <v>34666</v>
      </c>
      <c r="D6" s="157">
        <f t="shared" si="1"/>
        <v>22723.61</v>
      </c>
      <c r="E6" s="19">
        <f t="shared" si="2"/>
        <v>11942.39</v>
      </c>
      <c r="F6" s="157">
        <f t="shared" ref="F6:F39" si="6">G5</f>
        <v>955390.93</v>
      </c>
      <c r="G6" s="157">
        <f t="shared" ref="G6:G51" si="7">F6-D6</f>
        <v>932667.32000000007</v>
      </c>
      <c r="H6" s="14">
        <f t="shared" si="3"/>
        <v>11778.792287671231</v>
      </c>
      <c r="I6" s="16">
        <f t="shared" si="4"/>
        <v>-163.59771232876847</v>
      </c>
    </row>
    <row r="7" spans="1:9" x14ac:dyDescent="0.25">
      <c r="A7" s="152">
        <v>41978</v>
      </c>
      <c r="B7" s="153">
        <f t="shared" si="5"/>
        <v>30</v>
      </c>
      <c r="C7" s="154">
        <f t="shared" si="0"/>
        <v>34666</v>
      </c>
      <c r="D7" s="157">
        <f t="shared" si="1"/>
        <v>23007.66</v>
      </c>
      <c r="E7" s="19">
        <f t="shared" si="2"/>
        <v>11658.34</v>
      </c>
      <c r="F7" s="157">
        <f t="shared" si="6"/>
        <v>932667.32000000007</v>
      </c>
      <c r="G7" s="157">
        <f t="shared" si="7"/>
        <v>909659.66</v>
      </c>
      <c r="H7" s="14">
        <f t="shared" si="3"/>
        <v>11498.638191780821</v>
      </c>
      <c r="I7" s="16">
        <f t="shared" si="4"/>
        <v>-159.70180821917893</v>
      </c>
    </row>
    <row r="8" spans="1:9" x14ac:dyDescent="0.25">
      <c r="A8" s="152">
        <v>42009</v>
      </c>
      <c r="B8" s="153">
        <f t="shared" si="5"/>
        <v>30</v>
      </c>
      <c r="C8" s="154">
        <f t="shared" si="0"/>
        <v>34666</v>
      </c>
      <c r="D8" s="157">
        <f t="shared" si="1"/>
        <v>23295.25</v>
      </c>
      <c r="E8" s="19">
        <f t="shared" si="2"/>
        <v>11370.75</v>
      </c>
      <c r="F8" s="157">
        <f t="shared" si="6"/>
        <v>909659.66</v>
      </c>
      <c r="G8" s="157">
        <f t="shared" si="7"/>
        <v>886364.41</v>
      </c>
      <c r="H8" s="14">
        <f t="shared" si="3"/>
        <v>11214.98210958904</v>
      </c>
      <c r="I8" s="16">
        <f t="shared" si="4"/>
        <v>-155.76789041095981</v>
      </c>
    </row>
    <row r="9" spans="1:9" x14ac:dyDescent="0.25">
      <c r="A9" s="152">
        <v>42040</v>
      </c>
      <c r="B9" s="153">
        <f t="shared" si="5"/>
        <v>30</v>
      </c>
      <c r="C9" s="154">
        <f t="shared" si="0"/>
        <v>34666</v>
      </c>
      <c r="D9" s="157">
        <f t="shared" si="1"/>
        <v>23586.440000000002</v>
      </c>
      <c r="E9" s="19">
        <f t="shared" si="2"/>
        <v>11079.56</v>
      </c>
      <c r="F9" s="157">
        <f t="shared" si="6"/>
        <v>886364.41</v>
      </c>
      <c r="G9" s="157">
        <f t="shared" si="7"/>
        <v>862777.97</v>
      </c>
      <c r="H9" s="14">
        <f t="shared" si="3"/>
        <v>10927.780397260272</v>
      </c>
      <c r="I9" s="16">
        <f t="shared" si="4"/>
        <v>-151.77960273972712</v>
      </c>
    </row>
    <row r="10" spans="1:9" x14ac:dyDescent="0.25">
      <c r="A10" s="152">
        <v>42068</v>
      </c>
      <c r="B10" s="153">
        <f t="shared" si="5"/>
        <v>30</v>
      </c>
      <c r="C10" s="154">
        <f t="shared" si="0"/>
        <v>34666</v>
      </c>
      <c r="D10" s="157">
        <f t="shared" si="1"/>
        <v>23881.279999999999</v>
      </c>
      <c r="E10" s="19">
        <f t="shared" si="2"/>
        <v>10784.72</v>
      </c>
      <c r="F10" s="157">
        <f t="shared" si="6"/>
        <v>862777.97</v>
      </c>
      <c r="G10" s="157">
        <f t="shared" si="7"/>
        <v>838896.69</v>
      </c>
      <c r="H10" s="14">
        <f t="shared" si="3"/>
        <v>10636.988671232875</v>
      </c>
      <c r="I10" s="16">
        <f t="shared" si="4"/>
        <v>-147.73132876712407</v>
      </c>
    </row>
    <row r="11" spans="1:9" x14ac:dyDescent="0.25">
      <c r="A11" s="152">
        <v>42099</v>
      </c>
      <c r="B11" s="153">
        <f t="shared" si="5"/>
        <v>30</v>
      </c>
      <c r="C11" s="154">
        <f t="shared" si="0"/>
        <v>34666</v>
      </c>
      <c r="D11" s="157">
        <f t="shared" si="1"/>
        <v>24179.79</v>
      </c>
      <c r="E11" s="19">
        <f t="shared" si="2"/>
        <v>10486.21</v>
      </c>
      <c r="F11" s="157">
        <f t="shared" si="6"/>
        <v>838896.69</v>
      </c>
      <c r="G11" s="157">
        <f t="shared" si="7"/>
        <v>814716.89999999991</v>
      </c>
      <c r="H11" s="14">
        <f t="shared" si="3"/>
        <v>10342.561931506849</v>
      </c>
      <c r="I11" s="16">
        <f t="shared" si="4"/>
        <v>-143.64806849315028</v>
      </c>
    </row>
    <row r="12" spans="1:9" x14ac:dyDescent="0.25">
      <c r="A12" s="152">
        <v>42129</v>
      </c>
      <c r="B12" s="153">
        <f t="shared" si="5"/>
        <v>30</v>
      </c>
      <c r="C12" s="154">
        <f t="shared" si="0"/>
        <v>34666</v>
      </c>
      <c r="D12" s="157">
        <f t="shared" si="1"/>
        <v>24482.04</v>
      </c>
      <c r="E12" s="19">
        <f t="shared" si="2"/>
        <v>10183.959999999999</v>
      </c>
      <c r="F12" s="157">
        <f t="shared" si="6"/>
        <v>814716.89999999991</v>
      </c>
      <c r="G12" s="157">
        <f t="shared" si="7"/>
        <v>790234.85999999987</v>
      </c>
      <c r="H12" s="14">
        <f t="shared" si="3"/>
        <v>10044.454931506847</v>
      </c>
      <c r="I12" s="16">
        <f t="shared" si="4"/>
        <v>-139.50506849315207</v>
      </c>
    </row>
    <row r="13" spans="1:9" x14ac:dyDescent="0.25">
      <c r="A13" s="152">
        <v>42160</v>
      </c>
      <c r="B13" s="153">
        <f t="shared" si="5"/>
        <v>30</v>
      </c>
      <c r="C13" s="154">
        <f t="shared" si="0"/>
        <v>34666</v>
      </c>
      <c r="D13" s="157">
        <f t="shared" si="1"/>
        <v>24788.059999999998</v>
      </c>
      <c r="E13" s="19">
        <f t="shared" si="2"/>
        <v>9877.94</v>
      </c>
      <c r="F13" s="157">
        <f t="shared" si="6"/>
        <v>790234.85999999987</v>
      </c>
      <c r="G13" s="157">
        <f t="shared" si="7"/>
        <v>765446.79999999981</v>
      </c>
      <c r="H13" s="14">
        <f t="shared" si="3"/>
        <v>9742.621561643833</v>
      </c>
      <c r="I13" s="16">
        <f t="shared" si="4"/>
        <v>-135.31843835616746</v>
      </c>
    </row>
    <row r="14" spans="1:9" x14ac:dyDescent="0.25">
      <c r="A14" s="152">
        <v>42190</v>
      </c>
      <c r="B14" s="153">
        <f t="shared" si="5"/>
        <v>30</v>
      </c>
      <c r="C14" s="154">
        <f t="shared" si="0"/>
        <v>34666</v>
      </c>
      <c r="D14" s="157">
        <f t="shared" si="1"/>
        <v>25097.91</v>
      </c>
      <c r="E14" s="19">
        <f t="shared" si="2"/>
        <v>9568.09</v>
      </c>
      <c r="F14" s="157">
        <f t="shared" si="6"/>
        <v>765446.79999999981</v>
      </c>
      <c r="G14" s="157">
        <f t="shared" si="7"/>
        <v>740348.88999999978</v>
      </c>
      <c r="H14" s="14">
        <f t="shared" si="3"/>
        <v>9437.015342465751</v>
      </c>
      <c r="I14" s="16">
        <f t="shared" si="4"/>
        <v>-131.07465753424913</v>
      </c>
    </row>
    <row r="15" spans="1:9" x14ac:dyDescent="0.25">
      <c r="A15" s="152">
        <v>42221</v>
      </c>
      <c r="B15" s="153">
        <f t="shared" si="5"/>
        <v>30</v>
      </c>
      <c r="C15" s="154">
        <f t="shared" si="0"/>
        <v>34666</v>
      </c>
      <c r="D15" s="157">
        <f t="shared" si="1"/>
        <v>25411.64</v>
      </c>
      <c r="E15" s="19">
        <f t="shared" si="2"/>
        <v>9254.36</v>
      </c>
      <c r="F15" s="157">
        <f t="shared" si="6"/>
        <v>740348.88999999978</v>
      </c>
      <c r="G15" s="157">
        <f t="shared" si="7"/>
        <v>714937.24999999977</v>
      </c>
      <c r="H15" s="14">
        <f t="shared" si="3"/>
        <v>9127.5890547945182</v>
      </c>
      <c r="I15" s="16">
        <f t="shared" si="4"/>
        <v>-126.77094520548235</v>
      </c>
    </row>
    <row r="16" spans="1:9" x14ac:dyDescent="0.25">
      <c r="A16" s="152">
        <v>42252</v>
      </c>
      <c r="B16" s="153">
        <f t="shared" si="5"/>
        <v>30</v>
      </c>
      <c r="C16" s="154">
        <f t="shared" si="0"/>
        <v>34666</v>
      </c>
      <c r="D16" s="157">
        <f t="shared" si="1"/>
        <v>25729.279999999999</v>
      </c>
      <c r="E16" s="19">
        <f t="shared" si="2"/>
        <v>8936.7199999999993</v>
      </c>
      <c r="F16" s="157">
        <f t="shared" si="6"/>
        <v>714937.24999999977</v>
      </c>
      <c r="G16" s="157">
        <f t="shared" si="7"/>
        <v>689207.96999999974</v>
      </c>
      <c r="H16" s="14">
        <f t="shared" si="3"/>
        <v>8814.2948630136962</v>
      </c>
      <c r="I16" s="16">
        <f t="shared" si="4"/>
        <v>-122.42513698630319</v>
      </c>
    </row>
    <row r="17" spans="1:9" x14ac:dyDescent="0.25">
      <c r="A17" s="152">
        <v>42282</v>
      </c>
      <c r="B17" s="153">
        <f t="shared" si="5"/>
        <v>30</v>
      </c>
      <c r="C17" s="154">
        <f t="shared" si="0"/>
        <v>34666</v>
      </c>
      <c r="D17" s="157">
        <f t="shared" si="1"/>
        <v>26050.9</v>
      </c>
      <c r="E17" s="19">
        <f t="shared" si="2"/>
        <v>8615.1</v>
      </c>
      <c r="F17" s="157">
        <f t="shared" si="6"/>
        <v>689207.96999999974</v>
      </c>
      <c r="G17" s="157">
        <f t="shared" si="7"/>
        <v>663157.06999999972</v>
      </c>
      <c r="H17" s="14">
        <f t="shared" si="3"/>
        <v>8497.0845616438328</v>
      </c>
      <c r="I17" s="16">
        <f t="shared" si="4"/>
        <v>-118.01543835616758</v>
      </c>
    </row>
    <row r="18" spans="1:9" x14ac:dyDescent="0.25">
      <c r="A18" s="152">
        <v>42313</v>
      </c>
      <c r="B18" s="153">
        <f t="shared" si="5"/>
        <v>30</v>
      </c>
      <c r="C18" s="154">
        <f t="shared" si="0"/>
        <v>34666</v>
      </c>
      <c r="D18" s="157">
        <f t="shared" si="1"/>
        <v>26376.54</v>
      </c>
      <c r="E18" s="19">
        <f t="shared" si="2"/>
        <v>8289.4599999999991</v>
      </c>
      <c r="F18" s="157">
        <f t="shared" si="6"/>
        <v>663157.06999999972</v>
      </c>
      <c r="G18" s="157">
        <f t="shared" si="7"/>
        <v>636780.52999999968</v>
      </c>
      <c r="H18" s="14">
        <f t="shared" si="3"/>
        <v>8175.9090821917771</v>
      </c>
      <c r="I18" s="16">
        <f t="shared" si="4"/>
        <v>-113.55091780822204</v>
      </c>
    </row>
    <row r="19" spans="1:9" x14ac:dyDescent="0.25">
      <c r="A19" s="152">
        <v>42343</v>
      </c>
      <c r="B19" s="153">
        <f t="shared" si="5"/>
        <v>30</v>
      </c>
      <c r="C19" s="154">
        <f t="shared" si="0"/>
        <v>34666</v>
      </c>
      <c r="D19" s="157">
        <f t="shared" si="1"/>
        <v>26706.239999999998</v>
      </c>
      <c r="E19" s="19">
        <f t="shared" si="2"/>
        <v>7959.76</v>
      </c>
      <c r="F19" s="157">
        <f t="shared" si="6"/>
        <v>636780.52999999968</v>
      </c>
      <c r="G19" s="157">
        <f t="shared" si="7"/>
        <v>610074.28999999969</v>
      </c>
      <c r="H19" s="14">
        <f t="shared" si="3"/>
        <v>7850.7188630136943</v>
      </c>
      <c r="I19" s="16">
        <f t="shared" si="4"/>
        <v>-109.0411369863059</v>
      </c>
    </row>
    <row r="20" spans="1:9" x14ac:dyDescent="0.25">
      <c r="A20" s="152">
        <v>42374</v>
      </c>
      <c r="B20" s="153">
        <f t="shared" si="5"/>
        <v>30</v>
      </c>
      <c r="C20" s="154">
        <f t="shared" si="0"/>
        <v>34666</v>
      </c>
      <c r="D20" s="157">
        <f t="shared" si="1"/>
        <v>27040.07</v>
      </c>
      <c r="E20" s="19">
        <f t="shared" si="2"/>
        <v>7625.93</v>
      </c>
      <c r="F20" s="157">
        <f t="shared" si="6"/>
        <v>610074.28999999969</v>
      </c>
      <c r="G20" s="157">
        <f t="shared" si="7"/>
        <v>583034.21999999974</v>
      </c>
      <c r="H20" s="14">
        <f t="shared" si="3"/>
        <v>7521.4638493150642</v>
      </c>
      <c r="I20" s="16">
        <f t="shared" si="4"/>
        <v>-104.46615068493611</v>
      </c>
    </row>
    <row r="21" spans="1:9" x14ac:dyDescent="0.25">
      <c r="A21" s="152">
        <v>42405</v>
      </c>
      <c r="B21" s="153">
        <f t="shared" si="5"/>
        <v>30</v>
      </c>
      <c r="C21" s="154">
        <f t="shared" si="0"/>
        <v>34666</v>
      </c>
      <c r="D21" s="157">
        <f t="shared" si="1"/>
        <v>27378.07</v>
      </c>
      <c r="E21" s="19">
        <f t="shared" si="2"/>
        <v>7287.93</v>
      </c>
      <c r="F21" s="157">
        <f t="shared" si="6"/>
        <v>583034.21999999974</v>
      </c>
      <c r="G21" s="157">
        <f t="shared" si="7"/>
        <v>555656.14999999979</v>
      </c>
      <c r="H21" s="14">
        <f t="shared" si="3"/>
        <v>7188.0931232876683</v>
      </c>
      <c r="I21" s="16">
        <f t="shared" si="4"/>
        <v>-99.836876712332014</v>
      </c>
    </row>
    <row r="22" spans="1:9" x14ac:dyDescent="0.25">
      <c r="A22" s="152">
        <v>42434</v>
      </c>
      <c r="B22" s="153">
        <f t="shared" si="5"/>
        <v>30</v>
      </c>
      <c r="C22" s="154">
        <f t="shared" si="0"/>
        <v>34666</v>
      </c>
      <c r="D22" s="157">
        <f t="shared" si="1"/>
        <v>27720.3</v>
      </c>
      <c r="E22" s="19">
        <f t="shared" si="2"/>
        <v>6945.7</v>
      </c>
      <c r="F22" s="157">
        <f t="shared" si="6"/>
        <v>555656.14999999979</v>
      </c>
      <c r="G22" s="157">
        <f t="shared" si="7"/>
        <v>527935.84999999974</v>
      </c>
      <c r="H22" s="14">
        <f t="shared" si="3"/>
        <v>6850.5552739726008</v>
      </c>
      <c r="I22" s="16">
        <f t="shared" si="4"/>
        <v>-95.144726027398974</v>
      </c>
    </row>
    <row r="23" spans="1:9" x14ac:dyDescent="0.25">
      <c r="A23" s="152">
        <v>42465</v>
      </c>
      <c r="B23" s="153">
        <f t="shared" si="5"/>
        <v>30</v>
      </c>
      <c r="C23" s="154">
        <f t="shared" si="0"/>
        <v>34666</v>
      </c>
      <c r="D23" s="157">
        <f t="shared" si="1"/>
        <v>28066.799999999999</v>
      </c>
      <c r="E23" s="19">
        <f t="shared" si="2"/>
        <v>6599.2</v>
      </c>
      <c r="F23" s="157">
        <f t="shared" si="6"/>
        <v>527935.84999999974</v>
      </c>
      <c r="G23" s="157">
        <f t="shared" si="7"/>
        <v>499869.04999999976</v>
      </c>
      <c r="H23" s="14">
        <f t="shared" si="3"/>
        <v>6508.7981506849283</v>
      </c>
      <c r="I23" s="16">
        <f t="shared" si="4"/>
        <v>-90.401849315071559</v>
      </c>
    </row>
    <row r="24" spans="1:9" x14ac:dyDescent="0.25">
      <c r="A24" s="152">
        <v>42495</v>
      </c>
      <c r="B24" s="153">
        <f t="shared" si="5"/>
        <v>30</v>
      </c>
      <c r="C24" s="154">
        <f t="shared" si="0"/>
        <v>34666</v>
      </c>
      <c r="D24" s="157">
        <f t="shared" si="1"/>
        <v>28417.64</v>
      </c>
      <c r="E24" s="19">
        <f t="shared" si="2"/>
        <v>6248.36</v>
      </c>
      <c r="F24" s="157">
        <f t="shared" si="6"/>
        <v>499869.04999999976</v>
      </c>
      <c r="G24" s="157">
        <f t="shared" si="7"/>
        <v>471451.40999999974</v>
      </c>
      <c r="H24" s="14">
        <f t="shared" si="3"/>
        <v>6162.7691095890377</v>
      </c>
      <c r="I24" s="16">
        <f t="shared" si="4"/>
        <v>-85.590890410961947</v>
      </c>
    </row>
    <row r="25" spans="1:9" x14ac:dyDescent="0.25">
      <c r="A25" s="152">
        <v>42526</v>
      </c>
      <c r="B25" s="153">
        <f t="shared" si="5"/>
        <v>30</v>
      </c>
      <c r="C25" s="154">
        <f t="shared" si="0"/>
        <v>34666</v>
      </c>
      <c r="D25" s="157">
        <f t="shared" si="1"/>
        <v>28772.86</v>
      </c>
      <c r="E25" s="19">
        <f t="shared" si="2"/>
        <v>5893.14</v>
      </c>
      <c r="F25" s="157">
        <f t="shared" si="6"/>
        <v>471451.40999999974</v>
      </c>
      <c r="G25" s="157">
        <f t="shared" si="7"/>
        <v>442678.54999999976</v>
      </c>
      <c r="H25" s="14">
        <f t="shared" si="3"/>
        <v>5812.4146438356129</v>
      </c>
      <c r="I25" s="16">
        <f t="shared" si="4"/>
        <v>-80.725356164387449</v>
      </c>
    </row>
    <row r="26" spans="1:9" x14ac:dyDescent="0.25">
      <c r="A26" s="152">
        <v>42556</v>
      </c>
      <c r="B26" s="153">
        <f t="shared" si="5"/>
        <v>30</v>
      </c>
      <c r="C26" s="154">
        <f t="shared" si="0"/>
        <v>34666</v>
      </c>
      <c r="D26" s="157">
        <f t="shared" si="1"/>
        <v>29132.52</v>
      </c>
      <c r="E26" s="19">
        <f t="shared" si="2"/>
        <v>5533.48</v>
      </c>
      <c r="F26" s="157">
        <f t="shared" si="6"/>
        <v>442678.54999999976</v>
      </c>
      <c r="G26" s="157">
        <f t="shared" si="7"/>
        <v>413546.02999999974</v>
      </c>
      <c r="H26" s="14">
        <f t="shared" si="3"/>
        <v>5457.6807534246536</v>
      </c>
      <c r="I26" s="16">
        <f t="shared" si="4"/>
        <v>-75.799246575345933</v>
      </c>
    </row>
    <row r="27" spans="1:9" x14ac:dyDescent="0.25">
      <c r="A27" s="152">
        <v>42587</v>
      </c>
      <c r="B27" s="153">
        <f t="shared" si="5"/>
        <v>30</v>
      </c>
      <c r="C27" s="154">
        <f t="shared" si="0"/>
        <v>34666</v>
      </c>
      <c r="D27" s="157">
        <f t="shared" si="1"/>
        <v>29496.67</v>
      </c>
      <c r="E27" s="19">
        <f t="shared" si="2"/>
        <v>5169.33</v>
      </c>
      <c r="F27" s="157">
        <f t="shared" si="6"/>
        <v>413546.02999999974</v>
      </c>
      <c r="G27" s="157">
        <f t="shared" si="7"/>
        <v>384049.35999999975</v>
      </c>
      <c r="H27" s="14">
        <f t="shared" si="3"/>
        <v>5098.5126986301339</v>
      </c>
      <c r="I27" s="16">
        <f t="shared" si="4"/>
        <v>-70.817301369866072</v>
      </c>
    </row>
    <row r="28" spans="1:9" x14ac:dyDescent="0.25">
      <c r="A28" s="152">
        <v>42618</v>
      </c>
      <c r="B28" s="153">
        <f t="shared" si="5"/>
        <v>30</v>
      </c>
      <c r="C28" s="154">
        <f t="shared" si="0"/>
        <v>34666</v>
      </c>
      <c r="D28" s="157">
        <f t="shared" si="1"/>
        <v>29865.38</v>
      </c>
      <c r="E28" s="19">
        <f t="shared" si="2"/>
        <v>4800.62</v>
      </c>
      <c r="F28" s="157">
        <f t="shared" si="6"/>
        <v>384049.35999999975</v>
      </c>
      <c r="G28" s="157">
        <f t="shared" si="7"/>
        <v>354183.97999999975</v>
      </c>
      <c r="H28" s="14">
        <f t="shared" si="3"/>
        <v>4734.855123287668</v>
      </c>
      <c r="I28" s="16">
        <f t="shared" si="4"/>
        <v>-65.764876712331898</v>
      </c>
    </row>
    <row r="29" spans="1:9" x14ac:dyDescent="0.25">
      <c r="A29" s="152">
        <v>42648</v>
      </c>
      <c r="B29" s="153">
        <f t="shared" si="5"/>
        <v>30</v>
      </c>
      <c r="C29" s="154">
        <f t="shared" si="0"/>
        <v>34666</v>
      </c>
      <c r="D29" s="157">
        <f t="shared" si="1"/>
        <v>30238.7</v>
      </c>
      <c r="E29" s="19">
        <f t="shared" si="2"/>
        <v>4427.3</v>
      </c>
      <c r="F29" s="157">
        <f t="shared" si="6"/>
        <v>354183.97999999975</v>
      </c>
      <c r="G29" s="157">
        <f t="shared" si="7"/>
        <v>323945.27999999974</v>
      </c>
      <c r="H29" s="14">
        <f t="shared" si="3"/>
        <v>4366.6518082191751</v>
      </c>
      <c r="I29" s="16">
        <f t="shared" si="4"/>
        <v>-60.648191780825073</v>
      </c>
    </row>
    <row r="30" spans="1:9" x14ac:dyDescent="0.25">
      <c r="A30" s="152">
        <v>42679</v>
      </c>
      <c r="B30" s="153">
        <f t="shared" si="5"/>
        <v>30</v>
      </c>
      <c r="C30" s="154">
        <f t="shared" si="0"/>
        <v>34666</v>
      </c>
      <c r="D30" s="157">
        <f t="shared" si="1"/>
        <v>30616.68</v>
      </c>
      <c r="E30" s="19">
        <f t="shared" si="2"/>
        <v>4049.32</v>
      </c>
      <c r="F30" s="157">
        <f t="shared" si="6"/>
        <v>323945.27999999974</v>
      </c>
      <c r="G30" s="157">
        <f t="shared" si="7"/>
        <v>293328.59999999974</v>
      </c>
      <c r="H30" s="14">
        <f t="shared" si="3"/>
        <v>3993.8459178082162</v>
      </c>
      <c r="I30" s="16">
        <f t="shared" si="4"/>
        <v>-55.474082191783964</v>
      </c>
    </row>
    <row r="31" spans="1:9" x14ac:dyDescent="0.25">
      <c r="A31" s="152">
        <v>42709</v>
      </c>
      <c r="B31" s="153">
        <f t="shared" si="5"/>
        <v>30</v>
      </c>
      <c r="C31" s="154">
        <f t="shared" si="0"/>
        <v>34666</v>
      </c>
      <c r="D31" s="157">
        <f t="shared" si="1"/>
        <v>30999.39</v>
      </c>
      <c r="E31" s="19">
        <f t="shared" si="2"/>
        <v>3666.61</v>
      </c>
      <c r="F31" s="157">
        <f t="shared" si="6"/>
        <v>293328.59999999974</v>
      </c>
      <c r="G31" s="157">
        <f t="shared" si="7"/>
        <v>262329.20999999973</v>
      </c>
      <c r="H31" s="14">
        <f t="shared" si="3"/>
        <v>3616.3799999999965</v>
      </c>
      <c r="I31" s="16">
        <f t="shared" si="4"/>
        <v>-50.230000000003656</v>
      </c>
    </row>
    <row r="32" spans="1:9" x14ac:dyDescent="0.25">
      <c r="A32" s="152">
        <v>42740</v>
      </c>
      <c r="B32" s="153">
        <f t="shared" si="5"/>
        <v>30</v>
      </c>
      <c r="C32" s="154">
        <f t="shared" si="0"/>
        <v>34666</v>
      </c>
      <c r="D32" s="157">
        <f t="shared" si="1"/>
        <v>31386.880000000001</v>
      </c>
      <c r="E32" s="19">
        <f t="shared" si="2"/>
        <v>3279.12</v>
      </c>
      <c r="F32" s="157">
        <f t="shared" si="6"/>
        <v>262329.20999999973</v>
      </c>
      <c r="G32" s="157">
        <f t="shared" si="7"/>
        <v>230942.32999999973</v>
      </c>
      <c r="H32" s="14">
        <f t="shared" si="3"/>
        <v>3234.1957397260244</v>
      </c>
      <c r="I32" s="16">
        <f t="shared" si="4"/>
        <v>-44.924260273975506</v>
      </c>
    </row>
    <row r="33" spans="1:9" x14ac:dyDescent="0.25">
      <c r="A33" s="152">
        <v>42771</v>
      </c>
      <c r="B33" s="153">
        <f t="shared" si="5"/>
        <v>30</v>
      </c>
      <c r="C33" s="154">
        <f t="shared" si="0"/>
        <v>34666</v>
      </c>
      <c r="D33" s="157">
        <f t="shared" si="1"/>
        <v>31779.22</v>
      </c>
      <c r="E33" s="19">
        <f t="shared" si="2"/>
        <v>2886.78</v>
      </c>
      <c r="F33" s="157">
        <f t="shared" si="6"/>
        <v>230942.32999999973</v>
      </c>
      <c r="G33" s="157">
        <f t="shared" si="7"/>
        <v>199163.10999999972</v>
      </c>
      <c r="H33" s="14">
        <f t="shared" si="3"/>
        <v>2847.234205479449</v>
      </c>
      <c r="I33" s="16">
        <f t="shared" si="4"/>
        <v>-39.545794520551226</v>
      </c>
    </row>
    <row r="34" spans="1:9" x14ac:dyDescent="0.25">
      <c r="A34" s="152">
        <v>42799</v>
      </c>
      <c r="B34" s="153">
        <f t="shared" si="5"/>
        <v>30</v>
      </c>
      <c r="C34" s="154">
        <f t="shared" si="0"/>
        <v>34666</v>
      </c>
      <c r="D34" s="157">
        <f t="shared" si="1"/>
        <v>32176.46</v>
      </c>
      <c r="E34" s="19">
        <f t="shared" si="2"/>
        <v>2489.54</v>
      </c>
      <c r="F34" s="157">
        <f t="shared" si="6"/>
        <v>199163.10999999972</v>
      </c>
      <c r="G34" s="157">
        <f t="shared" si="7"/>
        <v>166986.64999999973</v>
      </c>
      <c r="H34" s="14"/>
      <c r="I34" s="16"/>
    </row>
    <row r="35" spans="1:9" x14ac:dyDescent="0.25">
      <c r="A35" s="152">
        <v>42830</v>
      </c>
      <c r="B35" s="153">
        <f t="shared" si="5"/>
        <v>30</v>
      </c>
      <c r="C35" s="154">
        <f t="shared" si="0"/>
        <v>34666</v>
      </c>
      <c r="D35" s="157">
        <f t="shared" si="1"/>
        <v>32578.67</v>
      </c>
      <c r="E35" s="19">
        <f t="shared" si="2"/>
        <v>2087.33</v>
      </c>
      <c r="F35" s="157">
        <f t="shared" si="6"/>
        <v>166986.64999999973</v>
      </c>
      <c r="G35" s="157">
        <f t="shared" si="7"/>
        <v>134407.97999999975</v>
      </c>
      <c r="H35" s="14"/>
      <c r="I35" s="16"/>
    </row>
    <row r="36" spans="1:9" x14ac:dyDescent="0.25">
      <c r="A36" s="152">
        <v>42860</v>
      </c>
      <c r="B36" s="153">
        <f t="shared" si="5"/>
        <v>30</v>
      </c>
      <c r="C36" s="154">
        <f t="shared" si="0"/>
        <v>34666</v>
      </c>
      <c r="D36" s="157">
        <f t="shared" si="1"/>
        <v>32985.9</v>
      </c>
      <c r="E36" s="19">
        <f t="shared" si="2"/>
        <v>1680.1</v>
      </c>
      <c r="F36" s="157">
        <f t="shared" si="6"/>
        <v>134407.97999999975</v>
      </c>
      <c r="G36" s="157">
        <f t="shared" si="7"/>
        <v>101422.07999999975</v>
      </c>
      <c r="H36" s="14"/>
      <c r="I36" s="16"/>
    </row>
    <row r="37" spans="1:9" x14ac:dyDescent="0.25">
      <c r="A37" s="152">
        <v>42891</v>
      </c>
      <c r="B37" s="153">
        <f t="shared" si="5"/>
        <v>30</v>
      </c>
      <c r="C37" s="154">
        <f t="shared" si="0"/>
        <v>34666</v>
      </c>
      <c r="D37" s="157">
        <f t="shared" si="1"/>
        <v>33398.22</v>
      </c>
      <c r="E37" s="19">
        <f t="shared" si="2"/>
        <v>1267.78</v>
      </c>
      <c r="F37" s="157">
        <f t="shared" si="6"/>
        <v>101422.07999999975</v>
      </c>
      <c r="G37" s="157">
        <f t="shared" si="7"/>
        <v>68023.859999999753</v>
      </c>
      <c r="H37" s="14"/>
      <c r="I37" s="16"/>
    </row>
    <row r="38" spans="1:9" x14ac:dyDescent="0.25">
      <c r="A38" s="152">
        <v>42921</v>
      </c>
      <c r="B38" s="153">
        <f t="shared" si="5"/>
        <v>30</v>
      </c>
      <c r="C38" s="154">
        <f t="shared" si="0"/>
        <v>34666</v>
      </c>
      <c r="D38" s="157">
        <f t="shared" si="1"/>
        <v>33815.699999999997</v>
      </c>
      <c r="E38" s="19">
        <f t="shared" si="2"/>
        <v>850.3</v>
      </c>
      <c r="F38" s="157">
        <f t="shared" si="6"/>
        <v>68023.859999999753</v>
      </c>
      <c r="G38" s="157">
        <f t="shared" si="7"/>
        <v>34208.159999999756</v>
      </c>
      <c r="H38" s="14"/>
      <c r="I38" s="16"/>
    </row>
    <row r="39" spans="1:9" x14ac:dyDescent="0.25">
      <c r="A39" s="152">
        <v>42952</v>
      </c>
      <c r="B39" s="153">
        <f t="shared" si="5"/>
        <v>30</v>
      </c>
      <c r="C39" s="154">
        <f t="shared" si="0"/>
        <v>34666</v>
      </c>
      <c r="D39" s="157">
        <f t="shared" si="1"/>
        <v>34208.159999999756</v>
      </c>
      <c r="E39" s="19">
        <v>457.84000000024537</v>
      </c>
      <c r="F39" s="157">
        <f t="shared" si="6"/>
        <v>34208.159999999756</v>
      </c>
      <c r="G39" s="157">
        <f t="shared" si="7"/>
        <v>0</v>
      </c>
      <c r="H39" s="14"/>
      <c r="I39" s="16"/>
    </row>
    <row r="40" spans="1:9" x14ac:dyDescent="0.25">
      <c r="A40" s="54">
        <v>42252</v>
      </c>
      <c r="B40" s="153">
        <f>DAYS360(A15,A16,TRUE)</f>
        <v>30</v>
      </c>
      <c r="C40" s="4">
        <f t="shared" ref="C40:C47" si="8">$E$2</f>
        <v>64530</v>
      </c>
      <c r="D40" s="2">
        <f t="shared" si="1"/>
        <v>55593.279999999999</v>
      </c>
      <c r="E40" s="19">
        <f>ROUND(F40*$B$2*B40/360,2)</f>
        <v>8936.7199999999993</v>
      </c>
      <c r="F40" s="2">
        <f>G15</f>
        <v>714937.24999999977</v>
      </c>
      <c r="G40" s="2">
        <f t="shared" si="7"/>
        <v>659343.96999999974</v>
      </c>
      <c r="H40" s="14"/>
      <c r="I40" s="16"/>
    </row>
    <row r="41" spans="1:9" x14ac:dyDescent="0.25">
      <c r="A41" s="29">
        <v>42282</v>
      </c>
      <c r="B41" s="153">
        <f t="shared" si="5"/>
        <v>30</v>
      </c>
      <c r="C41" s="4">
        <f t="shared" si="8"/>
        <v>64530</v>
      </c>
      <c r="D41" s="2">
        <f t="shared" si="1"/>
        <v>56288.2</v>
      </c>
      <c r="E41" s="19">
        <f>ROUND(F41*$B$2*B41/360,2)</f>
        <v>8241.7999999999993</v>
      </c>
      <c r="F41" s="2">
        <f t="shared" ref="F41:F63" si="9">G40</f>
        <v>659343.96999999974</v>
      </c>
      <c r="G41" s="2">
        <f t="shared" si="7"/>
        <v>603055.76999999979</v>
      </c>
      <c r="H41" s="14"/>
      <c r="I41" s="16"/>
    </row>
    <row r="42" spans="1:9" x14ac:dyDescent="0.25">
      <c r="A42" s="29">
        <v>42313</v>
      </c>
      <c r="B42" s="153">
        <f t="shared" si="5"/>
        <v>30</v>
      </c>
      <c r="C42" s="4">
        <f t="shared" si="8"/>
        <v>64530</v>
      </c>
      <c r="D42" s="2">
        <f t="shared" si="1"/>
        <v>56991.8</v>
      </c>
      <c r="E42" s="19">
        <f t="shared" ref="E42:E62" si="10">ROUND(F42*$B$2*B42/360,2)</f>
        <v>7538.2</v>
      </c>
      <c r="F42" s="2">
        <f t="shared" si="9"/>
        <v>603055.76999999979</v>
      </c>
      <c r="G42" s="2">
        <f t="shared" si="7"/>
        <v>546063.96999999974</v>
      </c>
      <c r="H42" s="14"/>
      <c r="I42" s="16"/>
    </row>
    <row r="43" spans="1:9" x14ac:dyDescent="0.25">
      <c r="A43" s="29">
        <v>42343</v>
      </c>
      <c r="B43" s="153">
        <f t="shared" si="5"/>
        <v>30</v>
      </c>
      <c r="C43" s="4">
        <f t="shared" si="8"/>
        <v>64530</v>
      </c>
      <c r="D43" s="2">
        <f t="shared" si="1"/>
        <v>57704.2</v>
      </c>
      <c r="E43" s="19">
        <f t="shared" si="10"/>
        <v>6825.8</v>
      </c>
      <c r="F43" s="2">
        <f t="shared" si="9"/>
        <v>546063.96999999974</v>
      </c>
      <c r="G43" s="2">
        <f t="shared" si="7"/>
        <v>488359.76999999973</v>
      </c>
      <c r="H43" s="14"/>
      <c r="I43" s="16"/>
    </row>
    <row r="44" spans="1:9" x14ac:dyDescent="0.25">
      <c r="A44" s="29">
        <v>42374</v>
      </c>
      <c r="B44" s="153">
        <f t="shared" si="5"/>
        <v>30</v>
      </c>
      <c r="C44" s="4">
        <f t="shared" si="8"/>
        <v>64530</v>
      </c>
      <c r="D44" s="2">
        <f t="shared" si="1"/>
        <v>58425.5</v>
      </c>
      <c r="E44" s="19">
        <f t="shared" si="10"/>
        <v>6104.5</v>
      </c>
      <c r="F44" s="2">
        <f t="shared" si="9"/>
        <v>488359.76999999973</v>
      </c>
      <c r="G44" s="2">
        <f t="shared" si="7"/>
        <v>429934.26999999973</v>
      </c>
      <c r="H44" s="14"/>
      <c r="I44" s="16"/>
    </row>
    <row r="45" spans="1:9" x14ac:dyDescent="0.25">
      <c r="A45" s="29">
        <v>42405</v>
      </c>
      <c r="B45" s="153">
        <f t="shared" si="5"/>
        <v>30</v>
      </c>
      <c r="C45" s="4">
        <f t="shared" si="8"/>
        <v>64530</v>
      </c>
      <c r="D45" s="2">
        <f t="shared" si="1"/>
        <v>59155.82</v>
      </c>
      <c r="E45" s="19">
        <f t="shared" si="10"/>
        <v>5374.18</v>
      </c>
      <c r="F45" s="2">
        <f t="shared" si="9"/>
        <v>429934.26999999973</v>
      </c>
      <c r="G45" s="2">
        <f t="shared" si="7"/>
        <v>370778.44999999972</v>
      </c>
      <c r="H45" s="14"/>
      <c r="I45" s="16"/>
    </row>
    <row r="46" spans="1:9" x14ac:dyDescent="0.25">
      <c r="A46" s="29">
        <v>42434</v>
      </c>
      <c r="B46" s="153">
        <f t="shared" si="5"/>
        <v>30</v>
      </c>
      <c r="C46" s="4">
        <f t="shared" si="8"/>
        <v>64530</v>
      </c>
      <c r="D46" s="2">
        <f t="shared" si="1"/>
        <v>59895.270000000004</v>
      </c>
      <c r="E46" s="19">
        <f t="shared" si="10"/>
        <v>4634.7299999999996</v>
      </c>
      <c r="F46" s="2">
        <f t="shared" si="9"/>
        <v>370778.44999999972</v>
      </c>
      <c r="G46" s="2">
        <f t="shared" si="7"/>
        <v>310883.1799999997</v>
      </c>
      <c r="H46" s="14"/>
      <c r="I46" s="16"/>
    </row>
    <row r="47" spans="1:9" x14ac:dyDescent="0.25">
      <c r="A47" s="29">
        <v>42465</v>
      </c>
      <c r="B47" s="153">
        <f t="shared" si="5"/>
        <v>30</v>
      </c>
      <c r="C47" s="4">
        <f t="shared" si="8"/>
        <v>64530</v>
      </c>
      <c r="D47" s="2">
        <f t="shared" si="1"/>
        <v>60643.96</v>
      </c>
      <c r="E47" s="19">
        <f t="shared" si="10"/>
        <v>3886.04</v>
      </c>
      <c r="F47" s="2">
        <f t="shared" si="9"/>
        <v>310883.1799999997</v>
      </c>
      <c r="G47" s="2">
        <f t="shared" si="7"/>
        <v>250239.21999999971</v>
      </c>
      <c r="H47" s="14"/>
      <c r="I47" s="16"/>
    </row>
    <row r="48" spans="1:9" x14ac:dyDescent="0.25">
      <c r="A48" s="29">
        <v>42495</v>
      </c>
      <c r="B48" s="153">
        <f t="shared" si="5"/>
        <v>30</v>
      </c>
      <c r="C48" s="4">
        <f>$H$2</f>
        <v>17354</v>
      </c>
      <c r="D48" s="2">
        <f t="shared" si="1"/>
        <v>14226.01</v>
      </c>
      <c r="E48" s="19">
        <f t="shared" si="10"/>
        <v>3127.99</v>
      </c>
      <c r="F48" s="2">
        <f t="shared" si="9"/>
        <v>250239.21999999971</v>
      </c>
      <c r="G48" s="2">
        <f t="shared" si="7"/>
        <v>236013.2099999997</v>
      </c>
      <c r="H48" s="14"/>
      <c r="I48" s="16"/>
    </row>
    <row r="49" spans="1:9" x14ac:dyDescent="0.25">
      <c r="A49" s="29">
        <v>42526</v>
      </c>
      <c r="B49" s="153">
        <f t="shared" si="5"/>
        <v>30</v>
      </c>
      <c r="C49" s="4">
        <f t="shared" ref="C49:C63" si="11">$H$2</f>
        <v>17354</v>
      </c>
      <c r="D49" s="2">
        <f t="shared" si="1"/>
        <v>14403.83</v>
      </c>
      <c r="E49" s="19">
        <f t="shared" si="10"/>
        <v>2950.17</v>
      </c>
      <c r="F49" s="2">
        <f t="shared" si="9"/>
        <v>236013.2099999997</v>
      </c>
      <c r="G49" s="2">
        <f t="shared" si="7"/>
        <v>221609.37999999971</v>
      </c>
      <c r="H49" s="14"/>
      <c r="I49" s="16"/>
    </row>
    <row r="50" spans="1:9" x14ac:dyDescent="0.25">
      <c r="A50" s="29">
        <v>42556</v>
      </c>
      <c r="B50" s="153">
        <f t="shared" si="5"/>
        <v>30</v>
      </c>
      <c r="C50" s="4">
        <f t="shared" si="11"/>
        <v>17354</v>
      </c>
      <c r="D50" s="2">
        <f t="shared" si="1"/>
        <v>14583.880000000001</v>
      </c>
      <c r="E50" s="19">
        <f t="shared" si="10"/>
        <v>2770.12</v>
      </c>
      <c r="F50" s="2">
        <f t="shared" si="9"/>
        <v>221609.37999999971</v>
      </c>
      <c r="G50" s="2">
        <f t="shared" si="7"/>
        <v>207025.49999999971</v>
      </c>
      <c r="H50" s="14"/>
      <c r="I50" s="16"/>
    </row>
    <row r="51" spans="1:9" x14ac:dyDescent="0.25">
      <c r="A51" s="29">
        <v>42587</v>
      </c>
      <c r="B51" s="153">
        <f t="shared" si="5"/>
        <v>30</v>
      </c>
      <c r="C51" s="4">
        <f t="shared" si="11"/>
        <v>17354</v>
      </c>
      <c r="D51" s="2">
        <f t="shared" si="1"/>
        <v>14766.18</v>
      </c>
      <c r="E51" s="19">
        <f t="shared" si="10"/>
        <v>2587.8200000000002</v>
      </c>
      <c r="F51" s="2">
        <f t="shared" si="9"/>
        <v>207025.49999999971</v>
      </c>
      <c r="G51" s="2">
        <f t="shared" si="7"/>
        <v>192259.31999999972</v>
      </c>
      <c r="H51" s="93"/>
      <c r="I51" s="93"/>
    </row>
    <row r="52" spans="1:9" x14ac:dyDescent="0.25">
      <c r="A52" s="152">
        <v>42618</v>
      </c>
      <c r="B52" s="153">
        <f t="shared" ref="B52:B63" si="12">DAYS360(A51,A52,TRUE)</f>
        <v>30</v>
      </c>
      <c r="C52" s="4">
        <f t="shared" si="11"/>
        <v>17354</v>
      </c>
      <c r="D52" s="157">
        <f t="shared" ref="D52:D63" si="13">C52-E52</f>
        <v>14950.76</v>
      </c>
      <c r="E52" s="19">
        <f t="shared" si="10"/>
        <v>2403.2399999999998</v>
      </c>
      <c r="F52" s="157">
        <f t="shared" si="9"/>
        <v>192259.31999999972</v>
      </c>
      <c r="G52" s="157">
        <f t="shared" ref="G52:G63" si="14">F52-D52</f>
        <v>177308.55999999971</v>
      </c>
    </row>
    <row r="53" spans="1:9" x14ac:dyDescent="0.25">
      <c r="A53" s="152">
        <v>42648</v>
      </c>
      <c r="B53" s="153">
        <f t="shared" si="12"/>
        <v>30</v>
      </c>
      <c r="C53" s="4">
        <f t="shared" si="11"/>
        <v>17354</v>
      </c>
      <c r="D53" s="157">
        <f t="shared" si="13"/>
        <v>15137.64</v>
      </c>
      <c r="E53" s="19">
        <f t="shared" si="10"/>
        <v>2216.36</v>
      </c>
      <c r="F53" s="157">
        <f t="shared" si="9"/>
        <v>177308.55999999971</v>
      </c>
      <c r="G53" s="157">
        <f t="shared" si="14"/>
        <v>162170.91999999969</v>
      </c>
    </row>
    <row r="54" spans="1:9" x14ac:dyDescent="0.25">
      <c r="A54" s="152">
        <v>42679</v>
      </c>
      <c r="B54" s="153">
        <f t="shared" si="12"/>
        <v>30</v>
      </c>
      <c r="C54" s="4">
        <f t="shared" si="11"/>
        <v>17354</v>
      </c>
      <c r="D54" s="157">
        <f t="shared" si="13"/>
        <v>15326.86</v>
      </c>
      <c r="E54" s="19">
        <f t="shared" si="10"/>
        <v>2027.14</v>
      </c>
      <c r="F54" s="157">
        <f t="shared" si="9"/>
        <v>162170.91999999969</v>
      </c>
      <c r="G54" s="157">
        <f t="shared" si="14"/>
        <v>146844.05999999971</v>
      </c>
    </row>
    <row r="55" spans="1:9" x14ac:dyDescent="0.25">
      <c r="A55" s="152">
        <v>42709</v>
      </c>
      <c r="B55" s="153">
        <f t="shared" si="12"/>
        <v>30</v>
      </c>
      <c r="C55" s="4">
        <f t="shared" si="11"/>
        <v>17354</v>
      </c>
      <c r="D55" s="157">
        <f t="shared" si="13"/>
        <v>15518.45</v>
      </c>
      <c r="E55" s="19">
        <f t="shared" si="10"/>
        <v>1835.55</v>
      </c>
      <c r="F55" s="157">
        <f t="shared" si="9"/>
        <v>146844.05999999971</v>
      </c>
      <c r="G55" s="157">
        <f t="shared" si="14"/>
        <v>131325.60999999969</v>
      </c>
    </row>
    <row r="56" spans="1:9" x14ac:dyDescent="0.25">
      <c r="A56" s="152">
        <v>42740</v>
      </c>
      <c r="B56" s="153">
        <f t="shared" si="12"/>
        <v>30</v>
      </c>
      <c r="C56" s="4">
        <f t="shared" si="11"/>
        <v>17354</v>
      </c>
      <c r="D56" s="157">
        <f t="shared" si="13"/>
        <v>15712.43</v>
      </c>
      <c r="E56" s="19">
        <f t="shared" si="10"/>
        <v>1641.57</v>
      </c>
      <c r="F56" s="157">
        <f t="shared" si="9"/>
        <v>131325.60999999969</v>
      </c>
      <c r="G56" s="157">
        <f t="shared" si="14"/>
        <v>115613.1799999997</v>
      </c>
    </row>
    <row r="57" spans="1:9" x14ac:dyDescent="0.25">
      <c r="A57" s="152">
        <v>42771</v>
      </c>
      <c r="B57" s="153">
        <f t="shared" si="12"/>
        <v>30</v>
      </c>
      <c r="C57" s="4">
        <f t="shared" si="11"/>
        <v>17354</v>
      </c>
      <c r="D57" s="157">
        <f t="shared" si="13"/>
        <v>15908.84</v>
      </c>
      <c r="E57" s="19">
        <f t="shared" si="10"/>
        <v>1445.16</v>
      </c>
      <c r="F57" s="157">
        <f t="shared" si="9"/>
        <v>115613.1799999997</v>
      </c>
      <c r="G57" s="157">
        <f t="shared" si="14"/>
        <v>99704.339999999705</v>
      </c>
    </row>
    <row r="58" spans="1:9" x14ac:dyDescent="0.25">
      <c r="A58" s="152">
        <v>42799</v>
      </c>
      <c r="B58" s="153">
        <f t="shared" si="12"/>
        <v>30</v>
      </c>
      <c r="C58" s="4">
        <f t="shared" si="11"/>
        <v>17354</v>
      </c>
      <c r="D58" s="157">
        <f t="shared" si="13"/>
        <v>16107.7</v>
      </c>
      <c r="E58" s="19">
        <f t="shared" si="10"/>
        <v>1246.3</v>
      </c>
      <c r="F58" s="157">
        <f t="shared" si="9"/>
        <v>99704.339999999705</v>
      </c>
      <c r="G58" s="157">
        <f t="shared" si="14"/>
        <v>83596.639999999708</v>
      </c>
    </row>
    <row r="59" spans="1:9" x14ac:dyDescent="0.25">
      <c r="A59" s="152">
        <v>42830</v>
      </c>
      <c r="B59" s="153">
        <f t="shared" si="12"/>
        <v>30</v>
      </c>
      <c r="C59" s="4">
        <f t="shared" si="11"/>
        <v>17354</v>
      </c>
      <c r="D59" s="157">
        <f t="shared" si="13"/>
        <v>16309.04</v>
      </c>
      <c r="E59" s="19">
        <f t="shared" si="10"/>
        <v>1044.96</v>
      </c>
      <c r="F59" s="157">
        <f t="shared" si="9"/>
        <v>83596.639999999708</v>
      </c>
      <c r="G59" s="157">
        <f t="shared" si="14"/>
        <v>67287.599999999715</v>
      </c>
    </row>
    <row r="60" spans="1:9" x14ac:dyDescent="0.25">
      <c r="A60" s="152">
        <v>42860</v>
      </c>
      <c r="B60" s="153">
        <f t="shared" si="12"/>
        <v>30</v>
      </c>
      <c r="C60" s="4">
        <f t="shared" si="11"/>
        <v>17354</v>
      </c>
      <c r="D60" s="157">
        <f t="shared" si="13"/>
        <v>16512.91</v>
      </c>
      <c r="E60" s="19">
        <f t="shared" si="10"/>
        <v>841.09</v>
      </c>
      <c r="F60" s="157">
        <f t="shared" si="9"/>
        <v>67287.599999999715</v>
      </c>
      <c r="G60" s="157">
        <f t="shared" si="14"/>
        <v>50774.689999999711</v>
      </c>
    </row>
    <row r="61" spans="1:9" x14ac:dyDescent="0.25">
      <c r="A61" s="152">
        <v>42891</v>
      </c>
      <c r="B61" s="153">
        <f t="shared" si="12"/>
        <v>30</v>
      </c>
      <c r="C61" s="4">
        <f t="shared" si="11"/>
        <v>17354</v>
      </c>
      <c r="D61" s="157">
        <f t="shared" si="13"/>
        <v>16719.32</v>
      </c>
      <c r="E61" s="19">
        <f t="shared" si="10"/>
        <v>634.67999999999995</v>
      </c>
      <c r="F61" s="157">
        <f t="shared" si="9"/>
        <v>50774.689999999711</v>
      </c>
      <c r="G61" s="157">
        <f t="shared" si="14"/>
        <v>34055.369999999712</v>
      </c>
    </row>
    <row r="62" spans="1:9" x14ac:dyDescent="0.25">
      <c r="A62" s="152">
        <v>42921</v>
      </c>
      <c r="B62" s="153">
        <f t="shared" si="12"/>
        <v>30</v>
      </c>
      <c r="C62" s="4">
        <f t="shared" si="11"/>
        <v>17354</v>
      </c>
      <c r="D62" s="157">
        <f t="shared" si="13"/>
        <v>16928.310000000001</v>
      </c>
      <c r="E62" s="19">
        <f t="shared" si="10"/>
        <v>425.69</v>
      </c>
      <c r="F62" s="157">
        <f t="shared" si="9"/>
        <v>34055.369999999712</v>
      </c>
      <c r="G62" s="157">
        <f t="shared" si="14"/>
        <v>17127.05999999971</v>
      </c>
    </row>
    <row r="63" spans="1:9" x14ac:dyDescent="0.25">
      <c r="A63" s="152">
        <v>42952</v>
      </c>
      <c r="B63" s="153">
        <f t="shared" si="12"/>
        <v>30</v>
      </c>
      <c r="C63" s="4">
        <f t="shared" si="11"/>
        <v>17354</v>
      </c>
      <c r="D63" s="157">
        <f t="shared" si="13"/>
        <v>17127.05999999971</v>
      </c>
      <c r="E63" s="19">
        <v>226.94000000028959</v>
      </c>
      <c r="F63" s="157">
        <f t="shared" si="9"/>
        <v>17127.05999999971</v>
      </c>
      <c r="G63" s="157">
        <f t="shared" si="14"/>
        <v>0</v>
      </c>
    </row>
  </sheetData>
  <pageMargins left="0.7" right="0.7" top="0.75" bottom="0.75" header="0.3" footer="0.3"/>
  <pageSetup orientation="portrait" r:id="rId1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5159B1-309F-4037-A5A3-0F93E6E1EA1A}">
  <dimension ref="A1:U3"/>
  <sheetViews>
    <sheetView workbookViewId="0">
      <selection activeCell="U2" sqref="U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101.285156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0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44</v>
      </c>
      <c r="P2" s="20" t="s">
        <v>45</v>
      </c>
      <c r="Q2" s="20" t="s">
        <v>46</v>
      </c>
      <c r="R2" s="20" t="s">
        <v>44</v>
      </c>
      <c r="S2" s="20" t="s">
        <v>45</v>
      </c>
      <c r="T2" s="20" t="s">
        <v>46</v>
      </c>
      <c r="U2" s="9" t="s">
        <v>369</v>
      </c>
    </row>
    <row r="3" spans="1:21" x14ac:dyDescent="0.25">
      <c r="A3" s="12" t="s">
        <v>0</v>
      </c>
      <c r="B3" s="7" t="s">
        <v>9</v>
      </c>
      <c r="C3" s="7" t="s">
        <v>39</v>
      </c>
      <c r="D3" s="8" t="s">
        <v>40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0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44</v>
      </c>
      <c r="P3" s="20" t="s">
        <v>45</v>
      </c>
      <c r="Q3" s="20" t="s">
        <v>46</v>
      </c>
      <c r="R3" s="20" t="s">
        <v>44</v>
      </c>
      <c r="S3" s="20" t="s">
        <v>45</v>
      </c>
      <c r="T3" s="20" t="s">
        <v>46</v>
      </c>
      <c r="U3" s="9" t="s">
        <v>370</v>
      </c>
    </row>
  </sheetData>
  <pageMargins left="0.7" right="0.7" top="0.75" bottom="0.75" header="0.3" footer="0.3"/>
  <pageSetup orientation="portrait" r:id="rId1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2D3B03-A759-4B82-AEC2-DF2DE08345A2}">
  <dimension ref="A1:I67"/>
  <sheetViews>
    <sheetView zoomScale="97" zoomScaleNormal="100" workbookViewId="0">
      <pane ySplit="3" topLeftCell="A50" activePane="bottomLeft" state="frozen"/>
      <selection activeCell="U2" sqref="U2"/>
      <selection pane="bottomLeft" activeCell="E67" sqref="E67"/>
    </sheetView>
  </sheetViews>
  <sheetFormatPr defaultRowHeight="15" x14ac:dyDescent="0.25"/>
  <cols>
    <col min="1" max="1" width="15.5703125" bestFit="1" customWidth="1"/>
    <col min="2" max="2" width="12.85546875" bestFit="1" customWidth="1"/>
    <col min="3" max="3" width="23.7109375" bestFit="1" customWidth="1"/>
    <col min="4" max="4" width="20.5703125" bestFit="1" customWidth="1"/>
    <col min="5" max="5" width="15" bestFit="1" customWidth="1"/>
    <col min="6" max="6" width="22.85546875" bestFit="1" customWidth="1"/>
    <col min="7" max="7" width="16" bestFit="1" customWidth="1"/>
    <col min="8" max="8" width="21.7109375" bestFit="1" customWidth="1"/>
    <col min="9" max="10" width="10.85546875" bestFit="1" customWidth="1"/>
  </cols>
  <sheetData>
    <row r="1" spans="1:9" x14ac:dyDescent="0.25">
      <c r="A1" s="17" t="s">
        <v>33</v>
      </c>
      <c r="B1" s="78">
        <v>41855</v>
      </c>
      <c r="C1" s="17" t="s">
        <v>37</v>
      </c>
      <c r="D1" s="80" t="s">
        <v>338</v>
      </c>
      <c r="E1" s="162">
        <f>ROUNDUP(33819390.8607692,0)</f>
        <v>33819391</v>
      </c>
      <c r="F1" s="80" t="s">
        <v>52</v>
      </c>
      <c r="G1" s="81">
        <v>42160</v>
      </c>
      <c r="H1" s="80" t="s">
        <v>53</v>
      </c>
      <c r="I1" s="164">
        <v>5600000</v>
      </c>
    </row>
    <row r="2" spans="1:9" x14ac:dyDescent="0.25">
      <c r="A2" s="17" t="s">
        <v>34</v>
      </c>
      <c r="B2" s="18">
        <v>0.15</v>
      </c>
      <c r="C2" s="156">
        <f>ROUNDUP(34326798.9648496,0)</f>
        <v>34326799</v>
      </c>
      <c r="D2" s="80" t="s">
        <v>340</v>
      </c>
      <c r="E2" s="81">
        <v>42526</v>
      </c>
      <c r="F2" s="80" t="s">
        <v>341</v>
      </c>
      <c r="G2" s="164">
        <v>5600000</v>
      </c>
    </row>
    <row r="3" spans="1:9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3" t="s">
        <v>36</v>
      </c>
    </row>
    <row r="4" spans="1:9" x14ac:dyDescent="0.25">
      <c r="A4" s="29">
        <v>41856</v>
      </c>
      <c r="B4" s="1">
        <f>_xlfn.DAYS(A4,B1)</f>
        <v>1</v>
      </c>
      <c r="C4" s="10" t="s">
        <v>28</v>
      </c>
      <c r="D4" s="3" t="s">
        <v>15</v>
      </c>
      <c r="E4" s="19">
        <f>ROUNDUP(F4*$B$2*B4/365,0)</f>
        <v>406850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-0.68493150686845183</v>
      </c>
    </row>
    <row r="5" spans="1:9" x14ac:dyDescent="0.25">
      <c r="A5" s="29">
        <v>41887</v>
      </c>
      <c r="B5" s="1">
        <f>_xlfn.DAYS(A5,A4)</f>
        <v>31</v>
      </c>
      <c r="C5" s="4">
        <f t="shared" ref="C5:C41" si="0">$C$2</f>
        <v>34326799</v>
      </c>
      <c r="D5" s="2">
        <f t="shared" ref="D5:D43" si="1">C5-E5</f>
        <v>21714470.23</v>
      </c>
      <c r="E5" s="19">
        <f>ROUND(F5*$B$2*B5/365,2)</f>
        <v>12612328.77</v>
      </c>
      <c r="F5" s="2">
        <f>G4</f>
        <v>990000000</v>
      </c>
      <c r="G5" s="2">
        <f>F5-D5</f>
        <v>968285529.76999998</v>
      </c>
      <c r="H5" s="14">
        <f t="shared" ref="H5:H33" si="2">F5*$B$2*B5/365</f>
        <v>12612328.767123288</v>
      </c>
      <c r="I5" s="16">
        <f t="shared" ref="I5:I33" si="3">H5-E5</f>
        <v>-2.8767120093107224E-3</v>
      </c>
    </row>
    <row r="6" spans="1:9" x14ac:dyDescent="0.25">
      <c r="A6" s="29">
        <v>41917</v>
      </c>
      <c r="B6" s="1">
        <f t="shared" ref="B6:B43" si="4">_xlfn.DAYS(A6,A5)</f>
        <v>30</v>
      </c>
      <c r="C6" s="4">
        <f t="shared" si="0"/>
        <v>34326799</v>
      </c>
      <c r="D6" s="2">
        <f t="shared" si="1"/>
        <v>22389032.189999998</v>
      </c>
      <c r="E6" s="19">
        <f t="shared" ref="E6:E39" si="5">ROUND(F6*$B$2*B6/365,2)</f>
        <v>11937766.810000001</v>
      </c>
      <c r="F6" s="2">
        <f t="shared" ref="F6:F40" si="6">G5</f>
        <v>968285529.76999998</v>
      </c>
      <c r="G6" s="2">
        <f t="shared" ref="G6:G40" si="7">F6-D6</f>
        <v>945896497.57999992</v>
      </c>
      <c r="H6" s="14">
        <f t="shared" si="2"/>
        <v>11937766.805383561</v>
      </c>
      <c r="I6" s="16">
        <f t="shared" si="3"/>
        <v>-4.6164393424987793E-3</v>
      </c>
    </row>
    <row r="7" spans="1:9" x14ac:dyDescent="0.25">
      <c r="A7" s="29">
        <v>41948</v>
      </c>
      <c r="B7" s="1">
        <f t="shared" si="4"/>
        <v>31</v>
      </c>
      <c r="C7" s="4">
        <f t="shared" si="0"/>
        <v>34326799</v>
      </c>
      <c r="D7" s="2">
        <f t="shared" si="1"/>
        <v>22276336.77</v>
      </c>
      <c r="E7" s="19">
        <f t="shared" si="5"/>
        <v>12050462.23</v>
      </c>
      <c r="F7" s="2">
        <f t="shared" si="6"/>
        <v>945896497.57999992</v>
      </c>
      <c r="G7" s="2">
        <f t="shared" si="7"/>
        <v>923620160.80999994</v>
      </c>
      <c r="H7" s="14">
        <f t="shared" si="2"/>
        <v>12050462.229443835</v>
      </c>
      <c r="I7" s="16">
        <f t="shared" si="3"/>
        <v>-5.5616535246372223E-4</v>
      </c>
    </row>
    <row r="8" spans="1:9" x14ac:dyDescent="0.25">
      <c r="A8" s="29">
        <v>41978</v>
      </c>
      <c r="B8" s="1">
        <f t="shared" si="4"/>
        <v>30</v>
      </c>
      <c r="C8" s="4">
        <f t="shared" si="0"/>
        <v>34326799</v>
      </c>
      <c r="D8" s="2">
        <f t="shared" si="1"/>
        <v>22939701.130000003</v>
      </c>
      <c r="E8" s="19">
        <f t="shared" si="5"/>
        <v>11387097.869999999</v>
      </c>
      <c r="F8" s="2">
        <f t="shared" si="6"/>
        <v>923620160.80999994</v>
      </c>
      <c r="G8" s="2">
        <f t="shared" si="7"/>
        <v>900680459.67999995</v>
      </c>
      <c r="H8" s="14">
        <f t="shared" si="2"/>
        <v>11387097.872999998</v>
      </c>
      <c r="I8" s="16">
        <f t="shared" si="3"/>
        <v>2.9999986290931702E-3</v>
      </c>
    </row>
    <row r="9" spans="1:9" x14ac:dyDescent="0.25">
      <c r="A9" s="29">
        <v>42009</v>
      </c>
      <c r="B9" s="1">
        <f t="shared" si="4"/>
        <v>31</v>
      </c>
      <c r="C9" s="4">
        <f t="shared" si="0"/>
        <v>34326799</v>
      </c>
      <c r="D9" s="2">
        <f t="shared" si="1"/>
        <v>22852376.710000001</v>
      </c>
      <c r="E9" s="19">
        <f t="shared" si="5"/>
        <v>11474422.289999999</v>
      </c>
      <c r="F9" s="2">
        <f t="shared" si="6"/>
        <v>900680459.67999995</v>
      </c>
      <c r="G9" s="2">
        <f t="shared" si="7"/>
        <v>877828082.96999991</v>
      </c>
      <c r="H9" s="14">
        <f t="shared" si="2"/>
        <v>11474422.294553423</v>
      </c>
      <c r="I9" s="16">
        <f t="shared" si="3"/>
        <v>4.5534241944551468E-3</v>
      </c>
    </row>
    <row r="10" spans="1:9" x14ac:dyDescent="0.25">
      <c r="A10" s="29">
        <v>42040</v>
      </c>
      <c r="B10" s="1">
        <f t="shared" si="4"/>
        <v>31</v>
      </c>
      <c r="C10" s="4">
        <f t="shared" si="0"/>
        <v>34326799</v>
      </c>
      <c r="D10" s="2">
        <f t="shared" si="1"/>
        <v>23143509.719999999</v>
      </c>
      <c r="E10" s="19">
        <f t="shared" si="5"/>
        <v>11183289.279999999</v>
      </c>
      <c r="F10" s="2">
        <f t="shared" si="6"/>
        <v>877828082.96999991</v>
      </c>
      <c r="G10" s="2">
        <f t="shared" si="7"/>
        <v>854684573.24999988</v>
      </c>
      <c r="H10" s="14">
        <f t="shared" si="2"/>
        <v>11183289.276193149</v>
      </c>
      <c r="I10" s="16">
        <f t="shared" si="3"/>
        <v>-3.80684994161129E-3</v>
      </c>
    </row>
    <row r="11" spans="1:9" x14ac:dyDescent="0.25">
      <c r="A11" s="29">
        <v>42068</v>
      </c>
      <c r="B11" s="1">
        <f t="shared" si="4"/>
        <v>28</v>
      </c>
      <c r="C11" s="4">
        <f t="shared" si="0"/>
        <v>34326799</v>
      </c>
      <c r="D11" s="2">
        <f t="shared" si="1"/>
        <v>24492072.399999999</v>
      </c>
      <c r="E11" s="19">
        <f t="shared" si="5"/>
        <v>9834726.5999999996</v>
      </c>
      <c r="F11" s="2">
        <f t="shared" si="6"/>
        <v>854684573.24999988</v>
      </c>
      <c r="G11" s="2">
        <f t="shared" si="7"/>
        <v>830192500.8499999</v>
      </c>
      <c r="H11" s="14">
        <f t="shared" si="2"/>
        <v>9834726.5963013694</v>
      </c>
      <c r="I11" s="16">
        <f t="shared" si="3"/>
        <v>-3.6986302584409714E-3</v>
      </c>
    </row>
    <row r="12" spans="1:9" x14ac:dyDescent="0.25">
      <c r="A12" s="29">
        <v>42099</v>
      </c>
      <c r="B12" s="1">
        <f t="shared" si="4"/>
        <v>31</v>
      </c>
      <c r="C12" s="4">
        <f t="shared" si="0"/>
        <v>34326799</v>
      </c>
      <c r="D12" s="2">
        <f t="shared" si="1"/>
        <v>23750373.990000002</v>
      </c>
      <c r="E12" s="19">
        <f t="shared" si="5"/>
        <v>10576425.01</v>
      </c>
      <c r="F12" s="2">
        <f t="shared" si="6"/>
        <v>830192500.8499999</v>
      </c>
      <c r="G12" s="2">
        <f t="shared" si="7"/>
        <v>806442126.8599999</v>
      </c>
      <c r="H12" s="14">
        <f t="shared" si="2"/>
        <v>10576425.010828765</v>
      </c>
      <c r="I12" s="16">
        <f t="shared" si="3"/>
        <v>8.2876533269882202E-4</v>
      </c>
    </row>
    <row r="13" spans="1:9" x14ac:dyDescent="0.25">
      <c r="A13" s="29">
        <v>42129</v>
      </c>
      <c r="B13" s="1">
        <f t="shared" si="4"/>
        <v>30</v>
      </c>
      <c r="C13" s="4">
        <f t="shared" si="0"/>
        <v>34326799</v>
      </c>
      <c r="D13" s="2">
        <f t="shared" si="1"/>
        <v>24384361.82</v>
      </c>
      <c r="E13" s="19">
        <f t="shared" si="5"/>
        <v>9942437.1799999997</v>
      </c>
      <c r="F13" s="2">
        <f t="shared" si="6"/>
        <v>806442126.8599999</v>
      </c>
      <c r="G13" s="2">
        <f t="shared" si="7"/>
        <v>782057765.03999984</v>
      </c>
      <c r="H13" s="14">
        <f t="shared" si="2"/>
        <v>9942437.1804657523</v>
      </c>
      <c r="I13" s="16">
        <f t="shared" si="3"/>
        <v>4.6575255692005157E-4</v>
      </c>
    </row>
    <row r="14" spans="1:9" x14ac:dyDescent="0.25">
      <c r="A14" s="29">
        <v>42160</v>
      </c>
      <c r="B14" s="1">
        <f t="shared" si="4"/>
        <v>31</v>
      </c>
      <c r="C14" s="4">
        <f t="shared" si="0"/>
        <v>34326799</v>
      </c>
      <c r="D14" s="2">
        <f t="shared" si="1"/>
        <v>24363597.34</v>
      </c>
      <c r="E14" s="19">
        <f t="shared" si="5"/>
        <v>9963201.6600000001</v>
      </c>
      <c r="F14" s="2">
        <f t="shared" si="6"/>
        <v>782057765.03999984</v>
      </c>
      <c r="G14" s="2">
        <f t="shared" si="7"/>
        <v>757694167.69999981</v>
      </c>
      <c r="H14" s="14">
        <f t="shared" si="2"/>
        <v>9963201.6642082166</v>
      </c>
      <c r="I14" s="16">
        <f t="shared" si="3"/>
        <v>4.2082164436578751E-3</v>
      </c>
    </row>
    <row r="15" spans="1:9" x14ac:dyDescent="0.25">
      <c r="A15" s="29">
        <v>42190</v>
      </c>
      <c r="B15" s="1">
        <f t="shared" si="4"/>
        <v>30</v>
      </c>
      <c r="C15" s="4">
        <f t="shared" si="0"/>
        <v>34326799</v>
      </c>
      <c r="D15" s="2">
        <f t="shared" si="1"/>
        <v>24985364.060000002</v>
      </c>
      <c r="E15" s="19">
        <f t="shared" si="5"/>
        <v>9341434.9399999995</v>
      </c>
      <c r="F15" s="2">
        <f t="shared" si="6"/>
        <v>757694167.69999981</v>
      </c>
      <c r="G15" s="2">
        <f t="shared" si="7"/>
        <v>732708803.63999987</v>
      </c>
      <c r="H15" s="14">
        <f t="shared" si="2"/>
        <v>9341434.9442465734</v>
      </c>
      <c r="I15" s="16">
        <f t="shared" si="3"/>
        <v>4.2465738952159882E-3</v>
      </c>
    </row>
    <row r="16" spans="1:9" x14ac:dyDescent="0.25">
      <c r="A16" s="29">
        <v>42221</v>
      </c>
      <c r="B16" s="1">
        <f t="shared" si="4"/>
        <v>31</v>
      </c>
      <c r="C16" s="4">
        <f t="shared" si="0"/>
        <v>34326799</v>
      </c>
      <c r="D16" s="2">
        <f t="shared" si="1"/>
        <v>24992289.579999998</v>
      </c>
      <c r="E16" s="19">
        <f t="shared" si="5"/>
        <v>9334509.4199999999</v>
      </c>
      <c r="F16" s="2">
        <f t="shared" si="6"/>
        <v>732708803.63999987</v>
      </c>
      <c r="G16" s="2">
        <f t="shared" si="7"/>
        <v>707716514.05999982</v>
      </c>
      <c r="H16" s="14">
        <f t="shared" si="2"/>
        <v>9334509.4162356146</v>
      </c>
      <c r="I16" s="16">
        <f t="shared" si="3"/>
        <v>-3.7643853574991226E-3</v>
      </c>
    </row>
    <row r="17" spans="1:9" x14ac:dyDescent="0.25">
      <c r="A17" s="29">
        <v>42252</v>
      </c>
      <c r="B17" s="1">
        <f t="shared" si="4"/>
        <v>31</v>
      </c>
      <c r="C17" s="4">
        <f t="shared" si="0"/>
        <v>34326799</v>
      </c>
      <c r="D17" s="2">
        <f t="shared" si="1"/>
        <v>25310684.509999998</v>
      </c>
      <c r="E17" s="19">
        <f t="shared" si="5"/>
        <v>9016114.4900000002</v>
      </c>
      <c r="F17" s="2">
        <f t="shared" si="6"/>
        <v>707716514.05999982</v>
      </c>
      <c r="G17" s="2">
        <f t="shared" si="7"/>
        <v>682405829.54999983</v>
      </c>
      <c r="H17" s="14">
        <f t="shared" si="2"/>
        <v>9016114.494189037</v>
      </c>
      <c r="I17" s="16">
        <f t="shared" si="3"/>
        <v>4.1890367865562439E-3</v>
      </c>
    </row>
    <row r="18" spans="1:9" x14ac:dyDescent="0.25">
      <c r="A18" s="29">
        <v>42282</v>
      </c>
      <c r="B18" s="1">
        <f t="shared" si="4"/>
        <v>30</v>
      </c>
      <c r="C18" s="4">
        <f t="shared" si="0"/>
        <v>34326799</v>
      </c>
      <c r="D18" s="2">
        <f t="shared" si="1"/>
        <v>25913576.439999998</v>
      </c>
      <c r="E18" s="19">
        <f t="shared" si="5"/>
        <v>8413222.5600000005</v>
      </c>
      <c r="F18" s="2">
        <f t="shared" si="6"/>
        <v>682405829.54999983</v>
      </c>
      <c r="G18" s="2">
        <f t="shared" si="7"/>
        <v>656492253.1099999</v>
      </c>
      <c r="H18" s="14">
        <f t="shared" si="2"/>
        <v>8413222.5560958888</v>
      </c>
      <c r="I18" s="16">
        <f t="shared" si="3"/>
        <v>-3.9041116833686829E-3</v>
      </c>
    </row>
    <row r="19" spans="1:9" x14ac:dyDescent="0.25">
      <c r="A19" s="29">
        <v>42313</v>
      </c>
      <c r="B19" s="1">
        <f t="shared" si="4"/>
        <v>31</v>
      </c>
      <c r="C19" s="4">
        <f t="shared" si="0"/>
        <v>34326799</v>
      </c>
      <c r="D19" s="2">
        <f t="shared" si="1"/>
        <v>25963267.559999999</v>
      </c>
      <c r="E19" s="19">
        <f t="shared" si="5"/>
        <v>8363531.4400000004</v>
      </c>
      <c r="F19" s="2">
        <f t="shared" si="6"/>
        <v>656492253.1099999</v>
      </c>
      <c r="G19" s="2">
        <f t="shared" si="7"/>
        <v>630528985.54999995</v>
      </c>
      <c r="H19" s="14">
        <f t="shared" si="2"/>
        <v>8363531.4437301364</v>
      </c>
      <c r="I19" s="16">
        <f t="shared" si="3"/>
        <v>3.7301359698176384E-3</v>
      </c>
    </row>
    <row r="20" spans="1:9" x14ac:dyDescent="0.25">
      <c r="A20" s="29">
        <v>42343</v>
      </c>
      <c r="B20" s="1">
        <f t="shared" si="4"/>
        <v>30</v>
      </c>
      <c r="C20" s="4">
        <f t="shared" si="0"/>
        <v>34326799</v>
      </c>
      <c r="D20" s="2">
        <f t="shared" si="1"/>
        <v>26553153.969999999</v>
      </c>
      <c r="E20" s="19">
        <f t="shared" si="5"/>
        <v>7773645.0300000003</v>
      </c>
      <c r="F20" s="2">
        <f t="shared" si="6"/>
        <v>630528985.54999995</v>
      </c>
      <c r="G20" s="2">
        <f t="shared" si="7"/>
        <v>603975831.57999992</v>
      </c>
      <c r="H20" s="14">
        <f t="shared" si="2"/>
        <v>7773645.0273287669</v>
      </c>
      <c r="I20" s="16">
        <f t="shared" si="3"/>
        <v>-2.6712333783507347E-3</v>
      </c>
    </row>
    <row r="21" spans="1:9" x14ac:dyDescent="0.25">
      <c r="A21" s="29">
        <v>42374</v>
      </c>
      <c r="B21" s="1">
        <f t="shared" si="4"/>
        <v>31</v>
      </c>
      <c r="C21" s="4">
        <f t="shared" si="0"/>
        <v>34326799</v>
      </c>
      <c r="D21" s="2">
        <f t="shared" si="1"/>
        <v>26632312.379999999</v>
      </c>
      <c r="E21" s="19">
        <f t="shared" si="5"/>
        <v>7694486.6200000001</v>
      </c>
      <c r="F21" s="2">
        <f t="shared" si="6"/>
        <v>603975831.57999992</v>
      </c>
      <c r="G21" s="2">
        <f t="shared" si="7"/>
        <v>577343519.19999993</v>
      </c>
      <c r="H21" s="14">
        <f t="shared" si="2"/>
        <v>7694486.6214986295</v>
      </c>
      <c r="I21" s="16">
        <f t="shared" si="3"/>
        <v>1.4986293390393257E-3</v>
      </c>
    </row>
    <row r="22" spans="1:9" x14ac:dyDescent="0.25">
      <c r="A22" s="29">
        <v>42405</v>
      </c>
      <c r="B22" s="1">
        <f t="shared" si="4"/>
        <v>31</v>
      </c>
      <c r="C22" s="4">
        <f t="shared" si="0"/>
        <v>34326799</v>
      </c>
      <c r="D22" s="2">
        <f t="shared" si="1"/>
        <v>26971600.740000002</v>
      </c>
      <c r="E22" s="19">
        <f t="shared" si="5"/>
        <v>7355198.2599999998</v>
      </c>
      <c r="F22" s="2">
        <f t="shared" si="6"/>
        <v>577343519.19999993</v>
      </c>
      <c r="G22" s="2">
        <f t="shared" si="7"/>
        <v>550371918.45999992</v>
      </c>
      <c r="H22" s="14">
        <f t="shared" si="2"/>
        <v>7355198.258301368</v>
      </c>
      <c r="I22" s="16">
        <f t="shared" si="3"/>
        <v>-1.6986317932605743E-3</v>
      </c>
    </row>
    <row r="23" spans="1:9" x14ac:dyDescent="0.25">
      <c r="A23" s="29">
        <v>42434</v>
      </c>
      <c r="B23" s="1">
        <f t="shared" si="4"/>
        <v>29</v>
      </c>
      <c r="C23" s="4">
        <f t="shared" si="0"/>
        <v>34326799</v>
      </c>
      <c r="D23" s="2">
        <f t="shared" si="1"/>
        <v>27767572.030000001</v>
      </c>
      <c r="E23" s="19">
        <f t="shared" si="5"/>
        <v>6559226.9699999997</v>
      </c>
      <c r="F23" s="2">
        <f t="shared" si="6"/>
        <v>550371918.45999992</v>
      </c>
      <c r="G23" s="2">
        <f t="shared" si="7"/>
        <v>522604346.42999995</v>
      </c>
      <c r="H23" s="14">
        <f t="shared" si="2"/>
        <v>6559226.9734273953</v>
      </c>
      <c r="I23" s="16">
        <f t="shared" si="3"/>
        <v>3.4273955971002579E-3</v>
      </c>
    </row>
    <row r="24" spans="1:9" x14ac:dyDescent="0.25">
      <c r="A24" s="29">
        <v>42465</v>
      </c>
      <c r="B24" s="1">
        <f t="shared" si="4"/>
        <v>31</v>
      </c>
      <c r="C24" s="4">
        <f t="shared" si="0"/>
        <v>34326799</v>
      </c>
      <c r="D24" s="2">
        <f t="shared" si="1"/>
        <v>27668962.809999999</v>
      </c>
      <c r="E24" s="19">
        <f t="shared" si="5"/>
        <v>6657836.1900000004</v>
      </c>
      <c r="F24" s="2">
        <f t="shared" si="6"/>
        <v>522604346.42999995</v>
      </c>
      <c r="G24" s="2">
        <f t="shared" si="7"/>
        <v>494935383.61999995</v>
      </c>
      <c r="H24" s="14">
        <f t="shared" si="2"/>
        <v>6657836.1942452053</v>
      </c>
      <c r="I24" s="16">
        <f t="shared" si="3"/>
        <v>4.2452048510313034E-3</v>
      </c>
    </row>
    <row r="25" spans="1:9" x14ac:dyDescent="0.25">
      <c r="A25" s="29">
        <v>42495</v>
      </c>
      <c r="B25" s="1">
        <f t="shared" si="4"/>
        <v>30</v>
      </c>
      <c r="C25" s="4">
        <f t="shared" si="0"/>
        <v>34326799</v>
      </c>
      <c r="D25" s="2">
        <f t="shared" si="1"/>
        <v>28224855.91</v>
      </c>
      <c r="E25" s="19">
        <f t="shared" si="5"/>
        <v>6101943.0899999999</v>
      </c>
      <c r="F25" s="2">
        <f t="shared" si="6"/>
        <v>494935383.61999995</v>
      </c>
      <c r="G25" s="2">
        <f t="shared" si="7"/>
        <v>466710527.70999992</v>
      </c>
      <c r="H25" s="14">
        <f t="shared" si="2"/>
        <v>6101943.0857260264</v>
      </c>
      <c r="I25" s="16">
        <f t="shared" si="3"/>
        <v>-4.2739734053611755E-3</v>
      </c>
    </row>
    <row r="26" spans="1:9" x14ac:dyDescent="0.25">
      <c r="A26" s="29">
        <v>42526</v>
      </c>
      <c r="B26" s="1">
        <f t="shared" si="4"/>
        <v>31</v>
      </c>
      <c r="C26" s="4">
        <f t="shared" si="0"/>
        <v>34326799</v>
      </c>
      <c r="D26" s="2">
        <f t="shared" si="1"/>
        <v>28381034.740000002</v>
      </c>
      <c r="E26" s="19">
        <f t="shared" si="5"/>
        <v>5945764.2599999998</v>
      </c>
      <c r="F26" s="2">
        <f t="shared" si="6"/>
        <v>466710527.70999992</v>
      </c>
      <c r="G26" s="2">
        <f t="shared" si="7"/>
        <v>438329492.96999991</v>
      </c>
      <c r="H26" s="14">
        <f t="shared" si="2"/>
        <v>5945764.2571273958</v>
      </c>
      <c r="I26" s="16">
        <f t="shared" si="3"/>
        <v>-2.8726039454340935E-3</v>
      </c>
    </row>
    <row r="27" spans="1:9" x14ac:dyDescent="0.25">
      <c r="A27" s="29">
        <v>42556</v>
      </c>
      <c r="B27" s="1">
        <f t="shared" si="4"/>
        <v>30</v>
      </c>
      <c r="C27" s="4">
        <f t="shared" si="0"/>
        <v>34326799</v>
      </c>
      <c r="D27" s="2">
        <f t="shared" si="1"/>
        <v>28922736.759999998</v>
      </c>
      <c r="E27" s="19">
        <f t="shared" si="5"/>
        <v>5404062.2400000002</v>
      </c>
      <c r="F27" s="2">
        <f t="shared" si="6"/>
        <v>438329492.96999991</v>
      </c>
      <c r="G27" s="2">
        <f t="shared" si="7"/>
        <v>409406756.20999992</v>
      </c>
      <c r="H27" s="14">
        <f t="shared" si="2"/>
        <v>5404062.2420958895</v>
      </c>
      <c r="I27" s="16">
        <f t="shared" si="3"/>
        <v>2.0958893001079559E-3</v>
      </c>
    </row>
    <row r="28" spans="1:9" x14ac:dyDescent="0.25">
      <c r="A28" s="29">
        <v>42587</v>
      </c>
      <c r="B28" s="1">
        <f t="shared" si="4"/>
        <v>31</v>
      </c>
      <c r="C28" s="4">
        <f t="shared" si="0"/>
        <v>34326799</v>
      </c>
      <c r="D28" s="2">
        <f t="shared" si="1"/>
        <v>29111069.09</v>
      </c>
      <c r="E28" s="19">
        <f t="shared" si="5"/>
        <v>5215729.91</v>
      </c>
      <c r="F28" s="2">
        <f t="shared" si="6"/>
        <v>409406756.20999992</v>
      </c>
      <c r="G28" s="2">
        <f t="shared" si="7"/>
        <v>380295687.11999995</v>
      </c>
      <c r="H28" s="14">
        <f t="shared" si="2"/>
        <v>5215729.9078808213</v>
      </c>
      <c r="I28" s="16">
        <f t="shared" si="3"/>
        <v>-2.1191788837313652E-3</v>
      </c>
    </row>
    <row r="29" spans="1:9" x14ac:dyDescent="0.25">
      <c r="A29" s="29">
        <v>42618</v>
      </c>
      <c r="B29" s="1">
        <f t="shared" si="4"/>
        <v>31</v>
      </c>
      <c r="C29" s="4">
        <f t="shared" si="0"/>
        <v>34326799</v>
      </c>
      <c r="D29" s="2">
        <f t="shared" si="1"/>
        <v>29481936.140000001</v>
      </c>
      <c r="E29" s="19">
        <f t="shared" si="5"/>
        <v>4844862.8600000003</v>
      </c>
      <c r="F29" s="2">
        <f t="shared" si="6"/>
        <v>380295687.11999995</v>
      </c>
      <c r="G29" s="2">
        <f t="shared" si="7"/>
        <v>350813750.97999996</v>
      </c>
      <c r="H29" s="14">
        <f t="shared" si="2"/>
        <v>4844862.8633095883</v>
      </c>
      <c r="I29" s="16">
        <f t="shared" si="3"/>
        <v>3.3095879480242729E-3</v>
      </c>
    </row>
    <row r="30" spans="1:9" x14ac:dyDescent="0.25">
      <c r="A30" s="29">
        <v>42648</v>
      </c>
      <c r="B30" s="1">
        <f t="shared" si="4"/>
        <v>30</v>
      </c>
      <c r="C30" s="4">
        <f t="shared" si="0"/>
        <v>34326799</v>
      </c>
      <c r="D30" s="2">
        <f t="shared" si="1"/>
        <v>30001697.960000001</v>
      </c>
      <c r="E30" s="19">
        <f t="shared" si="5"/>
        <v>4325101.04</v>
      </c>
      <c r="F30" s="2">
        <f t="shared" si="6"/>
        <v>350813750.97999996</v>
      </c>
      <c r="G30" s="2">
        <f t="shared" si="7"/>
        <v>320812053.01999998</v>
      </c>
      <c r="H30" s="14">
        <f t="shared" si="2"/>
        <v>4325101.0394794513</v>
      </c>
      <c r="I30" s="16">
        <f t="shared" si="3"/>
        <v>-5.2054878324270248E-4</v>
      </c>
    </row>
    <row r="31" spans="1:9" x14ac:dyDescent="0.25">
      <c r="A31" s="29">
        <v>42679</v>
      </c>
      <c r="B31" s="1">
        <f t="shared" si="4"/>
        <v>31</v>
      </c>
      <c r="C31" s="4">
        <f t="shared" si="0"/>
        <v>34326799</v>
      </c>
      <c r="D31" s="2">
        <f t="shared" si="1"/>
        <v>30239741.34</v>
      </c>
      <c r="E31" s="19">
        <f t="shared" si="5"/>
        <v>4087057.66</v>
      </c>
      <c r="F31" s="2">
        <f t="shared" si="6"/>
        <v>320812053.01999998</v>
      </c>
      <c r="G31" s="2">
        <f t="shared" si="7"/>
        <v>290572311.68000001</v>
      </c>
      <c r="H31" s="14">
        <f t="shared" si="2"/>
        <v>4087057.6617616434</v>
      </c>
      <c r="I31" s="16">
        <f t="shared" si="3"/>
        <v>1.7616432160139084E-3</v>
      </c>
    </row>
    <row r="32" spans="1:9" x14ac:dyDescent="0.25">
      <c r="A32" s="29">
        <v>42709</v>
      </c>
      <c r="B32" s="1">
        <f t="shared" si="4"/>
        <v>30</v>
      </c>
      <c r="C32" s="4">
        <f t="shared" si="0"/>
        <v>34326799</v>
      </c>
      <c r="D32" s="2">
        <f t="shared" si="1"/>
        <v>30744400.640000001</v>
      </c>
      <c r="E32" s="19">
        <f t="shared" si="5"/>
        <v>3582398.36</v>
      </c>
      <c r="F32" s="2">
        <f t="shared" si="6"/>
        <v>290572311.68000001</v>
      </c>
      <c r="G32" s="2">
        <f t="shared" si="7"/>
        <v>259827911.04000002</v>
      </c>
      <c r="H32" s="14">
        <f t="shared" si="2"/>
        <v>3582398.3631780818</v>
      </c>
      <c r="I32" s="16">
        <f t="shared" si="3"/>
        <v>3.1780819408595562E-3</v>
      </c>
    </row>
    <row r="33" spans="1:9" x14ac:dyDescent="0.25">
      <c r="A33" s="29">
        <v>42740</v>
      </c>
      <c r="B33" s="1">
        <f t="shared" si="4"/>
        <v>31</v>
      </c>
      <c r="C33" s="4">
        <f t="shared" si="0"/>
        <v>34326799</v>
      </c>
      <c r="D33" s="2">
        <f t="shared" si="1"/>
        <v>31016662.600000001</v>
      </c>
      <c r="E33" s="19">
        <f t="shared" si="5"/>
        <v>3310136.4</v>
      </c>
      <c r="F33" s="2">
        <f t="shared" si="6"/>
        <v>259827911.04000002</v>
      </c>
      <c r="G33" s="2">
        <f t="shared" si="7"/>
        <v>228811248.44000003</v>
      </c>
      <c r="H33" s="14">
        <f t="shared" si="2"/>
        <v>3310136.4009205485</v>
      </c>
      <c r="I33" s="16">
        <f t="shared" si="3"/>
        <v>9.2054856941103935E-4</v>
      </c>
    </row>
    <row r="34" spans="1:9" x14ac:dyDescent="0.25">
      <c r="A34" s="29">
        <v>42771</v>
      </c>
      <c r="B34" s="1">
        <f t="shared" si="4"/>
        <v>31</v>
      </c>
      <c r="C34" s="4">
        <f t="shared" si="0"/>
        <v>34326799</v>
      </c>
      <c r="D34" s="2">
        <f t="shared" si="1"/>
        <v>31411806.379999999</v>
      </c>
      <c r="E34" s="19">
        <f t="shared" si="5"/>
        <v>2914992.62</v>
      </c>
      <c r="F34" s="2">
        <f t="shared" si="6"/>
        <v>228811248.44000003</v>
      </c>
      <c r="G34" s="2">
        <f t="shared" si="7"/>
        <v>197399442.06000003</v>
      </c>
      <c r="H34" s="14"/>
      <c r="I34" s="16"/>
    </row>
    <row r="35" spans="1:9" x14ac:dyDescent="0.25">
      <c r="A35" s="29">
        <v>42799</v>
      </c>
      <c r="B35" s="1">
        <f t="shared" si="4"/>
        <v>28</v>
      </c>
      <c r="C35" s="4">
        <f t="shared" si="0"/>
        <v>34326799</v>
      </c>
      <c r="D35" s="2">
        <f t="shared" si="1"/>
        <v>32055353.370000001</v>
      </c>
      <c r="E35" s="19">
        <f t="shared" si="5"/>
        <v>2271445.63</v>
      </c>
      <c r="F35" s="2">
        <f t="shared" si="6"/>
        <v>197399442.06000003</v>
      </c>
      <c r="G35" s="2">
        <f t="shared" si="7"/>
        <v>165344088.69000003</v>
      </c>
      <c r="H35" s="14"/>
      <c r="I35" s="16"/>
    </row>
    <row r="36" spans="1:9" x14ac:dyDescent="0.25">
      <c r="A36" s="29">
        <v>42830</v>
      </c>
      <c r="B36" s="1">
        <f t="shared" si="4"/>
        <v>31</v>
      </c>
      <c r="C36" s="4">
        <f t="shared" si="0"/>
        <v>34326799</v>
      </c>
      <c r="D36" s="2">
        <f t="shared" si="1"/>
        <v>32220360.609999999</v>
      </c>
      <c r="E36" s="19">
        <f t="shared" si="5"/>
        <v>2106438.39</v>
      </c>
      <c r="F36" s="2">
        <f t="shared" si="6"/>
        <v>165344088.69000003</v>
      </c>
      <c r="G36" s="2">
        <f t="shared" si="7"/>
        <v>133123728.08000003</v>
      </c>
      <c r="H36" s="14"/>
      <c r="I36" s="16"/>
    </row>
    <row r="37" spans="1:9" x14ac:dyDescent="0.25">
      <c r="A37" s="29">
        <v>42860</v>
      </c>
      <c r="B37" s="1">
        <f t="shared" si="4"/>
        <v>30</v>
      </c>
      <c r="C37" s="4">
        <f t="shared" si="0"/>
        <v>34326799</v>
      </c>
      <c r="D37" s="2">
        <f t="shared" si="1"/>
        <v>32685547.559999999</v>
      </c>
      <c r="E37" s="19">
        <f t="shared" si="5"/>
        <v>1641251.44</v>
      </c>
      <c r="F37" s="2">
        <f t="shared" si="6"/>
        <v>133123728.08000003</v>
      </c>
      <c r="G37" s="2">
        <f t="shared" si="7"/>
        <v>100438180.52000003</v>
      </c>
      <c r="H37" s="14"/>
      <c r="I37" s="16"/>
    </row>
    <row r="38" spans="1:9" x14ac:dyDescent="0.25">
      <c r="A38" s="29">
        <v>42891</v>
      </c>
      <c r="B38" s="1">
        <f t="shared" si="4"/>
        <v>31</v>
      </c>
      <c r="C38" s="4">
        <f t="shared" si="0"/>
        <v>34326799</v>
      </c>
      <c r="D38" s="2">
        <f t="shared" si="1"/>
        <v>33047244.100000001</v>
      </c>
      <c r="E38" s="19">
        <f t="shared" si="5"/>
        <v>1279554.8999999999</v>
      </c>
      <c r="F38" s="2">
        <f t="shared" si="6"/>
        <v>100438180.52000003</v>
      </c>
      <c r="G38" s="2">
        <f t="shared" si="7"/>
        <v>67390936.420000017</v>
      </c>
      <c r="H38" s="14"/>
      <c r="I38" s="16"/>
    </row>
    <row r="39" spans="1:9" x14ac:dyDescent="0.25">
      <c r="A39" s="29">
        <v>42921</v>
      </c>
      <c r="B39" s="1">
        <f t="shared" si="4"/>
        <v>30</v>
      </c>
      <c r="C39" s="4">
        <f t="shared" si="0"/>
        <v>34326799</v>
      </c>
      <c r="D39" s="2">
        <f t="shared" si="1"/>
        <v>33495951.84</v>
      </c>
      <c r="E39" s="19">
        <f t="shared" si="5"/>
        <v>830847.16</v>
      </c>
      <c r="F39" s="2">
        <f t="shared" si="6"/>
        <v>67390936.420000017</v>
      </c>
      <c r="G39" s="2">
        <f t="shared" si="7"/>
        <v>33894984.580000013</v>
      </c>
      <c r="H39" s="14"/>
      <c r="I39" s="16"/>
    </row>
    <row r="40" spans="1:9" x14ac:dyDescent="0.25">
      <c r="A40" s="29">
        <v>42952</v>
      </c>
      <c r="B40" s="1">
        <f t="shared" si="4"/>
        <v>31</v>
      </c>
      <c r="C40" s="4">
        <f t="shared" si="0"/>
        <v>34326799</v>
      </c>
      <c r="D40" s="2">
        <f t="shared" si="1"/>
        <v>33894984.580000013</v>
      </c>
      <c r="E40" s="19">
        <v>431814.4199999866</v>
      </c>
      <c r="F40" s="2">
        <f t="shared" si="6"/>
        <v>33894984.580000013</v>
      </c>
      <c r="G40" s="2">
        <f t="shared" si="7"/>
        <v>0</v>
      </c>
      <c r="H40" s="14"/>
      <c r="I40" s="16"/>
    </row>
    <row r="41" spans="1:9" x14ac:dyDescent="0.25">
      <c r="A41" s="21">
        <v>42160</v>
      </c>
      <c r="B41" s="1" t="s">
        <v>50</v>
      </c>
      <c r="C41" s="4">
        <f t="shared" si="0"/>
        <v>34326799</v>
      </c>
      <c r="D41" s="2">
        <f t="shared" si="1"/>
        <v>24363597.34</v>
      </c>
      <c r="E41" s="19">
        <f>ROUND(F14*$B$2*B14/365,2)</f>
        <v>9963201.6600000001</v>
      </c>
      <c r="F41" s="2">
        <f>G13</f>
        <v>782057765.03999984</v>
      </c>
      <c r="G41" s="2">
        <f>F14-D14</f>
        <v>757694167.69999981</v>
      </c>
      <c r="H41" s="14"/>
      <c r="I41" s="16"/>
    </row>
    <row r="42" spans="1:9" x14ac:dyDescent="0.25">
      <c r="A42" s="21">
        <v>42190</v>
      </c>
      <c r="B42" s="1">
        <f t="shared" si="4"/>
        <v>30</v>
      </c>
      <c r="C42" s="4">
        <f t="shared" ref="C42:C67" si="8">$E$1</f>
        <v>33819391</v>
      </c>
      <c r="D42" s="2">
        <f t="shared" si="1"/>
        <v>24616038.25</v>
      </c>
      <c r="E42" s="19">
        <f>ROUND(F42*$B$2*B42/365,2)</f>
        <v>9203352.75</v>
      </c>
      <c r="F42" s="2">
        <f>G14-I1-G2</f>
        <v>746494167.69999981</v>
      </c>
      <c r="G42" s="2">
        <f>F42-D42</f>
        <v>721878129.44999981</v>
      </c>
      <c r="H42" s="14"/>
      <c r="I42" s="16"/>
    </row>
    <row r="43" spans="1:9" x14ac:dyDescent="0.25">
      <c r="A43" s="21">
        <v>42221</v>
      </c>
      <c r="B43" s="1">
        <f t="shared" si="4"/>
        <v>31</v>
      </c>
      <c r="C43" s="4">
        <f t="shared" si="8"/>
        <v>33819391</v>
      </c>
      <c r="D43" s="2">
        <f t="shared" si="1"/>
        <v>24622861.41</v>
      </c>
      <c r="E43" s="19">
        <f t="shared" ref="E43" si="9">ROUND(F43*$B$2*B43/365,2)</f>
        <v>9196529.5899999999</v>
      </c>
      <c r="F43" s="2">
        <f>G42</f>
        <v>721878129.44999981</v>
      </c>
      <c r="G43" s="2">
        <f t="shared" ref="G43" si="10">F43-D43</f>
        <v>697255268.03999984</v>
      </c>
      <c r="H43" s="14"/>
      <c r="I43" s="16"/>
    </row>
    <row r="44" spans="1:9" x14ac:dyDescent="0.25">
      <c r="A44" s="21">
        <v>42252</v>
      </c>
      <c r="B44" s="1">
        <f t="shared" ref="B44:B67" si="11">_xlfn.DAYS(A44,A43)</f>
        <v>31</v>
      </c>
      <c r="C44" s="4">
        <f t="shared" si="8"/>
        <v>33819391</v>
      </c>
      <c r="D44" s="2">
        <f t="shared" ref="D44:D67" si="12">C44-E44</f>
        <v>24936549.91</v>
      </c>
      <c r="E44" s="19">
        <f t="shared" ref="E44:E66" si="13">ROUND(F44*$B$2*B44/365,2)</f>
        <v>8882841.0899999999</v>
      </c>
      <c r="F44" s="2">
        <f t="shared" ref="F44:F67" si="14">G43</f>
        <v>697255268.03999984</v>
      </c>
      <c r="G44" s="2">
        <f t="shared" ref="G44:G67" si="15">F44-D44</f>
        <v>672318718.12999988</v>
      </c>
      <c r="H44" s="14"/>
      <c r="I44" s="16"/>
    </row>
    <row r="45" spans="1:9" x14ac:dyDescent="0.25">
      <c r="A45" s="21">
        <v>42282</v>
      </c>
      <c r="B45" s="1">
        <f t="shared" si="11"/>
        <v>30</v>
      </c>
      <c r="C45" s="4">
        <f t="shared" si="8"/>
        <v>33819391</v>
      </c>
      <c r="D45" s="2">
        <f t="shared" si="12"/>
        <v>25530530.09</v>
      </c>
      <c r="E45" s="19">
        <f t="shared" si="13"/>
        <v>8288860.9100000001</v>
      </c>
      <c r="F45" s="2">
        <f t="shared" si="14"/>
        <v>672318718.12999988</v>
      </c>
      <c r="G45" s="2">
        <f t="shared" si="15"/>
        <v>646788188.03999984</v>
      </c>
      <c r="H45" s="14"/>
      <c r="I45" s="16"/>
    </row>
    <row r="46" spans="1:9" x14ac:dyDescent="0.25">
      <c r="A46" s="21">
        <v>42313</v>
      </c>
      <c r="B46" s="1">
        <f t="shared" si="11"/>
        <v>31</v>
      </c>
      <c r="C46" s="4">
        <f t="shared" si="8"/>
        <v>33819391</v>
      </c>
      <c r="D46" s="2">
        <f t="shared" si="12"/>
        <v>25579486.690000001</v>
      </c>
      <c r="E46" s="19">
        <f t="shared" si="13"/>
        <v>8239904.3099999996</v>
      </c>
      <c r="F46" s="2">
        <f t="shared" si="14"/>
        <v>646788188.03999984</v>
      </c>
      <c r="G46" s="2">
        <f t="shared" si="15"/>
        <v>621208701.34999979</v>
      </c>
      <c r="H46" s="14"/>
      <c r="I46" s="16"/>
    </row>
    <row r="47" spans="1:9" x14ac:dyDescent="0.25">
      <c r="A47" s="21">
        <v>42343</v>
      </c>
      <c r="B47" s="1">
        <f t="shared" si="11"/>
        <v>30</v>
      </c>
      <c r="C47" s="4">
        <f t="shared" si="8"/>
        <v>33819391</v>
      </c>
      <c r="D47" s="2">
        <f t="shared" si="12"/>
        <v>26160653.59</v>
      </c>
      <c r="E47" s="19">
        <f t="shared" si="13"/>
        <v>7658737.4100000001</v>
      </c>
      <c r="F47" s="2">
        <f t="shared" si="14"/>
        <v>621208701.34999979</v>
      </c>
      <c r="G47" s="2">
        <f t="shared" si="15"/>
        <v>595048047.75999975</v>
      </c>
      <c r="H47" s="14"/>
      <c r="I47" s="16"/>
    </row>
    <row r="48" spans="1:9" x14ac:dyDescent="0.25">
      <c r="A48" s="21">
        <v>42374</v>
      </c>
      <c r="B48" s="1">
        <f t="shared" si="11"/>
        <v>31</v>
      </c>
      <c r="C48" s="4">
        <f t="shared" si="8"/>
        <v>33819391</v>
      </c>
      <c r="D48" s="2">
        <f t="shared" si="12"/>
        <v>26238641.899999999</v>
      </c>
      <c r="E48" s="19">
        <f t="shared" si="13"/>
        <v>7580749.0999999996</v>
      </c>
      <c r="F48" s="2">
        <f t="shared" si="14"/>
        <v>595048047.75999975</v>
      </c>
      <c r="G48" s="2">
        <f t="shared" si="15"/>
        <v>568809405.85999978</v>
      </c>
      <c r="H48" s="14"/>
      <c r="I48" s="16"/>
    </row>
    <row r="49" spans="1:9" x14ac:dyDescent="0.25">
      <c r="A49" s="21">
        <v>42405</v>
      </c>
      <c r="B49" s="1">
        <f t="shared" si="11"/>
        <v>31</v>
      </c>
      <c r="C49" s="4">
        <f t="shared" si="8"/>
        <v>33819391</v>
      </c>
      <c r="D49" s="2">
        <f t="shared" si="12"/>
        <v>26572915.009999998</v>
      </c>
      <c r="E49" s="19">
        <f t="shared" si="13"/>
        <v>7246475.9900000002</v>
      </c>
      <c r="F49" s="2">
        <f t="shared" si="14"/>
        <v>568809405.85999978</v>
      </c>
      <c r="G49" s="2">
        <f t="shared" si="15"/>
        <v>542236490.84999979</v>
      </c>
      <c r="H49" s="14"/>
      <c r="I49" s="16"/>
    </row>
    <row r="50" spans="1:9" x14ac:dyDescent="0.25">
      <c r="A50" s="21">
        <v>42434</v>
      </c>
      <c r="B50" s="1">
        <f t="shared" si="11"/>
        <v>29</v>
      </c>
      <c r="C50" s="4">
        <f t="shared" si="8"/>
        <v>33819391</v>
      </c>
      <c r="D50" s="2">
        <f t="shared" si="12"/>
        <v>27357120.490000002</v>
      </c>
      <c r="E50" s="19">
        <f t="shared" si="13"/>
        <v>6462270.5099999998</v>
      </c>
      <c r="F50" s="2">
        <f t="shared" si="14"/>
        <v>542236490.84999979</v>
      </c>
      <c r="G50" s="2">
        <f t="shared" si="15"/>
        <v>514879370.35999978</v>
      </c>
      <c r="H50" s="14"/>
      <c r="I50" s="16"/>
    </row>
    <row r="51" spans="1:9" x14ac:dyDescent="0.25">
      <c r="A51" s="21">
        <v>42465</v>
      </c>
      <c r="B51" s="1">
        <f t="shared" si="11"/>
        <v>31</v>
      </c>
      <c r="C51" s="4">
        <f t="shared" si="8"/>
        <v>33819391</v>
      </c>
      <c r="D51" s="2">
        <f t="shared" si="12"/>
        <v>27259968.879999999</v>
      </c>
      <c r="E51" s="19">
        <f t="shared" si="13"/>
        <v>6559422.1200000001</v>
      </c>
      <c r="F51" s="2">
        <f t="shared" si="14"/>
        <v>514879370.35999978</v>
      </c>
      <c r="G51" s="2">
        <f t="shared" si="15"/>
        <v>487619401.47999978</v>
      </c>
      <c r="H51" s="14"/>
      <c r="I51" s="16"/>
    </row>
    <row r="52" spans="1:9" x14ac:dyDescent="0.25">
      <c r="A52" s="21">
        <v>42495</v>
      </c>
      <c r="B52" s="1">
        <f t="shared" si="11"/>
        <v>30</v>
      </c>
      <c r="C52" s="4">
        <f t="shared" si="8"/>
        <v>33819391</v>
      </c>
      <c r="D52" s="2">
        <f t="shared" si="12"/>
        <v>27807644.949999999</v>
      </c>
      <c r="E52" s="19">
        <f t="shared" si="13"/>
        <v>6011746.0499999998</v>
      </c>
      <c r="F52" s="2">
        <f t="shared" si="14"/>
        <v>487619401.47999978</v>
      </c>
      <c r="G52" s="2">
        <f t="shared" si="15"/>
        <v>459811756.52999979</v>
      </c>
      <c r="H52" s="14"/>
      <c r="I52" s="16"/>
    </row>
    <row r="53" spans="1:9" x14ac:dyDescent="0.25">
      <c r="A53" s="21">
        <v>42526</v>
      </c>
      <c r="B53" s="1">
        <f t="shared" si="11"/>
        <v>31</v>
      </c>
      <c r="C53" s="4">
        <f t="shared" si="8"/>
        <v>33819391</v>
      </c>
      <c r="D53" s="2">
        <f t="shared" si="12"/>
        <v>27961515.199999999</v>
      </c>
      <c r="E53" s="19">
        <f t="shared" si="13"/>
        <v>5857875.7999999998</v>
      </c>
      <c r="F53" s="2">
        <f t="shared" si="14"/>
        <v>459811756.52999979</v>
      </c>
      <c r="G53" s="2">
        <f t="shared" si="15"/>
        <v>431850241.3299998</v>
      </c>
      <c r="H53" s="14"/>
      <c r="I53" s="16"/>
    </row>
    <row r="54" spans="1:9" x14ac:dyDescent="0.25">
      <c r="A54" s="21">
        <v>42556</v>
      </c>
      <c r="B54" s="1">
        <f t="shared" si="11"/>
        <v>30</v>
      </c>
      <c r="C54" s="4">
        <f t="shared" si="8"/>
        <v>33819391</v>
      </c>
      <c r="D54" s="2">
        <f t="shared" si="12"/>
        <v>28495209.940000001</v>
      </c>
      <c r="E54" s="19">
        <f t="shared" si="13"/>
        <v>5324181.0599999996</v>
      </c>
      <c r="F54" s="2">
        <f t="shared" si="14"/>
        <v>431850241.3299998</v>
      </c>
      <c r="G54" s="2">
        <f t="shared" si="15"/>
        <v>403355031.38999981</v>
      </c>
      <c r="H54" s="14"/>
      <c r="I54" s="16"/>
    </row>
    <row r="55" spans="1:9" x14ac:dyDescent="0.25">
      <c r="A55" s="21">
        <v>42587</v>
      </c>
      <c r="B55" s="1">
        <f t="shared" si="11"/>
        <v>31</v>
      </c>
      <c r="C55" s="4">
        <f t="shared" si="8"/>
        <v>33819391</v>
      </c>
      <c r="D55" s="2">
        <f t="shared" si="12"/>
        <v>28680758.41</v>
      </c>
      <c r="E55" s="19">
        <f t="shared" si="13"/>
        <v>5138632.59</v>
      </c>
      <c r="F55" s="2">
        <f t="shared" si="14"/>
        <v>403355031.38999981</v>
      </c>
      <c r="G55" s="2">
        <f t="shared" si="15"/>
        <v>374674272.97999978</v>
      </c>
      <c r="H55" s="14"/>
      <c r="I55" s="16"/>
    </row>
    <row r="56" spans="1:9" x14ac:dyDescent="0.25">
      <c r="A56" s="21">
        <v>42618</v>
      </c>
      <c r="B56" s="1">
        <f t="shared" si="11"/>
        <v>31</v>
      </c>
      <c r="C56" s="4">
        <f t="shared" si="8"/>
        <v>33819391</v>
      </c>
      <c r="D56" s="2">
        <f t="shared" si="12"/>
        <v>29046143.41</v>
      </c>
      <c r="E56" s="19">
        <f t="shared" si="13"/>
        <v>4773247.59</v>
      </c>
      <c r="F56" s="2">
        <f t="shared" si="14"/>
        <v>374674272.97999978</v>
      </c>
      <c r="G56" s="2">
        <f t="shared" si="15"/>
        <v>345628129.56999975</v>
      </c>
      <c r="H56" s="14"/>
      <c r="I56" s="16"/>
    </row>
    <row r="57" spans="1:9" x14ac:dyDescent="0.25">
      <c r="A57" s="21">
        <v>42648</v>
      </c>
      <c r="B57" s="1">
        <f t="shared" si="11"/>
        <v>30</v>
      </c>
      <c r="C57" s="4">
        <f t="shared" si="8"/>
        <v>33819391</v>
      </c>
      <c r="D57" s="2">
        <f t="shared" si="12"/>
        <v>29558222.280000001</v>
      </c>
      <c r="E57" s="19">
        <f t="shared" si="13"/>
        <v>4261168.72</v>
      </c>
      <c r="F57" s="2">
        <f t="shared" si="14"/>
        <v>345628129.56999975</v>
      </c>
      <c r="G57" s="2">
        <f t="shared" si="15"/>
        <v>316069907.28999972</v>
      </c>
      <c r="H57" s="14"/>
      <c r="I57" s="16"/>
    </row>
    <row r="58" spans="1:9" x14ac:dyDescent="0.25">
      <c r="A58" s="21">
        <v>42679</v>
      </c>
      <c r="B58" s="1">
        <f t="shared" si="11"/>
        <v>31</v>
      </c>
      <c r="C58" s="4">
        <f t="shared" si="8"/>
        <v>33819391</v>
      </c>
      <c r="D58" s="2">
        <f t="shared" si="12"/>
        <v>29792746.98</v>
      </c>
      <c r="E58" s="19">
        <f t="shared" si="13"/>
        <v>4026644.02</v>
      </c>
      <c r="F58" s="2">
        <f t="shared" si="14"/>
        <v>316069907.28999972</v>
      </c>
      <c r="G58" s="2">
        <f t="shared" si="15"/>
        <v>286277160.3099997</v>
      </c>
      <c r="H58" s="14"/>
      <c r="I58" s="16"/>
    </row>
    <row r="59" spans="1:9" x14ac:dyDescent="0.25">
      <c r="A59" s="21">
        <v>42709</v>
      </c>
      <c r="B59" s="1">
        <f t="shared" si="11"/>
        <v>30</v>
      </c>
      <c r="C59" s="4">
        <f t="shared" si="8"/>
        <v>33819391</v>
      </c>
      <c r="D59" s="2">
        <f t="shared" si="12"/>
        <v>30289946.559999999</v>
      </c>
      <c r="E59" s="19">
        <f t="shared" si="13"/>
        <v>3529444.44</v>
      </c>
      <c r="F59" s="2">
        <f t="shared" si="14"/>
        <v>286277160.3099997</v>
      </c>
      <c r="G59" s="2">
        <f t="shared" si="15"/>
        <v>255987213.7499997</v>
      </c>
      <c r="H59" s="14"/>
      <c r="I59" s="16"/>
    </row>
    <row r="60" spans="1:9" x14ac:dyDescent="0.25">
      <c r="A60" s="21">
        <v>42740</v>
      </c>
      <c r="B60" s="1">
        <f t="shared" si="11"/>
        <v>31</v>
      </c>
      <c r="C60" s="4">
        <f t="shared" si="8"/>
        <v>33819391</v>
      </c>
      <c r="D60" s="2">
        <f t="shared" si="12"/>
        <v>30558184.030000001</v>
      </c>
      <c r="E60" s="19">
        <f t="shared" si="13"/>
        <v>3261206.97</v>
      </c>
      <c r="F60" s="2">
        <f t="shared" si="14"/>
        <v>255987213.7499997</v>
      </c>
      <c r="G60" s="2">
        <f t="shared" si="15"/>
        <v>225429029.7199997</v>
      </c>
      <c r="H60" s="14"/>
      <c r="I60" s="16"/>
    </row>
    <row r="61" spans="1:9" x14ac:dyDescent="0.25">
      <c r="A61" s="21">
        <v>42771</v>
      </c>
      <c r="B61" s="1">
        <f t="shared" si="11"/>
        <v>31</v>
      </c>
      <c r="C61" s="4">
        <f t="shared" si="8"/>
        <v>33819391</v>
      </c>
      <c r="D61" s="2">
        <f t="shared" si="12"/>
        <v>30947486.920000002</v>
      </c>
      <c r="E61" s="19">
        <f t="shared" si="13"/>
        <v>2871904.08</v>
      </c>
      <c r="F61" s="2">
        <f t="shared" si="14"/>
        <v>225429029.7199997</v>
      </c>
      <c r="G61" s="2">
        <f t="shared" si="15"/>
        <v>194481542.79999971</v>
      </c>
      <c r="H61" s="14"/>
      <c r="I61" s="16"/>
    </row>
    <row r="62" spans="1:9" x14ac:dyDescent="0.25">
      <c r="A62" s="21">
        <v>42799</v>
      </c>
      <c r="B62" s="1">
        <f t="shared" si="11"/>
        <v>28</v>
      </c>
      <c r="C62" s="4">
        <f t="shared" si="8"/>
        <v>33819391</v>
      </c>
      <c r="D62" s="2">
        <f t="shared" si="12"/>
        <v>31581521.190000001</v>
      </c>
      <c r="E62" s="19">
        <f t="shared" si="13"/>
        <v>2237869.81</v>
      </c>
      <c r="F62" s="2">
        <f t="shared" si="14"/>
        <v>194481542.79999971</v>
      </c>
      <c r="G62" s="2">
        <f t="shared" si="15"/>
        <v>162900021.60999972</v>
      </c>
      <c r="H62" s="14"/>
      <c r="I62" s="16"/>
    </row>
    <row r="63" spans="1:9" x14ac:dyDescent="0.25">
      <c r="A63" s="21">
        <v>42830</v>
      </c>
      <c r="B63" s="1">
        <f t="shared" si="11"/>
        <v>31</v>
      </c>
      <c r="C63" s="4">
        <f t="shared" si="8"/>
        <v>33819391</v>
      </c>
      <c r="D63" s="2">
        <f t="shared" si="12"/>
        <v>31744089.350000001</v>
      </c>
      <c r="E63" s="19">
        <f t="shared" si="13"/>
        <v>2075301.65</v>
      </c>
      <c r="F63" s="2">
        <f t="shared" si="14"/>
        <v>162900021.60999972</v>
      </c>
      <c r="G63" s="2">
        <f t="shared" si="15"/>
        <v>131155932.25999972</v>
      </c>
      <c r="H63" s="14"/>
      <c r="I63" s="16"/>
    </row>
    <row r="64" spans="1:9" x14ac:dyDescent="0.25">
      <c r="A64" s="21">
        <v>42860</v>
      </c>
      <c r="B64" s="1">
        <f t="shared" si="11"/>
        <v>30</v>
      </c>
      <c r="C64" s="4">
        <f t="shared" si="8"/>
        <v>33819391</v>
      </c>
      <c r="D64" s="2">
        <f t="shared" si="12"/>
        <v>32202400.050000001</v>
      </c>
      <c r="E64" s="19">
        <f t="shared" si="13"/>
        <v>1616990.95</v>
      </c>
      <c r="F64" s="2">
        <f t="shared" si="14"/>
        <v>131155932.25999972</v>
      </c>
      <c r="G64" s="2">
        <f t="shared" si="15"/>
        <v>98953532.209999725</v>
      </c>
      <c r="H64" s="14"/>
      <c r="I64" s="16"/>
    </row>
    <row r="65" spans="1:9" x14ac:dyDescent="0.25">
      <c r="A65" s="21">
        <v>42891</v>
      </c>
      <c r="B65" s="1">
        <f t="shared" si="11"/>
        <v>31</v>
      </c>
      <c r="C65" s="4">
        <f t="shared" si="8"/>
        <v>33819391</v>
      </c>
      <c r="D65" s="2">
        <f t="shared" si="12"/>
        <v>32558750.109999999</v>
      </c>
      <c r="E65" s="19">
        <f t="shared" si="13"/>
        <v>1260640.8899999999</v>
      </c>
      <c r="F65" s="2">
        <f t="shared" si="14"/>
        <v>98953532.209999725</v>
      </c>
      <c r="G65" s="2">
        <f t="shared" si="15"/>
        <v>66394782.099999726</v>
      </c>
      <c r="H65" s="14"/>
      <c r="I65" s="16"/>
    </row>
    <row r="66" spans="1:9" x14ac:dyDescent="0.25">
      <c r="A66" s="21">
        <v>42921</v>
      </c>
      <c r="B66" s="1">
        <f t="shared" si="11"/>
        <v>30</v>
      </c>
      <c r="C66" s="4">
        <f t="shared" si="8"/>
        <v>33819391</v>
      </c>
      <c r="D66" s="2">
        <f t="shared" si="12"/>
        <v>33000825.190000001</v>
      </c>
      <c r="E66" s="19">
        <f t="shared" si="13"/>
        <v>818565.81</v>
      </c>
      <c r="F66" s="2">
        <f t="shared" si="14"/>
        <v>66394782.099999726</v>
      </c>
      <c r="G66" s="2">
        <f t="shared" si="15"/>
        <v>33393956.909999724</v>
      </c>
      <c r="H66" s="14"/>
      <c r="I66" s="16"/>
    </row>
    <row r="67" spans="1:9" x14ac:dyDescent="0.25">
      <c r="A67" s="21">
        <v>42952</v>
      </c>
      <c r="B67" s="1">
        <f t="shared" si="11"/>
        <v>31</v>
      </c>
      <c r="C67" s="4">
        <f t="shared" si="8"/>
        <v>33819391</v>
      </c>
      <c r="D67" s="2">
        <f t="shared" si="12"/>
        <v>33393956.909999724</v>
      </c>
      <c r="E67" s="19">
        <v>425434.0900002761</v>
      </c>
      <c r="F67" s="2">
        <f t="shared" si="14"/>
        <v>33393956.909999724</v>
      </c>
      <c r="G67" s="2">
        <f t="shared" si="15"/>
        <v>0</v>
      </c>
      <c r="H67" s="14"/>
      <c r="I67" s="16"/>
    </row>
  </sheetData>
  <pageMargins left="0.7" right="0.7" top="0.75" bottom="0.75" header="0.3" footer="0.3"/>
  <pageSetup orientation="portrait" r:id="rId1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9343FE-55BC-40BA-B423-706CB4BA1D0A}">
  <dimension ref="A1:I67"/>
  <sheetViews>
    <sheetView zoomScale="90" zoomScaleNormal="70" workbookViewId="0">
      <pane ySplit="3" topLeftCell="A50" activePane="bottomLeft" state="frozen"/>
      <selection activeCell="U2" sqref="U2"/>
      <selection pane="bottomLeft" activeCell="A69" sqref="A69:XFD69"/>
    </sheetView>
  </sheetViews>
  <sheetFormatPr defaultRowHeight="15" x14ac:dyDescent="0.25"/>
  <cols>
    <col min="1" max="1" width="15.42578125" bestFit="1" customWidth="1"/>
    <col min="2" max="2" width="13" bestFit="1" customWidth="1"/>
    <col min="3" max="3" width="23" bestFit="1" customWidth="1"/>
    <col min="4" max="4" width="20.5703125" bestFit="1" customWidth="1"/>
    <col min="5" max="5" width="15.28515625" bestFit="1" customWidth="1"/>
    <col min="6" max="6" width="22.7109375" bestFit="1" customWidth="1"/>
    <col min="7" max="7" width="16.7109375" bestFit="1" customWidth="1"/>
    <col min="8" max="8" width="21.7109375" bestFit="1" customWidth="1"/>
    <col min="9" max="9" width="13" bestFit="1" customWidth="1"/>
    <col min="10" max="10" width="15.42578125" bestFit="1" customWidth="1"/>
  </cols>
  <sheetData>
    <row r="1" spans="1:9" x14ac:dyDescent="0.25">
      <c r="A1" s="17" t="s">
        <v>33</v>
      </c>
      <c r="B1" s="78">
        <v>41855</v>
      </c>
      <c r="C1" s="17" t="s">
        <v>37</v>
      </c>
      <c r="D1" s="163" t="s">
        <v>338</v>
      </c>
      <c r="E1" s="162">
        <f>ROUNDUP(33811457.2519231,0)</f>
        <v>33811458</v>
      </c>
      <c r="F1" s="80" t="s">
        <v>52</v>
      </c>
      <c r="G1" s="81">
        <v>42160</v>
      </c>
      <c r="H1" s="80" t="s">
        <v>53</v>
      </c>
      <c r="I1" s="164">
        <v>5600000</v>
      </c>
    </row>
    <row r="2" spans="1:9" x14ac:dyDescent="0.25">
      <c r="A2" s="17" t="s">
        <v>34</v>
      </c>
      <c r="B2" s="18">
        <v>0.15</v>
      </c>
      <c r="C2" s="156">
        <f>ROUNDUP(34318675.2191522,0)</f>
        <v>34318676</v>
      </c>
      <c r="D2" s="80" t="s">
        <v>340</v>
      </c>
      <c r="E2" s="81">
        <v>42160</v>
      </c>
      <c r="F2" s="80" t="s">
        <v>341</v>
      </c>
      <c r="G2" s="164">
        <v>5600000</v>
      </c>
      <c r="H2" s="93"/>
      <c r="I2" s="93"/>
    </row>
    <row r="3" spans="1:9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23" t="s">
        <v>36</v>
      </c>
    </row>
    <row r="4" spans="1:9" x14ac:dyDescent="0.25">
      <c r="A4" s="29">
        <v>41856</v>
      </c>
      <c r="B4" s="1">
        <f>DAYS360(B1,A4,TRUE)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-5650.6849315068685</v>
      </c>
    </row>
    <row r="5" spans="1:9" x14ac:dyDescent="0.25">
      <c r="A5" s="29">
        <v>41887</v>
      </c>
      <c r="B5" s="1">
        <f>DAYS360(A4,A5)</f>
        <v>30</v>
      </c>
      <c r="C5" s="4">
        <f t="shared" ref="C5:C41" si="0">$C$2</f>
        <v>34318676</v>
      </c>
      <c r="D5" s="2">
        <f t="shared" ref="D5:D43" si="1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>
        <f t="shared" ref="H5:H33" si="2">F5*$B$2*B5/365</f>
        <v>12205479.452054795</v>
      </c>
      <c r="I5" s="16">
        <f t="shared" ref="I5:I33" si="3">H5-E5</f>
        <v>-169520.54794520512</v>
      </c>
    </row>
    <row r="6" spans="1:9" x14ac:dyDescent="0.25">
      <c r="A6" s="29">
        <v>41917</v>
      </c>
      <c r="B6" s="1">
        <f t="shared" ref="B6:B40" si="4">DAYS360(A5,A6)</f>
        <v>30</v>
      </c>
      <c r="C6" s="4">
        <f t="shared" si="0"/>
        <v>34318676</v>
      </c>
      <c r="D6" s="2">
        <f t="shared" si="1"/>
        <v>22217971.949999999</v>
      </c>
      <c r="E6" s="19">
        <f t="shared" ref="E6:E39" si="5">ROUND(F6*$B$2*B6/360,2)</f>
        <v>12100704.050000001</v>
      </c>
      <c r="F6" s="2">
        <f t="shared" ref="F6:F40" si="6">G5</f>
        <v>968056324</v>
      </c>
      <c r="G6" s="2">
        <f t="shared" ref="G6:G40" si="7">F6-D6</f>
        <v>945838352.04999995</v>
      </c>
      <c r="H6" s="14">
        <f t="shared" si="2"/>
        <v>11934940.980821919</v>
      </c>
      <c r="I6" s="16">
        <f t="shared" si="3"/>
        <v>-165763.06917808205</v>
      </c>
    </row>
    <row r="7" spans="1:9" x14ac:dyDescent="0.25">
      <c r="A7" s="29">
        <v>41948</v>
      </c>
      <c r="B7" s="1">
        <f t="shared" si="4"/>
        <v>30</v>
      </c>
      <c r="C7" s="4">
        <f t="shared" si="0"/>
        <v>34318676</v>
      </c>
      <c r="D7" s="2">
        <f t="shared" si="1"/>
        <v>22495696.600000001</v>
      </c>
      <c r="E7" s="19">
        <f t="shared" si="5"/>
        <v>11822979.4</v>
      </c>
      <c r="F7" s="2">
        <f t="shared" si="6"/>
        <v>945838352.04999995</v>
      </c>
      <c r="G7" s="2">
        <f t="shared" si="7"/>
        <v>923342655.44999993</v>
      </c>
      <c r="H7" s="14">
        <f t="shared" si="2"/>
        <v>11661020.778698629</v>
      </c>
      <c r="I7" s="16">
        <f t="shared" si="3"/>
        <v>-161958.6213013716</v>
      </c>
    </row>
    <row r="8" spans="1:9" x14ac:dyDescent="0.25">
      <c r="A8" s="29">
        <v>41978</v>
      </c>
      <c r="B8" s="1">
        <f t="shared" si="4"/>
        <v>30</v>
      </c>
      <c r="C8" s="4">
        <f t="shared" si="0"/>
        <v>34318676</v>
      </c>
      <c r="D8" s="2">
        <f t="shared" si="1"/>
        <v>22776892.810000002</v>
      </c>
      <c r="E8" s="19">
        <f t="shared" si="5"/>
        <v>11541783.189999999</v>
      </c>
      <c r="F8" s="2">
        <f t="shared" si="6"/>
        <v>923342655.44999993</v>
      </c>
      <c r="G8" s="2">
        <f t="shared" si="7"/>
        <v>900565762.63999987</v>
      </c>
      <c r="H8" s="14">
        <f t="shared" si="2"/>
        <v>11383676.574041095</v>
      </c>
      <c r="I8" s="16">
        <f t="shared" si="3"/>
        <v>-158106.61595890485</v>
      </c>
    </row>
    <row r="9" spans="1:9" x14ac:dyDescent="0.25">
      <c r="A9" s="29">
        <v>42009</v>
      </c>
      <c r="B9" s="1">
        <f t="shared" si="4"/>
        <v>30</v>
      </c>
      <c r="C9" s="4">
        <f t="shared" si="0"/>
        <v>34318676</v>
      </c>
      <c r="D9" s="2">
        <f t="shared" si="1"/>
        <v>23061603.969999999</v>
      </c>
      <c r="E9" s="19">
        <f t="shared" si="5"/>
        <v>11257072.029999999</v>
      </c>
      <c r="F9" s="2">
        <f t="shared" si="6"/>
        <v>900565762.63999987</v>
      </c>
      <c r="G9" s="2">
        <f t="shared" si="7"/>
        <v>877504158.66999984</v>
      </c>
      <c r="H9" s="14">
        <f t="shared" si="2"/>
        <v>11102865.566794518</v>
      </c>
      <c r="I9" s="16">
        <f t="shared" si="3"/>
        <v>-154206.46320548095</v>
      </c>
    </row>
    <row r="10" spans="1:9" x14ac:dyDescent="0.25">
      <c r="A10" s="29">
        <v>42040</v>
      </c>
      <c r="B10" s="1">
        <f t="shared" si="4"/>
        <v>30</v>
      </c>
      <c r="C10" s="4">
        <f t="shared" si="0"/>
        <v>34318676</v>
      </c>
      <c r="D10" s="2">
        <f t="shared" si="1"/>
        <v>23349874.02</v>
      </c>
      <c r="E10" s="19">
        <f t="shared" si="5"/>
        <v>10968801.98</v>
      </c>
      <c r="F10" s="2">
        <f t="shared" si="6"/>
        <v>877504158.66999984</v>
      </c>
      <c r="G10" s="2">
        <f t="shared" si="7"/>
        <v>854154284.64999986</v>
      </c>
      <c r="H10" s="14">
        <f t="shared" si="2"/>
        <v>10818544.421958903</v>
      </c>
      <c r="I10" s="16">
        <f t="shared" si="3"/>
        <v>-150257.5580410976</v>
      </c>
    </row>
    <row r="11" spans="1:9" x14ac:dyDescent="0.25">
      <c r="A11" s="29">
        <v>42068</v>
      </c>
      <c r="B11" s="1">
        <f t="shared" si="4"/>
        <v>30</v>
      </c>
      <c r="C11" s="4">
        <f t="shared" si="0"/>
        <v>34318676</v>
      </c>
      <c r="D11" s="2">
        <f t="shared" si="1"/>
        <v>23641747.439999998</v>
      </c>
      <c r="E11" s="19">
        <f t="shared" si="5"/>
        <v>10676928.560000001</v>
      </c>
      <c r="F11" s="2">
        <f t="shared" si="6"/>
        <v>854154284.64999986</v>
      </c>
      <c r="G11" s="2">
        <f t="shared" si="7"/>
        <v>830512537.2099998</v>
      </c>
      <c r="H11" s="14">
        <f t="shared" si="2"/>
        <v>10530669.262808217</v>
      </c>
      <c r="I11" s="16">
        <f t="shared" si="3"/>
        <v>-146259.29719178379</v>
      </c>
    </row>
    <row r="12" spans="1:9" x14ac:dyDescent="0.25">
      <c r="A12" s="29">
        <v>42099</v>
      </c>
      <c r="B12" s="1">
        <f t="shared" si="4"/>
        <v>30</v>
      </c>
      <c r="C12" s="4">
        <f t="shared" si="0"/>
        <v>34318676</v>
      </c>
      <c r="D12" s="2">
        <f t="shared" si="1"/>
        <v>23937269.280000001</v>
      </c>
      <c r="E12" s="19">
        <f t="shared" si="5"/>
        <v>10381406.720000001</v>
      </c>
      <c r="F12" s="2">
        <f t="shared" si="6"/>
        <v>830512537.2099998</v>
      </c>
      <c r="G12" s="2">
        <f t="shared" si="7"/>
        <v>806575267.92999983</v>
      </c>
      <c r="H12" s="14">
        <f t="shared" si="2"/>
        <v>10239195.664232872</v>
      </c>
      <c r="I12" s="16">
        <f t="shared" si="3"/>
        <v>-142211.05576712824</v>
      </c>
    </row>
    <row r="13" spans="1:9" x14ac:dyDescent="0.25">
      <c r="A13" s="29">
        <v>42129</v>
      </c>
      <c r="B13" s="1">
        <f t="shared" si="4"/>
        <v>30</v>
      </c>
      <c r="C13" s="4">
        <f t="shared" si="0"/>
        <v>34318676</v>
      </c>
      <c r="D13" s="2">
        <f t="shared" si="1"/>
        <v>24236485.149999999</v>
      </c>
      <c r="E13" s="19">
        <f t="shared" si="5"/>
        <v>10082190.85</v>
      </c>
      <c r="F13" s="2">
        <f t="shared" si="6"/>
        <v>806575267.92999983</v>
      </c>
      <c r="G13" s="2">
        <f t="shared" si="7"/>
        <v>782338782.77999985</v>
      </c>
      <c r="H13" s="14">
        <f t="shared" si="2"/>
        <v>9944078.6457123272</v>
      </c>
      <c r="I13" s="16">
        <f t="shared" si="3"/>
        <v>-138112.20428767242</v>
      </c>
    </row>
    <row r="14" spans="1:9" x14ac:dyDescent="0.25">
      <c r="A14" s="29">
        <v>42160</v>
      </c>
      <c r="B14" s="1">
        <f t="shared" si="4"/>
        <v>30</v>
      </c>
      <c r="C14" s="4">
        <f t="shared" si="0"/>
        <v>34318676</v>
      </c>
      <c r="D14" s="2">
        <f t="shared" si="1"/>
        <v>24539441.219999999</v>
      </c>
      <c r="E14" s="19">
        <f t="shared" si="5"/>
        <v>9779234.7799999993</v>
      </c>
      <c r="F14" s="2">
        <f t="shared" si="6"/>
        <v>782338782.77999985</v>
      </c>
      <c r="G14" s="2">
        <f t="shared" si="7"/>
        <v>757799341.55999982</v>
      </c>
      <c r="H14" s="14">
        <f t="shared" si="2"/>
        <v>9645272.6644109562</v>
      </c>
      <c r="I14" s="16">
        <f t="shared" si="3"/>
        <v>-133962.11558904313</v>
      </c>
    </row>
    <row r="15" spans="1:9" x14ac:dyDescent="0.25">
      <c r="A15" s="29">
        <v>42190</v>
      </c>
      <c r="B15" s="1">
        <f t="shared" si="4"/>
        <v>30</v>
      </c>
      <c r="C15" s="4">
        <f t="shared" si="0"/>
        <v>34318676</v>
      </c>
      <c r="D15" s="2">
        <f t="shared" si="1"/>
        <v>24846184.23</v>
      </c>
      <c r="E15" s="19">
        <f t="shared" si="5"/>
        <v>9472491.7699999996</v>
      </c>
      <c r="F15" s="2">
        <f t="shared" si="6"/>
        <v>757799341.55999982</v>
      </c>
      <c r="G15" s="2">
        <f t="shared" si="7"/>
        <v>732953157.3299998</v>
      </c>
      <c r="H15" s="14">
        <f t="shared" si="2"/>
        <v>9342731.60827397</v>
      </c>
      <c r="I15" s="16">
        <f t="shared" si="3"/>
        <v>-129760.16172602959</v>
      </c>
    </row>
    <row r="16" spans="1:9" x14ac:dyDescent="0.25">
      <c r="A16" s="29">
        <v>42221</v>
      </c>
      <c r="B16" s="1">
        <f t="shared" si="4"/>
        <v>30</v>
      </c>
      <c r="C16" s="4">
        <f t="shared" si="0"/>
        <v>34318676</v>
      </c>
      <c r="D16" s="2">
        <f t="shared" si="1"/>
        <v>25156761.530000001</v>
      </c>
      <c r="E16" s="19">
        <f t="shared" si="5"/>
        <v>9161914.4700000007</v>
      </c>
      <c r="F16" s="2">
        <f t="shared" si="6"/>
        <v>732953157.3299998</v>
      </c>
      <c r="G16" s="2">
        <f t="shared" si="7"/>
        <v>707796395.79999983</v>
      </c>
      <c r="H16" s="14">
        <f t="shared" si="2"/>
        <v>9036408.7889999971</v>
      </c>
      <c r="I16" s="16">
        <f t="shared" si="3"/>
        <v>-125505.68100000359</v>
      </c>
    </row>
    <row r="17" spans="1:9" x14ac:dyDescent="0.25">
      <c r="A17" s="29">
        <v>42252</v>
      </c>
      <c r="B17" s="1">
        <f t="shared" si="4"/>
        <v>30</v>
      </c>
      <c r="C17" s="4">
        <f t="shared" si="0"/>
        <v>34318676</v>
      </c>
      <c r="D17" s="2">
        <f t="shared" si="1"/>
        <v>25471221.050000001</v>
      </c>
      <c r="E17" s="19">
        <f t="shared" si="5"/>
        <v>8847454.9499999993</v>
      </c>
      <c r="F17" s="2">
        <f t="shared" si="6"/>
        <v>707796395.79999983</v>
      </c>
      <c r="G17" s="2">
        <f t="shared" si="7"/>
        <v>682325174.74999988</v>
      </c>
      <c r="H17" s="14">
        <f t="shared" si="2"/>
        <v>8726256.9345205463</v>
      </c>
      <c r="I17" s="16">
        <f t="shared" si="3"/>
        <v>-121198.01547945291</v>
      </c>
    </row>
    <row r="18" spans="1:9" x14ac:dyDescent="0.25">
      <c r="A18" s="29">
        <v>42282</v>
      </c>
      <c r="B18" s="1">
        <f t="shared" si="4"/>
        <v>30</v>
      </c>
      <c r="C18" s="4">
        <f t="shared" si="0"/>
        <v>34318676</v>
      </c>
      <c r="D18" s="2">
        <f t="shared" si="1"/>
        <v>25789611.32</v>
      </c>
      <c r="E18" s="19">
        <f t="shared" si="5"/>
        <v>8529064.6799999997</v>
      </c>
      <c r="F18" s="2">
        <f t="shared" si="6"/>
        <v>682325174.74999988</v>
      </c>
      <c r="G18" s="2">
        <f t="shared" si="7"/>
        <v>656535563.42999983</v>
      </c>
      <c r="H18" s="14">
        <f t="shared" si="2"/>
        <v>8412228.181849312</v>
      </c>
      <c r="I18" s="16">
        <f t="shared" si="3"/>
        <v>-116836.49815068766</v>
      </c>
    </row>
    <row r="19" spans="1:9" x14ac:dyDescent="0.25">
      <c r="A19" s="29">
        <v>42313</v>
      </c>
      <c r="B19" s="1">
        <f t="shared" si="4"/>
        <v>30</v>
      </c>
      <c r="C19" s="4">
        <f t="shared" si="0"/>
        <v>34318676</v>
      </c>
      <c r="D19" s="2">
        <f t="shared" si="1"/>
        <v>26111981.460000001</v>
      </c>
      <c r="E19" s="19">
        <f t="shared" si="5"/>
        <v>8206694.54</v>
      </c>
      <c r="F19" s="2">
        <f t="shared" si="6"/>
        <v>656535563.42999983</v>
      </c>
      <c r="G19" s="2">
        <f t="shared" si="7"/>
        <v>630423581.96999979</v>
      </c>
      <c r="H19" s="14">
        <f t="shared" si="2"/>
        <v>8094274.0696849301</v>
      </c>
      <c r="I19" s="16">
        <f t="shared" si="3"/>
        <v>-112420.47031506989</v>
      </c>
    </row>
    <row r="20" spans="1:9" x14ac:dyDescent="0.25">
      <c r="A20" s="29">
        <v>42343</v>
      </c>
      <c r="B20" s="1">
        <f t="shared" si="4"/>
        <v>30</v>
      </c>
      <c r="C20" s="4">
        <f t="shared" si="0"/>
        <v>34318676</v>
      </c>
      <c r="D20" s="2">
        <f t="shared" si="1"/>
        <v>26438381.23</v>
      </c>
      <c r="E20" s="19">
        <f t="shared" si="5"/>
        <v>7880294.7699999996</v>
      </c>
      <c r="F20" s="2">
        <f t="shared" si="6"/>
        <v>630423581.96999979</v>
      </c>
      <c r="G20" s="2">
        <f t="shared" si="7"/>
        <v>603985200.73999977</v>
      </c>
      <c r="H20" s="14">
        <f t="shared" si="2"/>
        <v>7772345.5311369831</v>
      </c>
      <c r="I20" s="16">
        <f t="shared" si="3"/>
        <v>-107949.23886301648</v>
      </c>
    </row>
    <row r="21" spans="1:9" x14ac:dyDescent="0.25">
      <c r="A21" s="29">
        <v>42374</v>
      </c>
      <c r="B21" s="1">
        <f t="shared" si="4"/>
        <v>30</v>
      </c>
      <c r="C21" s="4">
        <f t="shared" si="0"/>
        <v>34318676</v>
      </c>
      <c r="D21" s="2">
        <f t="shared" si="1"/>
        <v>26768860.990000002</v>
      </c>
      <c r="E21" s="19">
        <f t="shared" si="5"/>
        <v>7549815.0099999998</v>
      </c>
      <c r="F21" s="2">
        <f t="shared" si="6"/>
        <v>603985200.73999977</v>
      </c>
      <c r="G21" s="2">
        <f t="shared" si="7"/>
        <v>577216339.74999976</v>
      </c>
      <c r="H21" s="14">
        <f t="shared" si="2"/>
        <v>7446392.8858356122</v>
      </c>
      <c r="I21" s="16">
        <f t="shared" si="3"/>
        <v>-103422.12416438758</v>
      </c>
    </row>
    <row r="22" spans="1:9" x14ac:dyDescent="0.25">
      <c r="A22" s="29">
        <v>42405</v>
      </c>
      <c r="B22" s="1">
        <f t="shared" si="4"/>
        <v>30</v>
      </c>
      <c r="C22" s="4">
        <f t="shared" si="0"/>
        <v>34318676</v>
      </c>
      <c r="D22" s="2">
        <f t="shared" si="1"/>
        <v>27103471.75</v>
      </c>
      <c r="E22" s="19">
        <f t="shared" si="5"/>
        <v>7215204.25</v>
      </c>
      <c r="F22" s="2">
        <f t="shared" si="6"/>
        <v>577216339.74999976</v>
      </c>
      <c r="G22" s="2">
        <f t="shared" si="7"/>
        <v>550112867.99999976</v>
      </c>
      <c r="H22" s="14">
        <f t="shared" si="2"/>
        <v>7116365.8325342443</v>
      </c>
      <c r="I22" s="16">
        <f t="shared" si="3"/>
        <v>-98838.417465755716</v>
      </c>
    </row>
    <row r="23" spans="1:9" x14ac:dyDescent="0.25">
      <c r="A23" s="29">
        <v>42434</v>
      </c>
      <c r="B23" s="1">
        <f t="shared" si="4"/>
        <v>30</v>
      </c>
      <c r="C23" s="4">
        <f t="shared" si="0"/>
        <v>34318676</v>
      </c>
      <c r="D23" s="2">
        <f t="shared" si="1"/>
        <v>27442265.149999999</v>
      </c>
      <c r="E23" s="19">
        <f t="shared" si="5"/>
        <v>6876410.8499999996</v>
      </c>
      <c r="F23" s="2">
        <f t="shared" si="6"/>
        <v>550112867.99999976</v>
      </c>
      <c r="G23" s="2">
        <f t="shared" si="7"/>
        <v>522670602.84999979</v>
      </c>
      <c r="H23" s="14">
        <f t="shared" si="2"/>
        <v>6782213.4410958868</v>
      </c>
      <c r="I23" s="16">
        <f t="shared" si="3"/>
        <v>-94197.408904112875</v>
      </c>
    </row>
    <row r="24" spans="1:9" x14ac:dyDescent="0.25">
      <c r="A24" s="29">
        <v>42465</v>
      </c>
      <c r="B24" s="1">
        <f t="shared" si="4"/>
        <v>30</v>
      </c>
      <c r="C24" s="4">
        <f t="shared" si="0"/>
        <v>34318676</v>
      </c>
      <c r="D24" s="2">
        <f t="shared" si="1"/>
        <v>27785293.460000001</v>
      </c>
      <c r="E24" s="19">
        <f t="shared" si="5"/>
        <v>6533382.54</v>
      </c>
      <c r="F24" s="2">
        <f t="shared" si="6"/>
        <v>522670602.84999979</v>
      </c>
      <c r="G24" s="2">
        <f t="shared" si="7"/>
        <v>494885309.38999981</v>
      </c>
      <c r="H24" s="14">
        <f t="shared" si="2"/>
        <v>6443884.144726024</v>
      </c>
      <c r="I24" s="16">
        <f t="shared" si="3"/>
        <v>-89498.395273976028</v>
      </c>
    </row>
    <row r="25" spans="1:9" x14ac:dyDescent="0.25">
      <c r="A25" s="29">
        <v>42495</v>
      </c>
      <c r="B25" s="1">
        <f t="shared" si="4"/>
        <v>30</v>
      </c>
      <c r="C25" s="4">
        <f t="shared" si="0"/>
        <v>34318676</v>
      </c>
      <c r="D25" s="2">
        <f t="shared" si="1"/>
        <v>28132609.629999999</v>
      </c>
      <c r="E25" s="19">
        <f t="shared" si="5"/>
        <v>6186066.3700000001</v>
      </c>
      <c r="F25" s="2">
        <f t="shared" si="6"/>
        <v>494885309.38999981</v>
      </c>
      <c r="G25" s="2">
        <f t="shared" si="7"/>
        <v>466752699.75999981</v>
      </c>
      <c r="H25" s="14">
        <f t="shared" si="2"/>
        <v>6101325.7322054775</v>
      </c>
      <c r="I25" s="16">
        <f t="shared" si="3"/>
        <v>-84740.637794522569</v>
      </c>
    </row>
    <row r="26" spans="1:9" x14ac:dyDescent="0.25">
      <c r="A26" s="29">
        <v>42526</v>
      </c>
      <c r="B26" s="1">
        <f t="shared" si="4"/>
        <v>30</v>
      </c>
      <c r="C26" s="4">
        <f t="shared" si="0"/>
        <v>34318676</v>
      </c>
      <c r="D26" s="2">
        <f t="shared" si="1"/>
        <v>28484267.25</v>
      </c>
      <c r="E26" s="19">
        <f t="shared" si="5"/>
        <v>5834408.75</v>
      </c>
      <c r="F26" s="2">
        <f t="shared" si="6"/>
        <v>466752699.75999981</v>
      </c>
      <c r="G26" s="2">
        <f t="shared" si="7"/>
        <v>438268432.50999981</v>
      </c>
      <c r="H26" s="14">
        <f t="shared" si="2"/>
        <v>5754485.3395068469</v>
      </c>
      <c r="I26" s="16">
        <f t="shared" si="3"/>
        <v>-79923.410493153147</v>
      </c>
    </row>
    <row r="27" spans="1:9" x14ac:dyDescent="0.25">
      <c r="A27" s="29">
        <v>42556</v>
      </c>
      <c r="B27" s="1">
        <f t="shared" si="4"/>
        <v>30</v>
      </c>
      <c r="C27" s="4">
        <f t="shared" si="0"/>
        <v>34318676</v>
      </c>
      <c r="D27" s="2">
        <f t="shared" si="1"/>
        <v>28840320.59</v>
      </c>
      <c r="E27" s="19">
        <f t="shared" si="5"/>
        <v>5478355.4100000001</v>
      </c>
      <c r="F27" s="2">
        <f t="shared" si="6"/>
        <v>438268432.50999981</v>
      </c>
      <c r="G27" s="2">
        <f t="shared" si="7"/>
        <v>409428111.91999984</v>
      </c>
      <c r="H27" s="14">
        <f t="shared" si="2"/>
        <v>5403309.4419041062</v>
      </c>
      <c r="I27" s="16">
        <f t="shared" si="3"/>
        <v>-75045.968095893972</v>
      </c>
    </row>
    <row r="28" spans="1:9" x14ac:dyDescent="0.25">
      <c r="A28" s="29">
        <v>42587</v>
      </c>
      <c r="B28" s="1">
        <f t="shared" si="4"/>
        <v>30</v>
      </c>
      <c r="C28" s="4">
        <f t="shared" si="0"/>
        <v>34318676</v>
      </c>
      <c r="D28" s="2">
        <f t="shared" si="1"/>
        <v>29200824.600000001</v>
      </c>
      <c r="E28" s="19">
        <f t="shared" si="5"/>
        <v>5117851.4000000004</v>
      </c>
      <c r="F28" s="2">
        <f t="shared" si="6"/>
        <v>409428111.91999984</v>
      </c>
      <c r="G28" s="2">
        <f t="shared" si="7"/>
        <v>380227287.31999981</v>
      </c>
      <c r="H28" s="14">
        <f t="shared" si="2"/>
        <v>5047743.8455890389</v>
      </c>
      <c r="I28" s="16">
        <f t="shared" si="3"/>
        <v>-70107.554410961457</v>
      </c>
    </row>
    <row r="29" spans="1:9" x14ac:dyDescent="0.25">
      <c r="A29" s="29">
        <v>42618</v>
      </c>
      <c r="B29" s="1">
        <f t="shared" si="4"/>
        <v>30</v>
      </c>
      <c r="C29" s="4">
        <f t="shared" si="0"/>
        <v>34318676</v>
      </c>
      <c r="D29" s="2">
        <f t="shared" si="1"/>
        <v>29565834.91</v>
      </c>
      <c r="E29" s="19">
        <f t="shared" si="5"/>
        <v>4752841.09</v>
      </c>
      <c r="F29" s="2">
        <f t="shared" si="6"/>
        <v>380227287.31999981</v>
      </c>
      <c r="G29" s="2">
        <f t="shared" si="7"/>
        <v>350661452.40999979</v>
      </c>
      <c r="H29" s="14">
        <f t="shared" si="2"/>
        <v>4687733.6792876683</v>
      </c>
      <c r="I29" s="16">
        <f t="shared" si="3"/>
        <v>-65107.410712331533</v>
      </c>
    </row>
    <row r="30" spans="1:9" x14ac:dyDescent="0.25">
      <c r="A30" s="29">
        <v>42648</v>
      </c>
      <c r="B30" s="1">
        <f t="shared" si="4"/>
        <v>30</v>
      </c>
      <c r="C30" s="4">
        <f t="shared" si="0"/>
        <v>34318676</v>
      </c>
      <c r="D30" s="2">
        <f t="shared" si="1"/>
        <v>29935407.84</v>
      </c>
      <c r="E30" s="19">
        <f t="shared" si="5"/>
        <v>4383268.16</v>
      </c>
      <c r="F30" s="2">
        <f t="shared" si="6"/>
        <v>350661452.40999979</v>
      </c>
      <c r="G30" s="2">
        <f t="shared" si="7"/>
        <v>320726044.56999981</v>
      </c>
      <c r="H30" s="14">
        <f t="shared" si="2"/>
        <v>4323223.3858767096</v>
      </c>
      <c r="I30" s="16">
        <f t="shared" si="3"/>
        <v>-60044.774123290554</v>
      </c>
    </row>
    <row r="31" spans="1:9" x14ac:dyDescent="0.25">
      <c r="A31" s="29">
        <v>42679</v>
      </c>
      <c r="B31" s="1">
        <f t="shared" si="4"/>
        <v>30</v>
      </c>
      <c r="C31" s="4">
        <f t="shared" si="0"/>
        <v>34318676</v>
      </c>
      <c r="D31" s="2">
        <f t="shared" si="1"/>
        <v>30309600.440000001</v>
      </c>
      <c r="E31" s="19">
        <f t="shared" si="5"/>
        <v>4009075.56</v>
      </c>
      <c r="F31" s="2">
        <f t="shared" si="6"/>
        <v>320726044.56999981</v>
      </c>
      <c r="G31" s="2">
        <f t="shared" si="7"/>
        <v>290416444.12999982</v>
      </c>
      <c r="H31" s="14">
        <f t="shared" si="2"/>
        <v>3954156.7138767098</v>
      </c>
      <c r="I31" s="16">
        <f t="shared" si="3"/>
        <v>-54918.846123290248</v>
      </c>
    </row>
    <row r="32" spans="1:9" x14ac:dyDescent="0.25">
      <c r="A32" s="29">
        <v>42709</v>
      </c>
      <c r="B32" s="1">
        <f t="shared" si="4"/>
        <v>30</v>
      </c>
      <c r="C32" s="4">
        <f t="shared" si="0"/>
        <v>34318676</v>
      </c>
      <c r="D32" s="2">
        <f t="shared" si="1"/>
        <v>30688470.449999999</v>
      </c>
      <c r="E32" s="19">
        <f t="shared" si="5"/>
        <v>3630205.55</v>
      </c>
      <c r="F32" s="2">
        <f t="shared" si="6"/>
        <v>290416444.12999982</v>
      </c>
      <c r="G32" s="2">
        <f t="shared" si="7"/>
        <v>259727973.67999983</v>
      </c>
      <c r="H32" s="14">
        <f t="shared" si="2"/>
        <v>3580476.7084520529</v>
      </c>
      <c r="I32" s="16">
        <f t="shared" si="3"/>
        <v>-49728.841547946911</v>
      </c>
    </row>
    <row r="33" spans="1:9" x14ac:dyDescent="0.25">
      <c r="A33" s="29">
        <v>42740</v>
      </c>
      <c r="B33" s="1">
        <f t="shared" si="4"/>
        <v>30</v>
      </c>
      <c r="C33" s="4">
        <f t="shared" si="0"/>
        <v>34318676</v>
      </c>
      <c r="D33" s="2">
        <f t="shared" si="1"/>
        <v>31072076.329999998</v>
      </c>
      <c r="E33" s="19">
        <f t="shared" si="5"/>
        <v>3246599.67</v>
      </c>
      <c r="F33" s="2">
        <f t="shared" si="6"/>
        <v>259727973.67999983</v>
      </c>
      <c r="G33" s="2">
        <f t="shared" si="7"/>
        <v>228655897.34999985</v>
      </c>
      <c r="H33" s="14">
        <f t="shared" si="2"/>
        <v>3202125.7029041075</v>
      </c>
      <c r="I33" s="16">
        <f t="shared" si="3"/>
        <v>-44473.967095892411</v>
      </c>
    </row>
    <row r="34" spans="1:9" x14ac:dyDescent="0.25">
      <c r="A34" s="29">
        <v>42771</v>
      </c>
      <c r="B34" s="1">
        <f t="shared" si="4"/>
        <v>30</v>
      </c>
      <c r="C34" s="4">
        <f t="shared" si="0"/>
        <v>34318676</v>
      </c>
      <c r="D34" s="2">
        <f t="shared" si="1"/>
        <v>31460477.280000001</v>
      </c>
      <c r="E34" s="19">
        <f t="shared" si="5"/>
        <v>2858198.72</v>
      </c>
      <c r="F34" s="2">
        <f t="shared" si="6"/>
        <v>228655897.34999985</v>
      </c>
      <c r="G34" s="2">
        <f t="shared" si="7"/>
        <v>197195420.06999984</v>
      </c>
      <c r="H34" s="14"/>
      <c r="I34" s="16"/>
    </row>
    <row r="35" spans="1:9" x14ac:dyDescent="0.25">
      <c r="A35" s="29">
        <v>42799</v>
      </c>
      <c r="B35" s="1">
        <f t="shared" si="4"/>
        <v>30</v>
      </c>
      <c r="C35" s="4">
        <f t="shared" si="0"/>
        <v>34318676</v>
      </c>
      <c r="D35" s="2">
        <f t="shared" si="1"/>
        <v>31853733.25</v>
      </c>
      <c r="E35" s="19">
        <f t="shared" si="5"/>
        <v>2464942.75</v>
      </c>
      <c r="F35" s="2">
        <f t="shared" si="6"/>
        <v>197195420.06999984</v>
      </c>
      <c r="G35" s="2">
        <f t="shared" si="7"/>
        <v>165341686.81999984</v>
      </c>
      <c r="H35" s="14"/>
      <c r="I35" s="16"/>
    </row>
    <row r="36" spans="1:9" x14ac:dyDescent="0.25">
      <c r="A36" s="29">
        <v>42830</v>
      </c>
      <c r="B36" s="1">
        <f t="shared" si="4"/>
        <v>30</v>
      </c>
      <c r="C36" s="4">
        <f t="shared" si="0"/>
        <v>34318676</v>
      </c>
      <c r="D36" s="2">
        <f t="shared" si="1"/>
        <v>32251904.91</v>
      </c>
      <c r="E36" s="19">
        <f t="shared" si="5"/>
        <v>2066771.09</v>
      </c>
      <c r="F36" s="2">
        <f t="shared" si="6"/>
        <v>165341686.81999984</v>
      </c>
      <c r="G36" s="2">
        <f t="shared" si="7"/>
        <v>133089781.90999985</v>
      </c>
      <c r="H36" s="14"/>
      <c r="I36" s="16"/>
    </row>
    <row r="37" spans="1:9" x14ac:dyDescent="0.25">
      <c r="A37" s="29">
        <v>42860</v>
      </c>
      <c r="B37" s="1">
        <f t="shared" si="4"/>
        <v>30</v>
      </c>
      <c r="C37" s="4">
        <f t="shared" si="0"/>
        <v>34318676</v>
      </c>
      <c r="D37" s="2">
        <f t="shared" si="1"/>
        <v>32655053.73</v>
      </c>
      <c r="E37" s="19">
        <f t="shared" si="5"/>
        <v>1663622.27</v>
      </c>
      <c r="F37" s="2">
        <f t="shared" si="6"/>
        <v>133089781.90999985</v>
      </c>
      <c r="G37" s="2">
        <f t="shared" si="7"/>
        <v>100434728.17999984</v>
      </c>
      <c r="H37" s="14"/>
      <c r="I37" s="16"/>
    </row>
    <row r="38" spans="1:9" x14ac:dyDescent="0.25">
      <c r="A38" s="29">
        <v>42891</v>
      </c>
      <c r="B38" s="1">
        <f t="shared" si="4"/>
        <v>30</v>
      </c>
      <c r="C38" s="4">
        <f t="shared" si="0"/>
        <v>34318676</v>
      </c>
      <c r="D38" s="2">
        <f t="shared" si="1"/>
        <v>33063241.899999999</v>
      </c>
      <c r="E38" s="19">
        <f t="shared" si="5"/>
        <v>1255434.1000000001</v>
      </c>
      <c r="F38" s="2">
        <f t="shared" si="6"/>
        <v>100434728.17999984</v>
      </c>
      <c r="G38" s="2">
        <f t="shared" si="7"/>
        <v>67371486.279999852</v>
      </c>
      <c r="H38" s="14"/>
      <c r="I38" s="16"/>
    </row>
    <row r="39" spans="1:9" x14ac:dyDescent="0.25">
      <c r="A39" s="29">
        <v>42921</v>
      </c>
      <c r="B39" s="1">
        <f t="shared" si="4"/>
        <v>30</v>
      </c>
      <c r="C39" s="4">
        <f t="shared" si="0"/>
        <v>34318676</v>
      </c>
      <c r="D39" s="2">
        <f t="shared" si="1"/>
        <v>33476532.420000002</v>
      </c>
      <c r="E39" s="19">
        <f t="shared" si="5"/>
        <v>842143.58</v>
      </c>
      <c r="F39" s="2">
        <f t="shared" si="6"/>
        <v>67371486.279999852</v>
      </c>
      <c r="G39" s="2">
        <f t="shared" si="7"/>
        <v>33894953.85999985</v>
      </c>
      <c r="H39" s="14"/>
      <c r="I39" s="16"/>
    </row>
    <row r="40" spans="1:9" x14ac:dyDescent="0.25">
      <c r="A40" s="29">
        <v>42952</v>
      </c>
      <c r="B40" s="1">
        <f t="shared" si="4"/>
        <v>30</v>
      </c>
      <c r="C40" s="4">
        <f t="shared" si="0"/>
        <v>34318676</v>
      </c>
      <c r="D40" s="2">
        <f t="shared" si="1"/>
        <v>33894953.85999985</v>
      </c>
      <c r="E40" s="19">
        <v>423722.1400001478</v>
      </c>
      <c r="F40" s="2">
        <f t="shared" si="6"/>
        <v>33894953.85999985</v>
      </c>
      <c r="G40" s="2">
        <f t="shared" si="7"/>
        <v>0</v>
      </c>
      <c r="H40" s="14"/>
      <c r="I40" s="16"/>
    </row>
    <row r="41" spans="1:9" x14ac:dyDescent="0.25">
      <c r="A41" s="21">
        <v>42160</v>
      </c>
      <c r="B41" s="1" t="s">
        <v>55</v>
      </c>
      <c r="C41" s="4">
        <f t="shared" si="0"/>
        <v>34318676</v>
      </c>
      <c r="D41" s="2">
        <f t="shared" si="1"/>
        <v>24539441.219999999</v>
      </c>
      <c r="E41" s="19">
        <f>ROUND(F14*$B$2*B14/360,2)</f>
        <v>9779234.7799999993</v>
      </c>
      <c r="F41" s="2">
        <f>G13</f>
        <v>782338782.77999985</v>
      </c>
      <c r="G41" s="2">
        <f>F14-D14</f>
        <v>757799341.55999982</v>
      </c>
      <c r="H41" s="14"/>
      <c r="I41" s="16"/>
    </row>
    <row r="42" spans="1:9" x14ac:dyDescent="0.25">
      <c r="A42" s="21">
        <v>42190</v>
      </c>
      <c r="B42" s="1">
        <f>DAYS360(A41,A42)</f>
        <v>30</v>
      </c>
      <c r="C42" s="4">
        <f>$E$1</f>
        <v>33811458</v>
      </c>
      <c r="D42" s="2">
        <f t="shared" si="1"/>
        <v>24478966.23</v>
      </c>
      <c r="E42" s="19">
        <f>ROUND(F42*$B$2*B42/360,2)</f>
        <v>9332491.7699999996</v>
      </c>
      <c r="F42" s="2">
        <f>G14-I1-G2</f>
        <v>746599341.55999982</v>
      </c>
      <c r="G42" s="2">
        <f>F42-D42</f>
        <v>722120375.3299998</v>
      </c>
      <c r="H42" s="14"/>
      <c r="I42" s="16"/>
    </row>
    <row r="43" spans="1:9" x14ac:dyDescent="0.25">
      <c r="A43" s="21">
        <v>42221</v>
      </c>
      <c r="B43" s="1">
        <f t="shared" ref="B43" si="8">DAYS360(A42,A43)</f>
        <v>30</v>
      </c>
      <c r="C43" s="4">
        <f>$E$1</f>
        <v>33811458</v>
      </c>
      <c r="D43" s="2">
        <f t="shared" si="1"/>
        <v>24784953.310000002</v>
      </c>
      <c r="E43" s="19">
        <f t="shared" ref="E43" si="9">ROUND(F43*$B$2*B43/360,2)</f>
        <v>9026504.6899999995</v>
      </c>
      <c r="F43" s="2">
        <f>G42</f>
        <v>722120375.3299998</v>
      </c>
      <c r="G43" s="2">
        <f t="shared" ref="G43" si="10">F43-D43</f>
        <v>697335422.01999974</v>
      </c>
      <c r="H43" s="14"/>
      <c r="I43" s="16"/>
    </row>
    <row r="44" spans="1:9" x14ac:dyDescent="0.25">
      <c r="A44" s="21">
        <v>42252</v>
      </c>
      <c r="B44" s="1">
        <f t="shared" ref="B44:B67" si="11">DAYS360(A43,A44)</f>
        <v>30</v>
      </c>
      <c r="C44" s="4">
        <f t="shared" ref="C44:C67" si="12">$E$1</f>
        <v>33811458</v>
      </c>
      <c r="D44" s="2">
        <f t="shared" ref="D44:D67" si="13">C44-E44</f>
        <v>25094765.219999999</v>
      </c>
      <c r="E44" s="19">
        <f t="shared" ref="E44:E66" si="14">ROUND(F44*$B$2*B44/360,2)</f>
        <v>8716692.7799999993</v>
      </c>
      <c r="F44" s="2">
        <f t="shared" ref="F44:F67" si="15">G43</f>
        <v>697335422.01999974</v>
      </c>
      <c r="G44" s="2">
        <f t="shared" ref="G44:G67" si="16">F44-D44</f>
        <v>672240656.79999971</v>
      </c>
      <c r="H44" s="14"/>
      <c r="I44" s="16"/>
    </row>
    <row r="45" spans="1:9" x14ac:dyDescent="0.25">
      <c r="A45" s="21">
        <v>42282</v>
      </c>
      <c r="B45" s="1">
        <f t="shared" si="11"/>
        <v>30</v>
      </c>
      <c r="C45" s="4">
        <f t="shared" si="12"/>
        <v>33811458</v>
      </c>
      <c r="D45" s="2">
        <f t="shared" si="13"/>
        <v>25408449.789999999</v>
      </c>
      <c r="E45" s="19">
        <f t="shared" si="14"/>
        <v>8403008.2100000009</v>
      </c>
      <c r="F45" s="2">
        <f t="shared" si="15"/>
        <v>672240656.79999971</v>
      </c>
      <c r="G45" s="2">
        <f t="shared" si="16"/>
        <v>646832207.00999975</v>
      </c>
      <c r="H45" s="14"/>
      <c r="I45" s="16"/>
    </row>
    <row r="46" spans="1:9" x14ac:dyDescent="0.25">
      <c r="A46" s="21">
        <v>42313</v>
      </c>
      <c r="B46" s="1">
        <f t="shared" si="11"/>
        <v>30</v>
      </c>
      <c r="C46" s="4">
        <f t="shared" si="12"/>
        <v>33811458</v>
      </c>
      <c r="D46" s="2">
        <f t="shared" si="13"/>
        <v>25726055.41</v>
      </c>
      <c r="E46" s="19">
        <f t="shared" si="14"/>
        <v>8085402.5899999999</v>
      </c>
      <c r="F46" s="2">
        <f t="shared" si="15"/>
        <v>646832207.00999975</v>
      </c>
      <c r="G46" s="2">
        <f t="shared" si="16"/>
        <v>621106151.59999979</v>
      </c>
      <c r="H46" s="14"/>
      <c r="I46" s="16"/>
    </row>
    <row r="47" spans="1:9" x14ac:dyDescent="0.25">
      <c r="A47" s="21">
        <v>42343</v>
      </c>
      <c r="B47" s="1">
        <f t="shared" si="11"/>
        <v>30</v>
      </c>
      <c r="C47" s="4">
        <f t="shared" si="12"/>
        <v>33811458</v>
      </c>
      <c r="D47" s="2">
        <f t="shared" si="13"/>
        <v>26047631.100000001</v>
      </c>
      <c r="E47" s="19">
        <f t="shared" si="14"/>
        <v>7763826.9000000004</v>
      </c>
      <c r="F47" s="2">
        <f t="shared" si="15"/>
        <v>621106151.59999979</v>
      </c>
      <c r="G47" s="2">
        <f t="shared" si="16"/>
        <v>595058520.49999976</v>
      </c>
      <c r="H47" s="14"/>
      <c r="I47" s="16"/>
    </row>
    <row r="48" spans="1:9" x14ac:dyDescent="0.25">
      <c r="A48" s="21">
        <v>42374</v>
      </c>
      <c r="B48" s="1">
        <f t="shared" si="11"/>
        <v>30</v>
      </c>
      <c r="C48" s="4">
        <f t="shared" si="12"/>
        <v>33811458</v>
      </c>
      <c r="D48" s="2">
        <f t="shared" si="13"/>
        <v>26373226.490000002</v>
      </c>
      <c r="E48" s="19">
        <f t="shared" si="14"/>
        <v>7438231.5099999998</v>
      </c>
      <c r="F48" s="2">
        <f t="shared" si="15"/>
        <v>595058520.49999976</v>
      </c>
      <c r="G48" s="2">
        <f t="shared" si="16"/>
        <v>568685294.00999975</v>
      </c>
      <c r="H48" s="14"/>
      <c r="I48" s="16"/>
    </row>
    <row r="49" spans="1:9" x14ac:dyDescent="0.25">
      <c r="A49" s="21">
        <v>42405</v>
      </c>
      <c r="B49" s="1">
        <f t="shared" si="11"/>
        <v>30</v>
      </c>
      <c r="C49" s="4">
        <f t="shared" si="12"/>
        <v>33811458</v>
      </c>
      <c r="D49" s="2">
        <f t="shared" si="13"/>
        <v>26702891.82</v>
      </c>
      <c r="E49" s="19">
        <f t="shared" si="14"/>
        <v>7108566.1799999997</v>
      </c>
      <c r="F49" s="2">
        <f t="shared" si="15"/>
        <v>568685294.00999975</v>
      </c>
      <c r="G49" s="2">
        <f t="shared" si="16"/>
        <v>541982402.1899997</v>
      </c>
      <c r="H49" s="14"/>
      <c r="I49" s="16"/>
    </row>
    <row r="50" spans="1:9" x14ac:dyDescent="0.25">
      <c r="A50" s="21">
        <v>42434</v>
      </c>
      <c r="B50" s="1">
        <f t="shared" si="11"/>
        <v>30</v>
      </c>
      <c r="C50" s="4">
        <f t="shared" si="12"/>
        <v>33811458</v>
      </c>
      <c r="D50" s="2">
        <f t="shared" si="13"/>
        <v>27036677.969999999</v>
      </c>
      <c r="E50" s="19">
        <f t="shared" si="14"/>
        <v>6774780.0300000003</v>
      </c>
      <c r="F50" s="2">
        <f t="shared" si="15"/>
        <v>541982402.1899997</v>
      </c>
      <c r="G50" s="2">
        <f t="shared" si="16"/>
        <v>514945724.21999967</v>
      </c>
      <c r="H50" s="14"/>
      <c r="I50" s="16"/>
    </row>
    <row r="51" spans="1:9" x14ac:dyDescent="0.25">
      <c r="A51" s="21">
        <v>42465</v>
      </c>
      <c r="B51" s="1">
        <f t="shared" si="11"/>
        <v>30</v>
      </c>
      <c r="C51" s="4">
        <f t="shared" si="12"/>
        <v>33811458</v>
      </c>
      <c r="D51" s="2">
        <f t="shared" si="13"/>
        <v>27374636.449999999</v>
      </c>
      <c r="E51" s="19">
        <f t="shared" si="14"/>
        <v>6436821.5499999998</v>
      </c>
      <c r="F51" s="2">
        <f t="shared" si="15"/>
        <v>514945724.21999967</v>
      </c>
      <c r="G51" s="2">
        <f t="shared" si="16"/>
        <v>487571087.76999968</v>
      </c>
      <c r="H51" s="14"/>
      <c r="I51" s="16"/>
    </row>
    <row r="52" spans="1:9" x14ac:dyDescent="0.25">
      <c r="A52" s="21">
        <v>42495</v>
      </c>
      <c r="B52" s="1">
        <f t="shared" si="11"/>
        <v>30</v>
      </c>
      <c r="C52" s="4">
        <f t="shared" si="12"/>
        <v>33811458</v>
      </c>
      <c r="D52" s="2">
        <f t="shared" si="13"/>
        <v>27716819.399999999</v>
      </c>
      <c r="E52" s="19">
        <f t="shared" si="14"/>
        <v>6094638.5999999996</v>
      </c>
      <c r="F52" s="2">
        <f t="shared" si="15"/>
        <v>487571087.76999968</v>
      </c>
      <c r="G52" s="2">
        <f t="shared" si="16"/>
        <v>459854268.36999971</v>
      </c>
      <c r="H52" s="14"/>
      <c r="I52" s="16"/>
    </row>
    <row r="53" spans="1:9" x14ac:dyDescent="0.25">
      <c r="A53" s="21">
        <v>42526</v>
      </c>
      <c r="B53" s="1">
        <f t="shared" si="11"/>
        <v>30</v>
      </c>
      <c r="C53" s="4">
        <f t="shared" si="12"/>
        <v>33811458</v>
      </c>
      <c r="D53" s="2">
        <f t="shared" si="13"/>
        <v>28063279.649999999</v>
      </c>
      <c r="E53" s="19">
        <f t="shared" si="14"/>
        <v>5748178.3499999996</v>
      </c>
      <c r="F53" s="2">
        <f t="shared" si="15"/>
        <v>459854268.36999971</v>
      </c>
      <c r="G53" s="2">
        <f t="shared" si="16"/>
        <v>431790988.71999973</v>
      </c>
      <c r="H53" s="14"/>
      <c r="I53" s="16"/>
    </row>
    <row r="54" spans="1:9" x14ac:dyDescent="0.25">
      <c r="A54" s="21">
        <v>42556</v>
      </c>
      <c r="B54" s="1">
        <f t="shared" si="11"/>
        <v>30</v>
      </c>
      <c r="C54" s="4">
        <f t="shared" si="12"/>
        <v>33811458</v>
      </c>
      <c r="D54" s="2">
        <f t="shared" si="13"/>
        <v>28414070.640000001</v>
      </c>
      <c r="E54" s="19">
        <f t="shared" si="14"/>
        <v>5397387.3600000003</v>
      </c>
      <c r="F54" s="2">
        <f t="shared" si="15"/>
        <v>431790988.71999973</v>
      </c>
      <c r="G54" s="2">
        <f t="shared" si="16"/>
        <v>403376918.07999974</v>
      </c>
      <c r="H54" s="14"/>
      <c r="I54" s="16"/>
    </row>
    <row r="55" spans="1:9" x14ac:dyDescent="0.25">
      <c r="A55" s="21">
        <v>42587</v>
      </c>
      <c r="B55" s="1">
        <f t="shared" si="11"/>
        <v>30</v>
      </c>
      <c r="C55" s="4">
        <f t="shared" si="12"/>
        <v>33811458</v>
      </c>
      <c r="D55" s="2">
        <f t="shared" si="13"/>
        <v>28769246.52</v>
      </c>
      <c r="E55" s="19">
        <f t="shared" si="14"/>
        <v>5042211.4800000004</v>
      </c>
      <c r="F55" s="2">
        <f t="shared" si="15"/>
        <v>403376918.07999974</v>
      </c>
      <c r="G55" s="2">
        <f t="shared" si="16"/>
        <v>374607671.55999976</v>
      </c>
      <c r="H55" s="14"/>
      <c r="I55" s="16"/>
    </row>
    <row r="56" spans="1:9" x14ac:dyDescent="0.25">
      <c r="A56" s="21">
        <v>42618</v>
      </c>
      <c r="B56" s="1">
        <f t="shared" si="11"/>
        <v>30</v>
      </c>
      <c r="C56" s="4">
        <f t="shared" si="12"/>
        <v>33811458</v>
      </c>
      <c r="D56" s="2">
        <f t="shared" si="13"/>
        <v>29128862.109999999</v>
      </c>
      <c r="E56" s="19">
        <f t="shared" si="14"/>
        <v>4682595.8899999997</v>
      </c>
      <c r="F56" s="2">
        <f t="shared" si="15"/>
        <v>374607671.55999976</v>
      </c>
      <c r="G56" s="2">
        <f t="shared" si="16"/>
        <v>345478809.44999975</v>
      </c>
      <c r="H56" s="14"/>
      <c r="I56" s="16"/>
    </row>
    <row r="57" spans="1:9" x14ac:dyDescent="0.25">
      <c r="A57" s="21">
        <v>42648</v>
      </c>
      <c r="B57" s="1">
        <f t="shared" si="11"/>
        <v>30</v>
      </c>
      <c r="C57" s="4">
        <f t="shared" si="12"/>
        <v>33811458</v>
      </c>
      <c r="D57" s="2">
        <f t="shared" si="13"/>
        <v>29492972.879999999</v>
      </c>
      <c r="E57" s="19">
        <f t="shared" si="14"/>
        <v>4318485.12</v>
      </c>
      <c r="F57" s="2">
        <f t="shared" si="15"/>
        <v>345478809.44999975</v>
      </c>
      <c r="G57" s="2">
        <f t="shared" si="16"/>
        <v>315985836.56999975</v>
      </c>
      <c r="H57" s="14"/>
      <c r="I57" s="16"/>
    </row>
    <row r="58" spans="1:9" x14ac:dyDescent="0.25">
      <c r="A58" s="21">
        <v>42679</v>
      </c>
      <c r="B58" s="1">
        <f t="shared" si="11"/>
        <v>30</v>
      </c>
      <c r="C58" s="4">
        <f t="shared" si="12"/>
        <v>33811458</v>
      </c>
      <c r="D58" s="2">
        <f t="shared" si="13"/>
        <v>29861635.039999999</v>
      </c>
      <c r="E58" s="19">
        <f t="shared" si="14"/>
        <v>3949822.96</v>
      </c>
      <c r="F58" s="2">
        <f t="shared" si="15"/>
        <v>315985836.56999975</v>
      </c>
      <c r="G58" s="2">
        <f t="shared" si="16"/>
        <v>286124201.52999973</v>
      </c>
      <c r="H58" s="14"/>
      <c r="I58" s="16"/>
    </row>
    <row r="59" spans="1:9" x14ac:dyDescent="0.25">
      <c r="A59" s="21">
        <v>42709</v>
      </c>
      <c r="B59" s="1">
        <f t="shared" si="11"/>
        <v>30</v>
      </c>
      <c r="C59" s="4">
        <f t="shared" si="12"/>
        <v>33811458</v>
      </c>
      <c r="D59" s="2">
        <f t="shared" si="13"/>
        <v>30234905.48</v>
      </c>
      <c r="E59" s="19">
        <f t="shared" si="14"/>
        <v>3576552.52</v>
      </c>
      <c r="F59" s="2">
        <f t="shared" si="15"/>
        <v>286124201.52999973</v>
      </c>
      <c r="G59" s="2">
        <f t="shared" si="16"/>
        <v>255889296.04999974</v>
      </c>
      <c r="H59" s="14"/>
      <c r="I59" s="16"/>
    </row>
    <row r="60" spans="1:9" x14ac:dyDescent="0.25">
      <c r="A60" s="21">
        <v>42740</v>
      </c>
      <c r="B60" s="1">
        <f t="shared" si="11"/>
        <v>30</v>
      </c>
      <c r="C60" s="4">
        <f t="shared" si="12"/>
        <v>33811458</v>
      </c>
      <c r="D60" s="2">
        <f t="shared" si="13"/>
        <v>30612841.800000001</v>
      </c>
      <c r="E60" s="19">
        <f t="shared" si="14"/>
        <v>3198616.2</v>
      </c>
      <c r="F60" s="2">
        <f t="shared" si="15"/>
        <v>255889296.04999974</v>
      </c>
      <c r="G60" s="2">
        <f t="shared" si="16"/>
        <v>225276454.24999973</v>
      </c>
      <c r="H60" s="14"/>
      <c r="I60" s="16"/>
    </row>
    <row r="61" spans="1:9" x14ac:dyDescent="0.25">
      <c r="A61" s="21">
        <v>42771</v>
      </c>
      <c r="B61" s="1">
        <f t="shared" si="11"/>
        <v>30</v>
      </c>
      <c r="C61" s="4">
        <f t="shared" si="12"/>
        <v>33811458</v>
      </c>
      <c r="D61" s="2">
        <f t="shared" si="13"/>
        <v>30995502.32</v>
      </c>
      <c r="E61" s="19">
        <f t="shared" si="14"/>
        <v>2815955.68</v>
      </c>
      <c r="F61" s="2">
        <f t="shared" si="15"/>
        <v>225276454.24999973</v>
      </c>
      <c r="G61" s="2">
        <f t="shared" si="16"/>
        <v>194280951.92999974</v>
      </c>
      <c r="H61" s="14"/>
      <c r="I61" s="16"/>
    </row>
    <row r="62" spans="1:9" x14ac:dyDescent="0.25">
      <c r="A62" s="21">
        <v>42799</v>
      </c>
      <c r="B62" s="1">
        <f t="shared" si="11"/>
        <v>30</v>
      </c>
      <c r="C62" s="4">
        <f t="shared" si="12"/>
        <v>33811458</v>
      </c>
      <c r="D62" s="2">
        <f t="shared" si="13"/>
        <v>31382946.100000001</v>
      </c>
      <c r="E62" s="19">
        <f t="shared" si="14"/>
        <v>2428511.9</v>
      </c>
      <c r="F62" s="2">
        <f t="shared" si="15"/>
        <v>194280951.92999974</v>
      </c>
      <c r="G62" s="2">
        <f t="shared" si="16"/>
        <v>162898005.82999974</v>
      </c>
      <c r="H62" s="14"/>
      <c r="I62" s="16"/>
    </row>
    <row r="63" spans="1:9" x14ac:dyDescent="0.25">
      <c r="A63" s="21">
        <v>42830</v>
      </c>
      <c r="B63" s="1">
        <f t="shared" si="11"/>
        <v>30</v>
      </c>
      <c r="C63" s="4">
        <f t="shared" si="12"/>
        <v>33811458</v>
      </c>
      <c r="D63" s="2">
        <f t="shared" si="13"/>
        <v>31775232.93</v>
      </c>
      <c r="E63" s="19">
        <f t="shared" si="14"/>
        <v>2036225.07</v>
      </c>
      <c r="F63" s="2">
        <f t="shared" si="15"/>
        <v>162898005.82999974</v>
      </c>
      <c r="G63" s="2">
        <f t="shared" si="16"/>
        <v>131122772.89999974</v>
      </c>
      <c r="H63" s="14"/>
      <c r="I63" s="16"/>
    </row>
    <row r="64" spans="1:9" x14ac:dyDescent="0.25">
      <c r="A64" s="21">
        <v>42860</v>
      </c>
      <c r="B64" s="1">
        <f t="shared" si="11"/>
        <v>30</v>
      </c>
      <c r="C64" s="4">
        <f t="shared" si="12"/>
        <v>33811458</v>
      </c>
      <c r="D64" s="2">
        <f t="shared" si="13"/>
        <v>32172423.34</v>
      </c>
      <c r="E64" s="19">
        <f t="shared" si="14"/>
        <v>1639034.66</v>
      </c>
      <c r="F64" s="2">
        <f t="shared" si="15"/>
        <v>131122772.89999974</v>
      </c>
      <c r="G64" s="2">
        <f t="shared" si="16"/>
        <v>98950349.559999734</v>
      </c>
      <c r="H64" s="14"/>
      <c r="I64" s="16"/>
    </row>
    <row r="65" spans="1:9" x14ac:dyDescent="0.25">
      <c r="A65" s="21">
        <v>42891</v>
      </c>
      <c r="B65" s="1">
        <f t="shared" si="11"/>
        <v>30</v>
      </c>
      <c r="C65" s="4">
        <f t="shared" si="12"/>
        <v>33811458</v>
      </c>
      <c r="D65" s="2">
        <f t="shared" si="13"/>
        <v>32574578.629999999</v>
      </c>
      <c r="E65" s="19">
        <f t="shared" si="14"/>
        <v>1236879.3700000001</v>
      </c>
      <c r="F65" s="2">
        <f t="shared" si="15"/>
        <v>98950349.559999734</v>
      </c>
      <c r="G65" s="2">
        <f t="shared" si="16"/>
        <v>66375770.929999739</v>
      </c>
      <c r="H65" s="14"/>
      <c r="I65" s="16"/>
    </row>
    <row r="66" spans="1:9" x14ac:dyDescent="0.25">
      <c r="A66" s="21">
        <v>42921</v>
      </c>
      <c r="B66" s="1">
        <f t="shared" si="11"/>
        <v>30</v>
      </c>
      <c r="C66" s="4">
        <f t="shared" si="12"/>
        <v>33811458</v>
      </c>
      <c r="D66" s="2">
        <f t="shared" si="13"/>
        <v>32981760.859999999</v>
      </c>
      <c r="E66" s="19">
        <f t="shared" si="14"/>
        <v>829697.14</v>
      </c>
      <c r="F66" s="2">
        <f t="shared" si="15"/>
        <v>66375770.929999739</v>
      </c>
      <c r="G66" s="2">
        <f t="shared" si="16"/>
        <v>33394010.06999974</v>
      </c>
      <c r="H66" s="14"/>
      <c r="I66" s="16"/>
    </row>
    <row r="67" spans="1:9" x14ac:dyDescent="0.25">
      <c r="A67" s="21">
        <v>42952</v>
      </c>
      <c r="B67" s="1">
        <f t="shared" si="11"/>
        <v>30</v>
      </c>
      <c r="C67" s="4">
        <f t="shared" si="12"/>
        <v>33811458</v>
      </c>
      <c r="D67" s="2">
        <f t="shared" si="13"/>
        <v>33394010.06999974</v>
      </c>
      <c r="E67" s="19">
        <v>417447.93000026152</v>
      </c>
      <c r="F67" s="2">
        <f t="shared" si="15"/>
        <v>33394010.06999974</v>
      </c>
      <c r="G67" s="2">
        <f t="shared" si="16"/>
        <v>0</v>
      </c>
      <c r="H67" s="14"/>
      <c r="I67" s="16"/>
    </row>
  </sheetData>
  <pageMargins left="0.7" right="0.7" top="0.75" bottom="0.75" header="0.3" footer="0.3"/>
  <pageSetup orientation="portrait" r:id="rId1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4F3372-3014-4A37-A23C-12237FAF6C5D}">
  <dimension ref="A1:U3"/>
  <sheetViews>
    <sheetView workbookViewId="0">
      <selection activeCell="D17" sqref="D17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131.710937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9" t="s">
        <v>24</v>
      </c>
      <c r="H2" s="9" t="s">
        <v>13</v>
      </c>
      <c r="I2" s="9" t="s">
        <v>0</v>
      </c>
      <c r="J2" s="9" t="s">
        <v>42</v>
      </c>
      <c r="K2" s="9" t="s">
        <v>25</v>
      </c>
      <c r="L2" s="9" t="s">
        <v>26</v>
      </c>
      <c r="M2" s="9" t="s">
        <v>27</v>
      </c>
      <c r="N2" s="20" t="s">
        <v>29</v>
      </c>
      <c r="O2" s="20" t="s">
        <v>343</v>
      </c>
      <c r="P2" s="20" t="s">
        <v>45</v>
      </c>
      <c r="Q2" s="20" t="s">
        <v>46</v>
      </c>
      <c r="R2" s="20" t="s">
        <v>343</v>
      </c>
      <c r="S2" s="20" t="s">
        <v>45</v>
      </c>
      <c r="T2" s="20" t="s">
        <v>46</v>
      </c>
      <c r="U2" s="9" t="s">
        <v>360</v>
      </c>
    </row>
    <row r="3" spans="1:21" x14ac:dyDescent="0.25">
      <c r="A3" s="12" t="s">
        <v>0</v>
      </c>
      <c r="B3" s="7" t="s">
        <v>9</v>
      </c>
      <c r="C3" s="7" t="s">
        <v>39</v>
      </c>
      <c r="D3" s="8" t="s">
        <v>40</v>
      </c>
      <c r="E3" s="8" t="s">
        <v>23</v>
      </c>
      <c r="F3" s="8" t="s">
        <v>41</v>
      </c>
      <c r="G3" s="9" t="s">
        <v>24</v>
      </c>
      <c r="H3" s="9" t="s">
        <v>13</v>
      </c>
      <c r="I3" s="9" t="s">
        <v>0</v>
      </c>
      <c r="J3" s="9" t="s">
        <v>42</v>
      </c>
      <c r="K3" s="9" t="s">
        <v>31</v>
      </c>
      <c r="L3" s="9" t="s">
        <v>26</v>
      </c>
      <c r="M3" s="9" t="s">
        <v>27</v>
      </c>
      <c r="N3" s="20" t="s">
        <v>29</v>
      </c>
      <c r="O3" s="20" t="s">
        <v>343</v>
      </c>
      <c r="P3" s="20" t="s">
        <v>45</v>
      </c>
      <c r="Q3" s="20" t="s">
        <v>46</v>
      </c>
      <c r="R3" s="20" t="s">
        <v>343</v>
      </c>
      <c r="S3" s="20" t="s">
        <v>45</v>
      </c>
      <c r="T3" s="20" t="s">
        <v>46</v>
      </c>
      <c r="U3" s="9" t="s">
        <v>361</v>
      </c>
    </row>
  </sheetData>
  <pageMargins left="0.7" right="0.7" top="0.75" bottom="0.75" header="0.3" footer="0.3"/>
  <pageSetup orientation="portrait" r:id="rId1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77B050-2B6C-4518-B1DB-00F633455DB4}">
  <dimension ref="A1:J59"/>
  <sheetViews>
    <sheetView zoomScale="96" zoomScaleNormal="100" workbookViewId="0">
      <pane ySplit="3" topLeftCell="A4" activePane="bottomLeft" state="frozen"/>
      <selection activeCell="S3" sqref="S3"/>
      <selection pane="bottomLeft" activeCell="D1" sqref="D1:J2"/>
    </sheetView>
  </sheetViews>
  <sheetFormatPr defaultRowHeight="15" x14ac:dyDescent="0.25"/>
  <cols>
    <col min="1" max="1" width="16.5703125" bestFit="1" customWidth="1"/>
    <col min="2" max="2" width="13" bestFit="1" customWidth="1"/>
    <col min="3" max="5" width="15.140625" bestFit="1" customWidth="1"/>
    <col min="6" max="7" width="16.28515625" bestFit="1" customWidth="1"/>
    <col min="8" max="8" width="15.7109375" bestFit="1" customWidth="1"/>
    <col min="9" max="9" width="10" bestFit="1" customWidth="1"/>
    <col min="10" max="10" width="14.7109375" bestFit="1" customWidth="1"/>
  </cols>
  <sheetData>
    <row r="1" spans="1:10" x14ac:dyDescent="0.25">
      <c r="A1" s="17" t="s">
        <v>33</v>
      </c>
      <c r="B1" s="78">
        <v>41855</v>
      </c>
      <c r="C1" s="17" t="s">
        <v>355</v>
      </c>
      <c r="D1" s="124" t="s">
        <v>347</v>
      </c>
      <c r="E1" s="124" t="s">
        <v>354</v>
      </c>
      <c r="F1" s="124" t="s">
        <v>345</v>
      </c>
      <c r="G1" s="124" t="s">
        <v>349</v>
      </c>
      <c r="H1" s="124" t="s">
        <v>350</v>
      </c>
      <c r="I1" s="132" t="s">
        <v>346</v>
      </c>
      <c r="J1" s="132" t="s">
        <v>344</v>
      </c>
    </row>
    <row r="2" spans="1:10" x14ac:dyDescent="0.25">
      <c r="A2" s="17" t="s">
        <v>353</v>
      </c>
      <c r="B2" s="18">
        <v>0.15</v>
      </c>
      <c r="C2" s="17">
        <f>ROUNDUP(34326798.9648496,0)</f>
        <v>34326799</v>
      </c>
      <c r="D2" s="125">
        <v>42416</v>
      </c>
      <c r="E2" s="126">
        <f>ROUNDUP(33631373.4583333,0)</f>
        <v>33631374</v>
      </c>
      <c r="F2" s="127">
        <v>5600000</v>
      </c>
      <c r="G2" s="124">
        <f>D2-A41</f>
        <v>11</v>
      </c>
      <c r="H2" s="124">
        <f>A42-D2</f>
        <v>18</v>
      </c>
      <c r="I2" s="134">
        <v>42416</v>
      </c>
      <c r="J2" s="136">
        <v>5600000</v>
      </c>
    </row>
    <row r="3" spans="1:10" x14ac:dyDescent="0.25">
      <c r="A3" s="122" t="s">
        <v>17</v>
      </c>
      <c r="B3" s="122" t="s">
        <v>18</v>
      </c>
      <c r="C3" s="122" t="s">
        <v>14</v>
      </c>
      <c r="D3" s="122" t="s">
        <v>22</v>
      </c>
      <c r="E3" s="122" t="s">
        <v>21</v>
      </c>
      <c r="F3" s="122" t="s">
        <v>19</v>
      </c>
      <c r="G3" s="122" t="s">
        <v>20</v>
      </c>
      <c r="H3" s="123" t="s">
        <v>35</v>
      </c>
      <c r="I3" s="123" t="s">
        <v>36</v>
      </c>
    </row>
    <row r="4" spans="1:10" x14ac:dyDescent="0.25">
      <c r="A4" s="29">
        <v>41856</v>
      </c>
      <c r="B4" s="1">
        <f>_xlfn.DAYS(A4,B1)</f>
        <v>1</v>
      </c>
      <c r="C4" s="10" t="s">
        <v>28</v>
      </c>
      <c r="D4" s="3" t="s">
        <v>15</v>
      </c>
      <c r="E4" s="19">
        <f>ROUNDUP(F4*$B$2*B4/365,0)</f>
        <v>406850</v>
      </c>
      <c r="F4" s="2">
        <v>990000000</v>
      </c>
      <c r="G4" s="2">
        <f>F4-D4</f>
        <v>990000000</v>
      </c>
      <c r="H4" s="14">
        <f>F4*$B$2*B4/365</f>
        <v>406849.31506849313</v>
      </c>
      <c r="I4" s="16">
        <f>H4-E4</f>
        <v>-0.68493150686845183</v>
      </c>
    </row>
    <row r="5" spans="1:10" x14ac:dyDescent="0.25">
      <c r="A5" s="29">
        <v>41887</v>
      </c>
      <c r="B5" s="1">
        <f>_xlfn.DAYS(A5,A4)</f>
        <v>31</v>
      </c>
      <c r="C5" s="4">
        <f>$C$2</f>
        <v>34326799</v>
      </c>
      <c r="D5" s="2">
        <f t="shared" ref="D5:D40" si="0">C5-E5</f>
        <v>21714470.23</v>
      </c>
      <c r="E5" s="19">
        <f>ROUND(F5*$B$2*B5/365,2)</f>
        <v>12612328.77</v>
      </c>
      <c r="F5" s="2">
        <f>G4</f>
        <v>990000000</v>
      </c>
      <c r="G5" s="2">
        <f>F5-D5</f>
        <v>968285529.76999998</v>
      </c>
      <c r="H5" s="14">
        <f t="shared" ref="H5:H33" si="1">F5*$B$2*B5/365</f>
        <v>12612328.767123288</v>
      </c>
      <c r="I5" s="16">
        <f t="shared" ref="I5:I33" si="2">H5-E5</f>
        <v>-2.8767120093107224E-3</v>
      </c>
    </row>
    <row r="6" spans="1:10" x14ac:dyDescent="0.25">
      <c r="A6" s="29">
        <v>41917</v>
      </c>
      <c r="B6" s="1">
        <f t="shared" ref="B6:B40" si="3">_xlfn.DAYS(A6,A5)</f>
        <v>30</v>
      </c>
      <c r="C6" s="4">
        <f t="shared" ref="C6:C41" si="4">$C$2</f>
        <v>34326799</v>
      </c>
      <c r="D6" s="2">
        <f t="shared" si="0"/>
        <v>22389032.189999998</v>
      </c>
      <c r="E6" s="19">
        <f t="shared" ref="E6:E39" si="5">ROUND(F6*$B$2*B6/365,2)</f>
        <v>11937766.810000001</v>
      </c>
      <c r="F6" s="2">
        <f t="shared" ref="F6:F40" si="6">G5</f>
        <v>968285529.76999998</v>
      </c>
      <c r="G6" s="2">
        <f t="shared" ref="G6:G43" si="7">F6-D6</f>
        <v>945896497.57999992</v>
      </c>
      <c r="H6" s="14">
        <f t="shared" si="1"/>
        <v>11937766.805383561</v>
      </c>
      <c r="I6" s="16">
        <f t="shared" si="2"/>
        <v>-4.6164393424987793E-3</v>
      </c>
    </row>
    <row r="7" spans="1:10" x14ac:dyDescent="0.25">
      <c r="A7" s="29">
        <v>41948</v>
      </c>
      <c r="B7" s="1">
        <f t="shared" si="3"/>
        <v>31</v>
      </c>
      <c r="C7" s="4">
        <f t="shared" si="4"/>
        <v>34326799</v>
      </c>
      <c r="D7" s="2">
        <f t="shared" si="0"/>
        <v>22276336.77</v>
      </c>
      <c r="E7" s="19">
        <f t="shared" si="5"/>
        <v>12050462.23</v>
      </c>
      <c r="F7" s="2">
        <f t="shared" si="6"/>
        <v>945896497.57999992</v>
      </c>
      <c r="G7" s="2">
        <f t="shared" si="7"/>
        <v>923620160.80999994</v>
      </c>
      <c r="H7" s="14">
        <f t="shared" si="1"/>
        <v>12050462.229443835</v>
      </c>
      <c r="I7" s="16">
        <f t="shared" si="2"/>
        <v>-5.5616535246372223E-4</v>
      </c>
    </row>
    <row r="8" spans="1:10" x14ac:dyDescent="0.25">
      <c r="A8" s="29">
        <v>41978</v>
      </c>
      <c r="B8" s="1">
        <f t="shared" si="3"/>
        <v>30</v>
      </c>
      <c r="C8" s="4">
        <f t="shared" si="4"/>
        <v>34326799</v>
      </c>
      <c r="D8" s="2">
        <f t="shared" si="0"/>
        <v>22939701.130000003</v>
      </c>
      <c r="E8" s="19">
        <f t="shared" si="5"/>
        <v>11387097.869999999</v>
      </c>
      <c r="F8" s="2">
        <f t="shared" si="6"/>
        <v>923620160.80999994</v>
      </c>
      <c r="G8" s="2">
        <f t="shared" si="7"/>
        <v>900680459.67999995</v>
      </c>
      <c r="H8" s="14">
        <f t="shared" si="1"/>
        <v>11387097.872999998</v>
      </c>
      <c r="I8" s="16">
        <f t="shared" si="2"/>
        <v>2.9999986290931702E-3</v>
      </c>
    </row>
    <row r="9" spans="1:10" x14ac:dyDescent="0.25">
      <c r="A9" s="29">
        <v>42009</v>
      </c>
      <c r="B9" s="1">
        <f t="shared" si="3"/>
        <v>31</v>
      </c>
      <c r="C9" s="4">
        <f t="shared" si="4"/>
        <v>34326799</v>
      </c>
      <c r="D9" s="2">
        <f t="shared" si="0"/>
        <v>22852376.710000001</v>
      </c>
      <c r="E9" s="19">
        <f t="shared" si="5"/>
        <v>11474422.289999999</v>
      </c>
      <c r="F9" s="2">
        <f t="shared" si="6"/>
        <v>900680459.67999995</v>
      </c>
      <c r="G9" s="2">
        <f t="shared" si="7"/>
        <v>877828082.96999991</v>
      </c>
      <c r="H9" s="14">
        <f t="shared" si="1"/>
        <v>11474422.294553423</v>
      </c>
      <c r="I9" s="16">
        <f t="shared" si="2"/>
        <v>4.5534241944551468E-3</v>
      </c>
    </row>
    <row r="10" spans="1:10" x14ac:dyDescent="0.25">
      <c r="A10" s="29">
        <v>42040</v>
      </c>
      <c r="B10" s="1">
        <f t="shared" si="3"/>
        <v>31</v>
      </c>
      <c r="C10" s="4">
        <f t="shared" si="4"/>
        <v>34326799</v>
      </c>
      <c r="D10" s="2">
        <f t="shared" si="0"/>
        <v>23143509.719999999</v>
      </c>
      <c r="E10" s="19">
        <f t="shared" si="5"/>
        <v>11183289.279999999</v>
      </c>
      <c r="F10" s="2">
        <f t="shared" si="6"/>
        <v>877828082.96999991</v>
      </c>
      <c r="G10" s="2">
        <f t="shared" si="7"/>
        <v>854684573.24999988</v>
      </c>
      <c r="H10" s="14">
        <f t="shared" si="1"/>
        <v>11183289.276193149</v>
      </c>
      <c r="I10" s="16">
        <f t="shared" si="2"/>
        <v>-3.80684994161129E-3</v>
      </c>
    </row>
    <row r="11" spans="1:10" x14ac:dyDescent="0.25">
      <c r="A11" s="29">
        <v>42068</v>
      </c>
      <c r="B11" s="1">
        <f t="shared" si="3"/>
        <v>28</v>
      </c>
      <c r="C11" s="4">
        <f t="shared" si="4"/>
        <v>34326799</v>
      </c>
      <c r="D11" s="2">
        <f t="shared" si="0"/>
        <v>24492072.399999999</v>
      </c>
      <c r="E11" s="19">
        <f t="shared" si="5"/>
        <v>9834726.5999999996</v>
      </c>
      <c r="F11" s="2">
        <f t="shared" si="6"/>
        <v>854684573.24999988</v>
      </c>
      <c r="G11" s="2">
        <f t="shared" si="7"/>
        <v>830192500.8499999</v>
      </c>
      <c r="H11" s="14">
        <f t="shared" si="1"/>
        <v>9834726.5963013694</v>
      </c>
      <c r="I11" s="16">
        <f t="shared" si="2"/>
        <v>-3.6986302584409714E-3</v>
      </c>
    </row>
    <row r="12" spans="1:10" x14ac:dyDescent="0.25">
      <c r="A12" s="29">
        <v>42099</v>
      </c>
      <c r="B12" s="1">
        <f t="shared" si="3"/>
        <v>31</v>
      </c>
      <c r="C12" s="4">
        <f t="shared" si="4"/>
        <v>34326799</v>
      </c>
      <c r="D12" s="2">
        <f t="shared" si="0"/>
        <v>23750373.990000002</v>
      </c>
      <c r="E12" s="19">
        <f t="shared" si="5"/>
        <v>10576425.01</v>
      </c>
      <c r="F12" s="2">
        <f t="shared" si="6"/>
        <v>830192500.8499999</v>
      </c>
      <c r="G12" s="2">
        <f t="shared" si="7"/>
        <v>806442126.8599999</v>
      </c>
      <c r="H12" s="14">
        <f t="shared" si="1"/>
        <v>10576425.010828765</v>
      </c>
      <c r="I12" s="16">
        <f t="shared" si="2"/>
        <v>8.2876533269882202E-4</v>
      </c>
    </row>
    <row r="13" spans="1:10" x14ac:dyDescent="0.25">
      <c r="A13" s="29">
        <v>42129</v>
      </c>
      <c r="B13" s="1">
        <f t="shared" si="3"/>
        <v>30</v>
      </c>
      <c r="C13" s="4">
        <f t="shared" si="4"/>
        <v>34326799</v>
      </c>
      <c r="D13" s="2">
        <f t="shared" si="0"/>
        <v>24384361.82</v>
      </c>
      <c r="E13" s="19">
        <f t="shared" si="5"/>
        <v>9942437.1799999997</v>
      </c>
      <c r="F13" s="2">
        <f t="shared" si="6"/>
        <v>806442126.8599999</v>
      </c>
      <c r="G13" s="2">
        <f t="shared" si="7"/>
        <v>782057765.03999984</v>
      </c>
      <c r="H13" s="14">
        <f t="shared" si="1"/>
        <v>9942437.1804657523</v>
      </c>
      <c r="I13" s="16">
        <f t="shared" si="2"/>
        <v>4.6575255692005157E-4</v>
      </c>
    </row>
    <row r="14" spans="1:10" x14ac:dyDescent="0.25">
      <c r="A14" s="29">
        <v>42160</v>
      </c>
      <c r="B14" s="1">
        <f t="shared" si="3"/>
        <v>31</v>
      </c>
      <c r="C14" s="4">
        <f t="shared" si="4"/>
        <v>34326799</v>
      </c>
      <c r="D14" s="2">
        <f t="shared" si="0"/>
        <v>24363597.34</v>
      </c>
      <c r="E14" s="19">
        <f t="shared" si="5"/>
        <v>9963201.6600000001</v>
      </c>
      <c r="F14" s="2">
        <f t="shared" si="6"/>
        <v>782057765.03999984</v>
      </c>
      <c r="G14" s="2">
        <f t="shared" si="7"/>
        <v>757694167.69999981</v>
      </c>
      <c r="H14" s="14">
        <f t="shared" si="1"/>
        <v>9963201.6642082166</v>
      </c>
      <c r="I14" s="16">
        <f t="shared" si="2"/>
        <v>4.2082164436578751E-3</v>
      </c>
    </row>
    <row r="15" spans="1:10" x14ac:dyDescent="0.25">
      <c r="A15" s="29">
        <v>42190</v>
      </c>
      <c r="B15" s="1">
        <f t="shared" si="3"/>
        <v>30</v>
      </c>
      <c r="C15" s="4">
        <f t="shared" si="4"/>
        <v>34326799</v>
      </c>
      <c r="D15" s="2">
        <f t="shared" si="0"/>
        <v>24985364.060000002</v>
      </c>
      <c r="E15" s="19">
        <f t="shared" si="5"/>
        <v>9341434.9399999995</v>
      </c>
      <c r="F15" s="2">
        <f t="shared" si="6"/>
        <v>757694167.69999981</v>
      </c>
      <c r="G15" s="2">
        <f t="shared" si="7"/>
        <v>732708803.63999987</v>
      </c>
      <c r="H15" s="14">
        <f t="shared" si="1"/>
        <v>9341434.9442465734</v>
      </c>
      <c r="I15" s="16">
        <f t="shared" si="2"/>
        <v>4.2465738952159882E-3</v>
      </c>
    </row>
    <row r="16" spans="1:10" x14ac:dyDescent="0.25">
      <c r="A16" s="29">
        <v>42221</v>
      </c>
      <c r="B16" s="1">
        <f t="shared" si="3"/>
        <v>31</v>
      </c>
      <c r="C16" s="4">
        <f t="shared" si="4"/>
        <v>34326799</v>
      </c>
      <c r="D16" s="2">
        <f t="shared" si="0"/>
        <v>24992289.579999998</v>
      </c>
      <c r="E16" s="19">
        <f t="shared" si="5"/>
        <v>9334509.4199999999</v>
      </c>
      <c r="F16" s="2">
        <f t="shared" si="6"/>
        <v>732708803.63999987</v>
      </c>
      <c r="G16" s="2">
        <f t="shared" si="7"/>
        <v>707716514.05999982</v>
      </c>
      <c r="H16" s="14">
        <f t="shared" si="1"/>
        <v>9334509.4162356146</v>
      </c>
      <c r="I16" s="16">
        <f t="shared" si="2"/>
        <v>-3.7643853574991226E-3</v>
      </c>
    </row>
    <row r="17" spans="1:9" x14ac:dyDescent="0.25">
      <c r="A17" s="29">
        <v>42252</v>
      </c>
      <c r="B17" s="1">
        <f t="shared" si="3"/>
        <v>31</v>
      </c>
      <c r="C17" s="4">
        <f t="shared" si="4"/>
        <v>34326799</v>
      </c>
      <c r="D17" s="2">
        <f t="shared" si="0"/>
        <v>25310684.509999998</v>
      </c>
      <c r="E17" s="19">
        <f t="shared" si="5"/>
        <v>9016114.4900000002</v>
      </c>
      <c r="F17" s="2">
        <f t="shared" si="6"/>
        <v>707716514.05999982</v>
      </c>
      <c r="G17" s="2">
        <f t="shared" si="7"/>
        <v>682405829.54999983</v>
      </c>
      <c r="H17" s="14">
        <f t="shared" si="1"/>
        <v>9016114.494189037</v>
      </c>
      <c r="I17" s="16">
        <f t="shared" si="2"/>
        <v>4.1890367865562439E-3</v>
      </c>
    </row>
    <row r="18" spans="1:9" x14ac:dyDescent="0.25">
      <c r="A18" s="29">
        <v>42282</v>
      </c>
      <c r="B18" s="1">
        <f t="shared" si="3"/>
        <v>30</v>
      </c>
      <c r="C18" s="4">
        <f t="shared" si="4"/>
        <v>34326799</v>
      </c>
      <c r="D18" s="2">
        <f t="shared" si="0"/>
        <v>25913576.439999998</v>
      </c>
      <c r="E18" s="19">
        <f t="shared" si="5"/>
        <v>8413222.5600000005</v>
      </c>
      <c r="F18" s="2">
        <f t="shared" si="6"/>
        <v>682405829.54999983</v>
      </c>
      <c r="G18" s="2">
        <f t="shared" si="7"/>
        <v>656492253.1099999</v>
      </c>
      <c r="H18" s="14">
        <f t="shared" si="1"/>
        <v>8413222.5560958888</v>
      </c>
      <c r="I18" s="16">
        <f t="shared" si="2"/>
        <v>-3.9041116833686829E-3</v>
      </c>
    </row>
    <row r="19" spans="1:9" x14ac:dyDescent="0.25">
      <c r="A19" s="29">
        <v>42313</v>
      </c>
      <c r="B19" s="1">
        <f t="shared" si="3"/>
        <v>31</v>
      </c>
      <c r="C19" s="4">
        <f t="shared" si="4"/>
        <v>34326799</v>
      </c>
      <c r="D19" s="2">
        <f t="shared" si="0"/>
        <v>25963267.559999999</v>
      </c>
      <c r="E19" s="19">
        <f t="shared" si="5"/>
        <v>8363531.4400000004</v>
      </c>
      <c r="F19" s="2">
        <f t="shared" si="6"/>
        <v>656492253.1099999</v>
      </c>
      <c r="G19" s="2">
        <f t="shared" si="7"/>
        <v>630528985.54999995</v>
      </c>
      <c r="H19" s="14">
        <f t="shared" si="1"/>
        <v>8363531.4437301364</v>
      </c>
      <c r="I19" s="16">
        <f t="shared" si="2"/>
        <v>3.7301359698176384E-3</v>
      </c>
    </row>
    <row r="20" spans="1:9" x14ac:dyDescent="0.25">
      <c r="A20" s="29">
        <v>42343</v>
      </c>
      <c r="B20" s="1">
        <f t="shared" si="3"/>
        <v>30</v>
      </c>
      <c r="C20" s="4">
        <f t="shared" si="4"/>
        <v>34326799</v>
      </c>
      <c r="D20" s="2">
        <f t="shared" si="0"/>
        <v>26553153.969999999</v>
      </c>
      <c r="E20" s="19">
        <f t="shared" si="5"/>
        <v>7773645.0300000003</v>
      </c>
      <c r="F20" s="2">
        <f t="shared" si="6"/>
        <v>630528985.54999995</v>
      </c>
      <c r="G20" s="2">
        <f t="shared" si="7"/>
        <v>603975831.57999992</v>
      </c>
      <c r="H20" s="14">
        <f t="shared" si="1"/>
        <v>7773645.0273287669</v>
      </c>
      <c r="I20" s="16">
        <f t="shared" si="2"/>
        <v>-2.6712333783507347E-3</v>
      </c>
    </row>
    <row r="21" spans="1:9" x14ac:dyDescent="0.25">
      <c r="A21" s="29">
        <v>42374</v>
      </c>
      <c r="B21" s="1">
        <f t="shared" si="3"/>
        <v>31</v>
      </c>
      <c r="C21" s="4">
        <f t="shared" si="4"/>
        <v>34326799</v>
      </c>
      <c r="D21" s="2">
        <f t="shared" si="0"/>
        <v>26632312.379999999</v>
      </c>
      <c r="E21" s="19">
        <f t="shared" si="5"/>
        <v>7694486.6200000001</v>
      </c>
      <c r="F21" s="2">
        <f t="shared" si="6"/>
        <v>603975831.57999992</v>
      </c>
      <c r="G21" s="2">
        <f t="shared" si="7"/>
        <v>577343519.19999993</v>
      </c>
      <c r="H21" s="14">
        <f t="shared" si="1"/>
        <v>7694486.6214986295</v>
      </c>
      <c r="I21" s="16">
        <f t="shared" si="2"/>
        <v>1.4986293390393257E-3</v>
      </c>
    </row>
    <row r="22" spans="1:9" x14ac:dyDescent="0.25">
      <c r="A22" s="29">
        <v>42405</v>
      </c>
      <c r="B22" s="1">
        <f t="shared" si="3"/>
        <v>31</v>
      </c>
      <c r="C22" s="4">
        <f t="shared" si="4"/>
        <v>34326799</v>
      </c>
      <c r="D22" s="2">
        <f t="shared" si="0"/>
        <v>26971600.740000002</v>
      </c>
      <c r="E22" s="19">
        <f t="shared" si="5"/>
        <v>7355198.2599999998</v>
      </c>
      <c r="F22" s="2">
        <f t="shared" si="6"/>
        <v>577343519.19999993</v>
      </c>
      <c r="G22" s="2">
        <f t="shared" si="7"/>
        <v>550371918.45999992</v>
      </c>
      <c r="H22" s="14">
        <f t="shared" si="1"/>
        <v>7355198.258301368</v>
      </c>
      <c r="I22" s="16">
        <f t="shared" si="2"/>
        <v>-1.6986317932605743E-3</v>
      </c>
    </row>
    <row r="23" spans="1:9" x14ac:dyDescent="0.25">
      <c r="A23" s="29">
        <v>42434</v>
      </c>
      <c r="B23" s="1">
        <f t="shared" si="3"/>
        <v>29</v>
      </c>
      <c r="C23" s="4">
        <f t="shared" si="4"/>
        <v>34326799</v>
      </c>
      <c r="D23" s="2">
        <f t="shared" si="0"/>
        <v>27767572.030000001</v>
      </c>
      <c r="E23" s="19">
        <f t="shared" si="5"/>
        <v>6559226.9699999997</v>
      </c>
      <c r="F23" s="2">
        <f t="shared" si="6"/>
        <v>550371918.45999992</v>
      </c>
      <c r="G23" s="2">
        <f t="shared" si="7"/>
        <v>522604346.42999995</v>
      </c>
      <c r="H23" s="14">
        <f t="shared" si="1"/>
        <v>6559226.9734273953</v>
      </c>
      <c r="I23" s="16">
        <f t="shared" si="2"/>
        <v>3.4273955971002579E-3</v>
      </c>
    </row>
    <row r="24" spans="1:9" x14ac:dyDescent="0.25">
      <c r="A24" s="29">
        <v>42465</v>
      </c>
      <c r="B24" s="1">
        <f t="shared" si="3"/>
        <v>31</v>
      </c>
      <c r="C24" s="4">
        <f t="shared" si="4"/>
        <v>34326799</v>
      </c>
      <c r="D24" s="2">
        <f t="shared" si="0"/>
        <v>27668962.809999999</v>
      </c>
      <c r="E24" s="19">
        <f t="shared" si="5"/>
        <v>6657836.1900000004</v>
      </c>
      <c r="F24" s="2">
        <f t="shared" si="6"/>
        <v>522604346.42999995</v>
      </c>
      <c r="G24" s="2">
        <f t="shared" si="7"/>
        <v>494935383.61999995</v>
      </c>
      <c r="H24" s="14">
        <f t="shared" si="1"/>
        <v>6657836.1942452053</v>
      </c>
      <c r="I24" s="16">
        <f t="shared" si="2"/>
        <v>4.2452048510313034E-3</v>
      </c>
    </row>
    <row r="25" spans="1:9" x14ac:dyDescent="0.25">
      <c r="A25" s="29">
        <v>42495</v>
      </c>
      <c r="B25" s="1">
        <f t="shared" si="3"/>
        <v>30</v>
      </c>
      <c r="C25" s="4">
        <f t="shared" si="4"/>
        <v>34326799</v>
      </c>
      <c r="D25" s="2">
        <f t="shared" si="0"/>
        <v>28224855.91</v>
      </c>
      <c r="E25" s="19">
        <f t="shared" si="5"/>
        <v>6101943.0899999999</v>
      </c>
      <c r="F25" s="2">
        <f t="shared" si="6"/>
        <v>494935383.61999995</v>
      </c>
      <c r="G25" s="2">
        <f t="shared" si="7"/>
        <v>466710527.70999992</v>
      </c>
      <c r="H25" s="14">
        <f t="shared" si="1"/>
        <v>6101943.0857260264</v>
      </c>
      <c r="I25" s="16">
        <f t="shared" si="2"/>
        <v>-4.2739734053611755E-3</v>
      </c>
    </row>
    <row r="26" spans="1:9" x14ac:dyDescent="0.25">
      <c r="A26" s="29">
        <v>42526</v>
      </c>
      <c r="B26" s="1">
        <f t="shared" si="3"/>
        <v>31</v>
      </c>
      <c r="C26" s="4">
        <f t="shared" si="4"/>
        <v>34326799</v>
      </c>
      <c r="D26" s="2">
        <f t="shared" si="0"/>
        <v>28381034.740000002</v>
      </c>
      <c r="E26" s="19">
        <f t="shared" si="5"/>
        <v>5945764.2599999998</v>
      </c>
      <c r="F26" s="2">
        <f t="shared" si="6"/>
        <v>466710527.70999992</v>
      </c>
      <c r="G26" s="2">
        <f t="shared" si="7"/>
        <v>438329492.96999991</v>
      </c>
      <c r="H26" s="14">
        <f t="shared" si="1"/>
        <v>5945764.2571273958</v>
      </c>
      <c r="I26" s="16">
        <f t="shared" si="2"/>
        <v>-2.8726039454340935E-3</v>
      </c>
    </row>
    <row r="27" spans="1:9" x14ac:dyDescent="0.25">
      <c r="A27" s="29">
        <v>42556</v>
      </c>
      <c r="B27" s="1">
        <f t="shared" si="3"/>
        <v>30</v>
      </c>
      <c r="C27" s="4">
        <f t="shared" si="4"/>
        <v>34326799</v>
      </c>
      <c r="D27" s="2">
        <f t="shared" si="0"/>
        <v>28922736.759999998</v>
      </c>
      <c r="E27" s="19">
        <f t="shared" si="5"/>
        <v>5404062.2400000002</v>
      </c>
      <c r="F27" s="2">
        <f t="shared" si="6"/>
        <v>438329492.96999991</v>
      </c>
      <c r="G27" s="2">
        <f t="shared" si="7"/>
        <v>409406756.20999992</v>
      </c>
      <c r="H27" s="14">
        <f t="shared" si="1"/>
        <v>5404062.2420958895</v>
      </c>
      <c r="I27" s="16">
        <f t="shared" si="2"/>
        <v>2.0958893001079559E-3</v>
      </c>
    </row>
    <row r="28" spans="1:9" x14ac:dyDescent="0.25">
      <c r="A28" s="29">
        <v>42587</v>
      </c>
      <c r="B28" s="1">
        <f t="shared" si="3"/>
        <v>31</v>
      </c>
      <c r="C28" s="4">
        <f t="shared" si="4"/>
        <v>34326799</v>
      </c>
      <c r="D28" s="2">
        <f t="shared" si="0"/>
        <v>29111069.09</v>
      </c>
      <c r="E28" s="19">
        <f t="shared" si="5"/>
        <v>5215729.91</v>
      </c>
      <c r="F28" s="2">
        <f t="shared" si="6"/>
        <v>409406756.20999992</v>
      </c>
      <c r="G28" s="2">
        <f t="shared" si="7"/>
        <v>380295687.11999995</v>
      </c>
      <c r="H28" s="14">
        <f t="shared" si="1"/>
        <v>5215729.9078808213</v>
      </c>
      <c r="I28" s="16">
        <f t="shared" si="2"/>
        <v>-2.1191788837313652E-3</v>
      </c>
    </row>
    <row r="29" spans="1:9" x14ac:dyDescent="0.25">
      <c r="A29" s="29">
        <v>42618</v>
      </c>
      <c r="B29" s="1">
        <f t="shared" si="3"/>
        <v>31</v>
      </c>
      <c r="C29" s="4">
        <f t="shared" si="4"/>
        <v>34326799</v>
      </c>
      <c r="D29" s="2">
        <f t="shared" si="0"/>
        <v>29481936.140000001</v>
      </c>
      <c r="E29" s="19">
        <f t="shared" si="5"/>
        <v>4844862.8600000003</v>
      </c>
      <c r="F29" s="2">
        <f t="shared" si="6"/>
        <v>380295687.11999995</v>
      </c>
      <c r="G29" s="2">
        <f t="shared" si="7"/>
        <v>350813750.97999996</v>
      </c>
      <c r="H29" s="14">
        <f t="shared" si="1"/>
        <v>4844862.8633095883</v>
      </c>
      <c r="I29" s="16">
        <f t="shared" si="2"/>
        <v>3.3095879480242729E-3</v>
      </c>
    </row>
    <row r="30" spans="1:9" x14ac:dyDescent="0.25">
      <c r="A30" s="29">
        <v>42648</v>
      </c>
      <c r="B30" s="1">
        <f t="shared" si="3"/>
        <v>30</v>
      </c>
      <c r="C30" s="4">
        <f t="shared" si="4"/>
        <v>34326799</v>
      </c>
      <c r="D30" s="2">
        <f t="shared" si="0"/>
        <v>30001697.960000001</v>
      </c>
      <c r="E30" s="19">
        <f t="shared" si="5"/>
        <v>4325101.04</v>
      </c>
      <c r="F30" s="2">
        <f t="shared" si="6"/>
        <v>350813750.97999996</v>
      </c>
      <c r="G30" s="2">
        <f t="shared" si="7"/>
        <v>320812053.01999998</v>
      </c>
      <c r="H30" s="14">
        <f t="shared" si="1"/>
        <v>4325101.0394794513</v>
      </c>
      <c r="I30" s="16">
        <f t="shared" si="2"/>
        <v>-5.2054878324270248E-4</v>
      </c>
    </row>
    <row r="31" spans="1:9" x14ac:dyDescent="0.25">
      <c r="A31" s="29">
        <v>42679</v>
      </c>
      <c r="B31" s="1">
        <f t="shared" si="3"/>
        <v>31</v>
      </c>
      <c r="C31" s="4">
        <f t="shared" si="4"/>
        <v>34326799</v>
      </c>
      <c r="D31" s="2">
        <f t="shared" si="0"/>
        <v>30239741.34</v>
      </c>
      <c r="E31" s="19">
        <f t="shared" si="5"/>
        <v>4087057.66</v>
      </c>
      <c r="F31" s="2">
        <f t="shared" si="6"/>
        <v>320812053.01999998</v>
      </c>
      <c r="G31" s="2">
        <f t="shared" si="7"/>
        <v>290572311.68000001</v>
      </c>
      <c r="H31" s="14">
        <f t="shared" si="1"/>
        <v>4087057.6617616434</v>
      </c>
      <c r="I31" s="16">
        <f t="shared" si="2"/>
        <v>1.7616432160139084E-3</v>
      </c>
    </row>
    <row r="32" spans="1:9" x14ac:dyDescent="0.25">
      <c r="A32" s="29">
        <v>42709</v>
      </c>
      <c r="B32" s="1">
        <f t="shared" si="3"/>
        <v>30</v>
      </c>
      <c r="C32" s="4">
        <f t="shared" si="4"/>
        <v>34326799</v>
      </c>
      <c r="D32" s="2">
        <f t="shared" si="0"/>
        <v>30744400.640000001</v>
      </c>
      <c r="E32" s="19">
        <f t="shared" si="5"/>
        <v>3582398.36</v>
      </c>
      <c r="F32" s="2">
        <f t="shared" si="6"/>
        <v>290572311.68000001</v>
      </c>
      <c r="G32" s="2">
        <f t="shared" si="7"/>
        <v>259827911.04000002</v>
      </c>
      <c r="H32" s="14">
        <f t="shared" si="1"/>
        <v>3582398.3631780818</v>
      </c>
      <c r="I32" s="16">
        <f t="shared" si="2"/>
        <v>3.1780819408595562E-3</v>
      </c>
    </row>
    <row r="33" spans="1:9" x14ac:dyDescent="0.25">
      <c r="A33" s="29">
        <v>42740</v>
      </c>
      <c r="B33" s="1">
        <f t="shared" si="3"/>
        <v>31</v>
      </c>
      <c r="C33" s="4">
        <f t="shared" si="4"/>
        <v>34326799</v>
      </c>
      <c r="D33" s="2">
        <f t="shared" si="0"/>
        <v>31016662.600000001</v>
      </c>
      <c r="E33" s="19">
        <f t="shared" si="5"/>
        <v>3310136.4</v>
      </c>
      <c r="F33" s="2">
        <f t="shared" si="6"/>
        <v>259827911.04000002</v>
      </c>
      <c r="G33" s="2">
        <f t="shared" si="7"/>
        <v>228811248.44000003</v>
      </c>
      <c r="H33" s="14">
        <f t="shared" si="1"/>
        <v>3310136.4009205485</v>
      </c>
      <c r="I33" s="16">
        <f t="shared" si="2"/>
        <v>9.2054856941103935E-4</v>
      </c>
    </row>
    <row r="34" spans="1:9" x14ac:dyDescent="0.25">
      <c r="A34" s="29">
        <v>42771</v>
      </c>
      <c r="B34" s="1">
        <f t="shared" si="3"/>
        <v>31</v>
      </c>
      <c r="C34" s="4">
        <f t="shared" si="4"/>
        <v>34326799</v>
      </c>
      <c r="D34" s="2">
        <f t="shared" si="0"/>
        <v>31411806.379999999</v>
      </c>
      <c r="E34" s="19">
        <f t="shared" si="5"/>
        <v>2914992.62</v>
      </c>
      <c r="F34" s="2">
        <f t="shared" si="6"/>
        <v>228811248.44000003</v>
      </c>
      <c r="G34" s="2">
        <f t="shared" si="7"/>
        <v>197399442.06000003</v>
      </c>
      <c r="H34" s="14"/>
      <c r="I34" s="16"/>
    </row>
    <row r="35" spans="1:9" x14ac:dyDescent="0.25">
      <c r="A35" s="29">
        <v>42799</v>
      </c>
      <c r="B35" s="1">
        <f t="shared" si="3"/>
        <v>28</v>
      </c>
      <c r="C35" s="4">
        <f t="shared" si="4"/>
        <v>34326799</v>
      </c>
      <c r="D35" s="2">
        <f t="shared" si="0"/>
        <v>32055353.370000001</v>
      </c>
      <c r="E35" s="19">
        <f t="shared" si="5"/>
        <v>2271445.63</v>
      </c>
      <c r="F35" s="2">
        <f t="shared" si="6"/>
        <v>197399442.06000003</v>
      </c>
      <c r="G35" s="2">
        <f t="shared" si="7"/>
        <v>165344088.69000003</v>
      </c>
      <c r="H35" s="14"/>
      <c r="I35" s="16"/>
    </row>
    <row r="36" spans="1:9" x14ac:dyDescent="0.25">
      <c r="A36" s="29">
        <v>42830</v>
      </c>
      <c r="B36" s="1">
        <f t="shared" si="3"/>
        <v>31</v>
      </c>
      <c r="C36" s="4">
        <f t="shared" si="4"/>
        <v>34326799</v>
      </c>
      <c r="D36" s="2">
        <f t="shared" si="0"/>
        <v>32220360.609999999</v>
      </c>
      <c r="E36" s="19">
        <f t="shared" si="5"/>
        <v>2106438.39</v>
      </c>
      <c r="F36" s="2">
        <f t="shared" si="6"/>
        <v>165344088.69000003</v>
      </c>
      <c r="G36" s="2">
        <f t="shared" si="7"/>
        <v>133123728.08000003</v>
      </c>
      <c r="H36" s="14"/>
      <c r="I36" s="16"/>
    </row>
    <row r="37" spans="1:9" x14ac:dyDescent="0.25">
      <c r="A37" s="29">
        <v>42860</v>
      </c>
      <c r="B37" s="1">
        <f t="shared" si="3"/>
        <v>30</v>
      </c>
      <c r="C37" s="4">
        <f t="shared" si="4"/>
        <v>34326799</v>
      </c>
      <c r="D37" s="2">
        <f t="shared" si="0"/>
        <v>32685547.559999999</v>
      </c>
      <c r="E37" s="19">
        <f t="shared" si="5"/>
        <v>1641251.44</v>
      </c>
      <c r="F37" s="2">
        <f t="shared" si="6"/>
        <v>133123728.08000003</v>
      </c>
      <c r="G37" s="2">
        <f t="shared" si="7"/>
        <v>100438180.52000003</v>
      </c>
      <c r="H37" s="14"/>
      <c r="I37" s="16"/>
    </row>
    <row r="38" spans="1:9" x14ac:dyDescent="0.25">
      <c r="A38" s="29">
        <v>42891</v>
      </c>
      <c r="B38" s="1">
        <f t="shared" si="3"/>
        <v>31</v>
      </c>
      <c r="C38" s="4">
        <f t="shared" si="4"/>
        <v>34326799</v>
      </c>
      <c r="D38" s="2">
        <f t="shared" si="0"/>
        <v>33047244.100000001</v>
      </c>
      <c r="E38" s="19">
        <f t="shared" si="5"/>
        <v>1279554.8999999999</v>
      </c>
      <c r="F38" s="2">
        <f t="shared" si="6"/>
        <v>100438180.52000003</v>
      </c>
      <c r="G38" s="2">
        <f t="shared" si="7"/>
        <v>67390936.420000017</v>
      </c>
      <c r="H38" s="14"/>
      <c r="I38" s="16"/>
    </row>
    <row r="39" spans="1:9" x14ac:dyDescent="0.25">
      <c r="A39" s="29">
        <v>42921</v>
      </c>
      <c r="B39" s="1">
        <f t="shared" si="3"/>
        <v>30</v>
      </c>
      <c r="C39" s="4">
        <f t="shared" si="4"/>
        <v>34326799</v>
      </c>
      <c r="D39" s="2">
        <f t="shared" si="0"/>
        <v>33495951.84</v>
      </c>
      <c r="E39" s="19">
        <f t="shared" si="5"/>
        <v>830847.16</v>
      </c>
      <c r="F39" s="2">
        <f t="shared" si="6"/>
        <v>67390936.420000017</v>
      </c>
      <c r="G39" s="2">
        <f t="shared" si="7"/>
        <v>33894984.580000013</v>
      </c>
      <c r="H39" s="14"/>
      <c r="I39" s="16"/>
    </row>
    <row r="40" spans="1:9" x14ac:dyDescent="0.25">
      <c r="A40" s="29">
        <v>42952</v>
      </c>
      <c r="B40" s="1">
        <f t="shared" si="3"/>
        <v>31</v>
      </c>
      <c r="C40" s="4">
        <f t="shared" si="4"/>
        <v>34326799</v>
      </c>
      <c r="D40" s="2">
        <f t="shared" si="0"/>
        <v>33894984.580000013</v>
      </c>
      <c r="E40" s="19">
        <v>431814.4199999866</v>
      </c>
      <c r="F40" s="2">
        <f t="shared" si="6"/>
        <v>33894984.580000013</v>
      </c>
      <c r="G40" s="2">
        <f t="shared" si="7"/>
        <v>0</v>
      </c>
      <c r="H40" s="14"/>
      <c r="I40" s="16"/>
    </row>
    <row r="41" spans="1:9" x14ac:dyDescent="0.25">
      <c r="A41" s="118">
        <v>42405</v>
      </c>
      <c r="B41" s="119">
        <f>_xlfn.DAYS(A22,A21)</f>
        <v>31</v>
      </c>
      <c r="C41" s="4">
        <f t="shared" si="4"/>
        <v>34326799</v>
      </c>
      <c r="D41" s="120">
        <f>C22-E22</f>
        <v>26971600.740000002</v>
      </c>
      <c r="E41" s="121">
        <f>ROUND(F22*$B$2*B22/365,2)</f>
        <v>7355198.2599999998</v>
      </c>
      <c r="F41" s="120">
        <f>G21</f>
        <v>577343519.19999993</v>
      </c>
      <c r="G41" s="120">
        <f t="shared" si="7"/>
        <v>550371918.45999992</v>
      </c>
    </row>
    <row r="42" spans="1:9" x14ac:dyDescent="0.25">
      <c r="A42" s="29">
        <v>42434</v>
      </c>
      <c r="B42" s="1">
        <f t="shared" ref="B42:B43" si="8">_xlfn.DAYS(A42,A41)</f>
        <v>29</v>
      </c>
      <c r="C42" s="4">
        <f t="shared" ref="C42:C59" si="9">$E$2</f>
        <v>33631374</v>
      </c>
      <c r="D42" s="2">
        <f t="shared" ref="D42:D43" si="10">C42-E42</f>
        <v>27154996.34</v>
      </c>
      <c r="E42" s="19">
        <f>ROUND(((G41*$B$2*G2/365)+(F42*$B$2*H2/365)),2)</f>
        <v>6476377.6600000001</v>
      </c>
      <c r="F42" s="2">
        <f>G41-F2-J2</f>
        <v>539171918.45999992</v>
      </c>
      <c r="G42" s="2">
        <f t="shared" si="7"/>
        <v>512016922.11999995</v>
      </c>
    </row>
    <row r="43" spans="1:9" x14ac:dyDescent="0.25">
      <c r="A43" s="29">
        <v>42465</v>
      </c>
      <c r="B43" s="1">
        <f t="shared" si="8"/>
        <v>31</v>
      </c>
      <c r="C43" s="4">
        <f t="shared" si="9"/>
        <v>33631374</v>
      </c>
      <c r="D43" s="2">
        <f t="shared" si="10"/>
        <v>27108418.690000001</v>
      </c>
      <c r="E43" s="19">
        <f t="shared" ref="E43" si="11">ROUND(F43*$B$2*B43/365,2)</f>
        <v>6522955.3099999996</v>
      </c>
      <c r="F43" s="2">
        <f t="shared" ref="F43" si="12">G42</f>
        <v>512016922.11999995</v>
      </c>
      <c r="G43" s="2">
        <f t="shared" si="7"/>
        <v>484908503.42999995</v>
      </c>
    </row>
    <row r="44" spans="1:9" x14ac:dyDescent="0.25">
      <c r="A44" s="29">
        <v>42495</v>
      </c>
      <c r="B44" s="1">
        <f t="shared" ref="B44:B59" si="13">_xlfn.DAYS(A44,A43)</f>
        <v>30</v>
      </c>
      <c r="C44" s="4">
        <f t="shared" si="9"/>
        <v>33631374</v>
      </c>
      <c r="D44" s="2">
        <f t="shared" ref="D44:D59" si="14">C44-E44</f>
        <v>27653049.990000002</v>
      </c>
      <c r="E44" s="19">
        <f t="shared" ref="E44:E58" si="15">ROUND(F44*$B$2*B44/365,2)</f>
        <v>5978324.0099999998</v>
      </c>
      <c r="F44" s="2">
        <f t="shared" ref="F44:F59" si="16">G43</f>
        <v>484908503.42999995</v>
      </c>
      <c r="G44" s="2">
        <f t="shared" ref="G44:G59" si="17">F44-D44</f>
        <v>457255453.43999994</v>
      </c>
    </row>
    <row r="45" spans="1:9" x14ac:dyDescent="0.25">
      <c r="A45" s="29">
        <v>42526</v>
      </c>
      <c r="B45" s="1">
        <f t="shared" si="13"/>
        <v>31</v>
      </c>
      <c r="C45" s="4">
        <f t="shared" si="9"/>
        <v>33631374</v>
      </c>
      <c r="D45" s="2">
        <f t="shared" si="14"/>
        <v>27806064.800000001</v>
      </c>
      <c r="E45" s="19">
        <f t="shared" si="15"/>
        <v>5825309.2000000002</v>
      </c>
      <c r="F45" s="2">
        <f t="shared" si="16"/>
        <v>457255453.43999994</v>
      </c>
      <c r="G45" s="2">
        <f t="shared" si="17"/>
        <v>429449388.63999993</v>
      </c>
    </row>
    <row r="46" spans="1:9" x14ac:dyDescent="0.25">
      <c r="A46" s="29">
        <v>42556</v>
      </c>
      <c r="B46" s="1">
        <f t="shared" si="13"/>
        <v>30</v>
      </c>
      <c r="C46" s="4">
        <f t="shared" si="9"/>
        <v>33631374</v>
      </c>
      <c r="D46" s="2">
        <f t="shared" si="14"/>
        <v>28336792.5</v>
      </c>
      <c r="E46" s="19">
        <f t="shared" si="15"/>
        <v>5294581.5</v>
      </c>
      <c r="F46" s="2">
        <f t="shared" si="16"/>
        <v>429449388.63999993</v>
      </c>
      <c r="G46" s="2">
        <f t="shared" si="17"/>
        <v>401112596.13999993</v>
      </c>
    </row>
    <row r="47" spans="1:9" x14ac:dyDescent="0.25">
      <c r="A47" s="29">
        <v>42587</v>
      </c>
      <c r="B47" s="1">
        <f t="shared" si="13"/>
        <v>31</v>
      </c>
      <c r="C47" s="4">
        <f t="shared" si="9"/>
        <v>33631374</v>
      </c>
      <c r="D47" s="2">
        <f t="shared" si="14"/>
        <v>28521309.420000002</v>
      </c>
      <c r="E47" s="19">
        <f t="shared" si="15"/>
        <v>5110064.58</v>
      </c>
      <c r="F47" s="2">
        <f t="shared" si="16"/>
        <v>401112596.13999993</v>
      </c>
      <c r="G47" s="2">
        <f t="shared" si="17"/>
        <v>372591286.71999991</v>
      </c>
    </row>
    <row r="48" spans="1:9" x14ac:dyDescent="0.25">
      <c r="A48" s="29">
        <v>42618</v>
      </c>
      <c r="B48" s="1">
        <f t="shared" si="13"/>
        <v>31</v>
      </c>
      <c r="C48" s="4">
        <f t="shared" si="9"/>
        <v>33631374</v>
      </c>
      <c r="D48" s="2">
        <f t="shared" si="14"/>
        <v>28884663.09</v>
      </c>
      <c r="E48" s="19">
        <f t="shared" si="15"/>
        <v>4746710.91</v>
      </c>
      <c r="F48" s="2">
        <f t="shared" si="16"/>
        <v>372591286.71999991</v>
      </c>
      <c r="G48" s="2">
        <f t="shared" si="17"/>
        <v>343706623.62999994</v>
      </c>
    </row>
    <row r="49" spans="1:7" x14ac:dyDescent="0.25">
      <c r="A49" s="29">
        <v>42648</v>
      </c>
      <c r="B49" s="1">
        <f t="shared" si="13"/>
        <v>30</v>
      </c>
      <c r="C49" s="4">
        <f t="shared" si="9"/>
        <v>33631374</v>
      </c>
      <c r="D49" s="2">
        <f t="shared" si="14"/>
        <v>29393895.079999998</v>
      </c>
      <c r="E49" s="19">
        <f t="shared" si="15"/>
        <v>4237478.92</v>
      </c>
      <c r="F49" s="2">
        <f t="shared" si="16"/>
        <v>343706623.62999994</v>
      </c>
      <c r="G49" s="2">
        <f t="shared" si="17"/>
        <v>314312728.54999995</v>
      </c>
    </row>
    <row r="50" spans="1:7" x14ac:dyDescent="0.25">
      <c r="A50" s="29">
        <v>42679</v>
      </c>
      <c r="B50" s="1">
        <f t="shared" si="13"/>
        <v>31</v>
      </c>
      <c r="C50" s="4">
        <f t="shared" si="9"/>
        <v>33631374</v>
      </c>
      <c r="D50" s="2">
        <f t="shared" si="14"/>
        <v>29627115.949999999</v>
      </c>
      <c r="E50" s="19">
        <f t="shared" si="15"/>
        <v>4004258.05</v>
      </c>
      <c r="F50" s="2">
        <f t="shared" si="16"/>
        <v>314312728.54999995</v>
      </c>
      <c r="G50" s="2">
        <f t="shared" si="17"/>
        <v>284685612.59999996</v>
      </c>
    </row>
    <row r="51" spans="1:7" x14ac:dyDescent="0.25">
      <c r="A51" s="29">
        <v>42709</v>
      </c>
      <c r="B51" s="1">
        <f t="shared" si="13"/>
        <v>30</v>
      </c>
      <c r="C51" s="4">
        <f t="shared" si="9"/>
        <v>33631374</v>
      </c>
      <c r="D51" s="2">
        <f t="shared" si="14"/>
        <v>30121551.379999999</v>
      </c>
      <c r="E51" s="19">
        <f t="shared" si="15"/>
        <v>3509822.62</v>
      </c>
      <c r="F51" s="2">
        <f t="shared" si="16"/>
        <v>284685612.59999996</v>
      </c>
      <c r="G51" s="2">
        <f t="shared" si="17"/>
        <v>254564061.21999997</v>
      </c>
    </row>
    <row r="52" spans="1:7" x14ac:dyDescent="0.25">
      <c r="A52" s="29">
        <v>42740</v>
      </c>
      <c r="B52" s="1">
        <f t="shared" si="13"/>
        <v>31</v>
      </c>
      <c r="C52" s="4">
        <f t="shared" si="9"/>
        <v>33631374</v>
      </c>
      <c r="D52" s="2">
        <f t="shared" si="14"/>
        <v>30388297.600000001</v>
      </c>
      <c r="E52" s="19">
        <f t="shared" si="15"/>
        <v>3243076.4</v>
      </c>
      <c r="F52" s="2">
        <f t="shared" si="16"/>
        <v>254564061.21999997</v>
      </c>
      <c r="G52" s="2">
        <f t="shared" si="17"/>
        <v>224175763.61999997</v>
      </c>
    </row>
    <row r="53" spans="1:7" x14ac:dyDescent="0.25">
      <c r="A53" s="29">
        <v>42771</v>
      </c>
      <c r="B53" s="1">
        <f t="shared" si="13"/>
        <v>31</v>
      </c>
      <c r="C53" s="4">
        <f t="shared" si="9"/>
        <v>33631374</v>
      </c>
      <c r="D53" s="2">
        <f t="shared" si="14"/>
        <v>30775436.190000001</v>
      </c>
      <c r="E53" s="19">
        <f t="shared" si="15"/>
        <v>2855937.81</v>
      </c>
      <c r="F53" s="2">
        <f t="shared" si="16"/>
        <v>224175763.61999997</v>
      </c>
      <c r="G53" s="2">
        <f t="shared" si="17"/>
        <v>193400327.42999998</v>
      </c>
    </row>
    <row r="54" spans="1:7" x14ac:dyDescent="0.25">
      <c r="A54" s="56">
        <v>42799</v>
      </c>
      <c r="B54" s="1">
        <f t="shared" si="13"/>
        <v>28</v>
      </c>
      <c r="C54" s="4">
        <f t="shared" si="9"/>
        <v>33631374</v>
      </c>
      <c r="D54" s="2">
        <f t="shared" si="14"/>
        <v>31405945.57</v>
      </c>
      <c r="E54" s="19">
        <f t="shared" si="15"/>
        <v>2225428.4300000002</v>
      </c>
      <c r="F54" s="2">
        <f t="shared" si="16"/>
        <v>193400327.42999998</v>
      </c>
      <c r="G54" s="2">
        <f t="shared" si="17"/>
        <v>161994381.85999998</v>
      </c>
    </row>
    <row r="55" spans="1:7" x14ac:dyDescent="0.25">
      <c r="A55" s="29">
        <v>42830</v>
      </c>
      <c r="B55" s="1">
        <f t="shared" si="13"/>
        <v>31</v>
      </c>
      <c r="C55" s="4">
        <f t="shared" si="9"/>
        <v>33631374</v>
      </c>
      <c r="D55" s="2">
        <f t="shared" si="14"/>
        <v>31567609.960000001</v>
      </c>
      <c r="E55" s="19">
        <f t="shared" si="15"/>
        <v>2063764.04</v>
      </c>
      <c r="F55" s="2">
        <f t="shared" si="16"/>
        <v>161994381.85999998</v>
      </c>
      <c r="G55" s="2">
        <f t="shared" si="17"/>
        <v>130426771.89999998</v>
      </c>
    </row>
    <row r="56" spans="1:7" x14ac:dyDescent="0.25">
      <c r="A56" s="29">
        <v>42860</v>
      </c>
      <c r="B56" s="1">
        <f t="shared" si="13"/>
        <v>30</v>
      </c>
      <c r="C56" s="4">
        <f t="shared" si="9"/>
        <v>33631374</v>
      </c>
      <c r="D56" s="2">
        <f t="shared" si="14"/>
        <v>32023372.699999999</v>
      </c>
      <c r="E56" s="19">
        <f t="shared" si="15"/>
        <v>1608001.3</v>
      </c>
      <c r="F56" s="2">
        <f t="shared" si="16"/>
        <v>130426771.89999998</v>
      </c>
      <c r="G56" s="2">
        <f t="shared" si="17"/>
        <v>98403399.199999973</v>
      </c>
    </row>
    <row r="57" spans="1:7" x14ac:dyDescent="0.25">
      <c r="A57" s="29">
        <v>42891</v>
      </c>
      <c r="B57" s="1">
        <f t="shared" si="13"/>
        <v>31</v>
      </c>
      <c r="C57" s="4">
        <f t="shared" si="9"/>
        <v>33631374</v>
      </c>
      <c r="D57" s="2">
        <f t="shared" si="14"/>
        <v>32377741.649999999</v>
      </c>
      <c r="E57" s="19">
        <f t="shared" si="15"/>
        <v>1253632.3500000001</v>
      </c>
      <c r="F57" s="2">
        <f t="shared" si="16"/>
        <v>98403399.199999973</v>
      </c>
      <c r="G57" s="2">
        <f t="shared" si="17"/>
        <v>66025657.549999975</v>
      </c>
    </row>
    <row r="58" spans="1:7" x14ac:dyDescent="0.25">
      <c r="A58" s="29">
        <v>42921</v>
      </c>
      <c r="B58" s="1">
        <f t="shared" si="13"/>
        <v>30</v>
      </c>
      <c r="C58" s="4">
        <f t="shared" si="9"/>
        <v>33631374</v>
      </c>
      <c r="D58" s="2">
        <f t="shared" si="14"/>
        <v>32817359.039999999</v>
      </c>
      <c r="E58" s="19">
        <f t="shared" si="15"/>
        <v>814014.96</v>
      </c>
      <c r="F58" s="2">
        <f t="shared" si="16"/>
        <v>66025657.549999975</v>
      </c>
      <c r="G58" s="2">
        <f t="shared" si="17"/>
        <v>33208298.509999976</v>
      </c>
    </row>
    <row r="59" spans="1:7" x14ac:dyDescent="0.25">
      <c r="A59" s="29">
        <v>42952</v>
      </c>
      <c r="B59" s="1">
        <f t="shared" si="13"/>
        <v>31</v>
      </c>
      <c r="C59" s="4">
        <f t="shared" si="9"/>
        <v>33631374</v>
      </c>
      <c r="D59" s="2">
        <f t="shared" si="14"/>
        <v>33208298.509999976</v>
      </c>
      <c r="E59" s="19">
        <v>423075.49000002339</v>
      </c>
      <c r="F59" s="2">
        <f t="shared" si="16"/>
        <v>33208298.509999976</v>
      </c>
      <c r="G59" s="2">
        <f t="shared" si="17"/>
        <v>0</v>
      </c>
    </row>
  </sheetData>
  <pageMargins left="0.7" right="0.7" top="0.75" bottom="0.75" header="0.3" footer="0.3"/>
  <pageSetup orientation="portrait" r:id="rId1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A288D8-803C-47E1-A780-EF0158A74602}">
  <dimension ref="A1:J59"/>
  <sheetViews>
    <sheetView zoomScale="96" zoomScaleNormal="100" workbookViewId="0">
      <pane ySplit="3" topLeftCell="A48" activePane="bottomLeft" state="frozen"/>
      <selection activeCell="S3" sqref="S3"/>
      <selection pane="bottomLeft" activeCell="A61" sqref="A61:XFD61"/>
    </sheetView>
  </sheetViews>
  <sheetFormatPr defaultRowHeight="15" x14ac:dyDescent="0.25"/>
  <cols>
    <col min="1" max="1" width="15.7109375" bestFit="1" customWidth="1"/>
    <col min="2" max="2" width="13" bestFit="1" customWidth="1"/>
    <col min="3" max="5" width="15.140625" bestFit="1" customWidth="1"/>
    <col min="6" max="7" width="16.28515625" bestFit="1" customWidth="1"/>
    <col min="8" max="8" width="15.7109375" bestFit="1" customWidth="1"/>
    <col min="9" max="9" width="12" bestFit="1" customWidth="1"/>
    <col min="10" max="10" width="14.7109375" bestFit="1" customWidth="1"/>
  </cols>
  <sheetData>
    <row r="1" spans="1:10" x14ac:dyDescent="0.25">
      <c r="A1" s="17" t="s">
        <v>33</v>
      </c>
      <c r="B1" s="22">
        <v>41855</v>
      </c>
      <c r="C1" s="15" t="s">
        <v>355</v>
      </c>
      <c r="D1" s="124" t="s">
        <v>347</v>
      </c>
      <c r="E1" s="124" t="s">
        <v>354</v>
      </c>
      <c r="F1" s="124" t="s">
        <v>345</v>
      </c>
      <c r="G1" s="124" t="s">
        <v>349</v>
      </c>
      <c r="H1" s="124" t="s">
        <v>350</v>
      </c>
      <c r="I1" s="132" t="s">
        <v>346</v>
      </c>
      <c r="J1" s="132" t="s">
        <v>344</v>
      </c>
    </row>
    <row r="2" spans="1:10" x14ac:dyDescent="0.25">
      <c r="A2" s="17" t="s">
        <v>34</v>
      </c>
      <c r="B2" s="18">
        <v>0.15</v>
      </c>
      <c r="C2" s="23">
        <f>ROUNDUP(34318675.2191522,0)</f>
        <v>34318676</v>
      </c>
      <c r="D2" s="125">
        <v>42416</v>
      </c>
      <c r="E2" s="126">
        <f>ROUNDUP(33623127.5077778,0)</f>
        <v>33623128</v>
      </c>
      <c r="F2" s="127">
        <v>5600000</v>
      </c>
      <c r="G2" s="124">
        <f>DAYS360(A41,D2,TRUE)</f>
        <v>11</v>
      </c>
      <c r="H2" s="124">
        <f>DAYS360(D2,A42,TRUE)</f>
        <v>19</v>
      </c>
      <c r="I2" s="134">
        <v>42416</v>
      </c>
      <c r="J2" s="136">
        <v>5600000</v>
      </c>
    </row>
    <row r="3" spans="1:10" x14ac:dyDescent="0.25">
      <c r="A3" s="5" t="s">
        <v>17</v>
      </c>
      <c r="B3" s="5" t="s">
        <v>18</v>
      </c>
      <c r="C3" s="5" t="s">
        <v>14</v>
      </c>
      <c r="D3" s="5" t="s">
        <v>22</v>
      </c>
      <c r="E3" s="5" t="s">
        <v>21</v>
      </c>
      <c r="F3" s="5" t="s">
        <v>19</v>
      </c>
      <c r="G3" s="5" t="s">
        <v>20</v>
      </c>
      <c r="H3" s="13" t="s">
        <v>35</v>
      </c>
      <c r="I3" s="13" t="s">
        <v>36</v>
      </c>
    </row>
    <row r="4" spans="1:10" x14ac:dyDescent="0.25">
      <c r="A4" s="29">
        <v>41856</v>
      </c>
      <c r="B4" s="1">
        <f>DAYS360(B1,A4)</f>
        <v>1</v>
      </c>
      <c r="C4" s="10" t="s">
        <v>28</v>
      </c>
      <c r="D4" s="3" t="s">
        <v>15</v>
      </c>
      <c r="E4" s="19">
        <f>ROUNDUP(F4*$B$2*B4/360,0)</f>
        <v>412500</v>
      </c>
      <c r="F4" s="2">
        <v>990000000</v>
      </c>
      <c r="G4" s="2">
        <f>F4-D4</f>
        <v>990000000</v>
      </c>
      <c r="H4" s="14"/>
      <c r="I4" s="16"/>
    </row>
    <row r="5" spans="1:10" x14ac:dyDescent="0.25">
      <c r="A5" s="29">
        <v>41887</v>
      </c>
      <c r="B5" s="1">
        <f>DAYS360(A4,A5)</f>
        <v>30</v>
      </c>
      <c r="C5" s="4">
        <f t="shared" ref="C5:C41" si="0">$C$2</f>
        <v>34318676</v>
      </c>
      <c r="D5" s="2">
        <f t="shared" ref="D5:D39" si="1">C5-E5</f>
        <v>21943676</v>
      </c>
      <c r="E5" s="19">
        <f>ROUND(F5*$B$2*B5/360,2)</f>
        <v>12375000</v>
      </c>
      <c r="F5" s="2">
        <f>G4</f>
        <v>990000000</v>
      </c>
      <c r="G5" s="2">
        <f>F5-D5</f>
        <v>968056324</v>
      </c>
      <c r="H5" s="14"/>
      <c r="I5" s="16"/>
    </row>
    <row r="6" spans="1:10" x14ac:dyDescent="0.25">
      <c r="A6" s="29">
        <v>41917</v>
      </c>
      <c r="B6" s="1">
        <f t="shared" ref="B6:B43" si="2">DAYS360(A5,A6)</f>
        <v>30</v>
      </c>
      <c r="C6" s="4">
        <f t="shared" si="0"/>
        <v>34318676</v>
      </c>
      <c r="D6" s="2">
        <f t="shared" si="1"/>
        <v>22217971.949999999</v>
      </c>
      <c r="E6" s="19">
        <f t="shared" ref="E6:E39" si="3">ROUND(F6*$B$2*B6/360,2)</f>
        <v>12100704.050000001</v>
      </c>
      <c r="F6" s="2">
        <f t="shared" ref="F6:F40" si="4">G5</f>
        <v>968056324</v>
      </c>
      <c r="G6" s="2">
        <f t="shared" ref="G6:G43" si="5">F6-D6</f>
        <v>945838352.04999995</v>
      </c>
      <c r="H6" s="14"/>
      <c r="I6" s="16"/>
    </row>
    <row r="7" spans="1:10" x14ac:dyDescent="0.25">
      <c r="A7" s="29">
        <v>41948</v>
      </c>
      <c r="B7" s="1">
        <f t="shared" si="2"/>
        <v>30</v>
      </c>
      <c r="C7" s="4">
        <f t="shared" si="0"/>
        <v>34318676</v>
      </c>
      <c r="D7" s="2">
        <f t="shared" si="1"/>
        <v>22495696.600000001</v>
      </c>
      <c r="E7" s="19">
        <f t="shared" si="3"/>
        <v>11822979.4</v>
      </c>
      <c r="F7" s="2">
        <f t="shared" si="4"/>
        <v>945838352.04999995</v>
      </c>
      <c r="G7" s="2">
        <f t="shared" si="5"/>
        <v>923342655.44999993</v>
      </c>
      <c r="H7" s="14"/>
      <c r="I7" s="16"/>
    </row>
    <row r="8" spans="1:10" x14ac:dyDescent="0.25">
      <c r="A8" s="29">
        <v>41978</v>
      </c>
      <c r="B8" s="1">
        <f t="shared" si="2"/>
        <v>30</v>
      </c>
      <c r="C8" s="4">
        <f t="shared" si="0"/>
        <v>34318676</v>
      </c>
      <c r="D8" s="2">
        <f t="shared" si="1"/>
        <v>22776892.810000002</v>
      </c>
      <c r="E8" s="19">
        <f t="shared" si="3"/>
        <v>11541783.189999999</v>
      </c>
      <c r="F8" s="2">
        <f t="shared" si="4"/>
        <v>923342655.44999993</v>
      </c>
      <c r="G8" s="2">
        <f t="shared" si="5"/>
        <v>900565762.63999987</v>
      </c>
      <c r="H8" s="14"/>
      <c r="I8" s="16"/>
    </row>
    <row r="9" spans="1:10" x14ac:dyDescent="0.25">
      <c r="A9" s="29">
        <v>42009</v>
      </c>
      <c r="B9" s="1">
        <f t="shared" si="2"/>
        <v>30</v>
      </c>
      <c r="C9" s="4">
        <f t="shared" si="0"/>
        <v>34318676</v>
      </c>
      <c r="D9" s="2">
        <f t="shared" si="1"/>
        <v>23061603.969999999</v>
      </c>
      <c r="E9" s="19">
        <f t="shared" si="3"/>
        <v>11257072.029999999</v>
      </c>
      <c r="F9" s="2">
        <f t="shared" si="4"/>
        <v>900565762.63999987</v>
      </c>
      <c r="G9" s="2">
        <f t="shared" si="5"/>
        <v>877504158.66999984</v>
      </c>
      <c r="H9" s="14"/>
      <c r="I9" s="16"/>
    </row>
    <row r="10" spans="1:10" x14ac:dyDescent="0.25">
      <c r="A10" s="29">
        <v>42040</v>
      </c>
      <c r="B10" s="1">
        <f t="shared" si="2"/>
        <v>30</v>
      </c>
      <c r="C10" s="4">
        <f t="shared" si="0"/>
        <v>34318676</v>
      </c>
      <c r="D10" s="2">
        <f t="shared" si="1"/>
        <v>23349874.02</v>
      </c>
      <c r="E10" s="19">
        <f t="shared" si="3"/>
        <v>10968801.98</v>
      </c>
      <c r="F10" s="2">
        <f t="shared" si="4"/>
        <v>877504158.66999984</v>
      </c>
      <c r="G10" s="2">
        <f t="shared" si="5"/>
        <v>854154284.64999986</v>
      </c>
      <c r="H10" s="14"/>
      <c r="I10" s="16"/>
    </row>
    <row r="11" spans="1:10" x14ac:dyDescent="0.25">
      <c r="A11" s="29">
        <v>42068</v>
      </c>
      <c r="B11" s="1">
        <f t="shared" si="2"/>
        <v>30</v>
      </c>
      <c r="C11" s="4">
        <f t="shared" si="0"/>
        <v>34318676</v>
      </c>
      <c r="D11" s="2">
        <f t="shared" si="1"/>
        <v>23641747.439999998</v>
      </c>
      <c r="E11" s="19">
        <f t="shared" si="3"/>
        <v>10676928.560000001</v>
      </c>
      <c r="F11" s="2">
        <f t="shared" si="4"/>
        <v>854154284.64999986</v>
      </c>
      <c r="G11" s="2">
        <f t="shared" si="5"/>
        <v>830512537.2099998</v>
      </c>
      <c r="H11" s="14"/>
      <c r="I11" s="16"/>
    </row>
    <row r="12" spans="1:10" x14ac:dyDescent="0.25">
      <c r="A12" s="29">
        <v>42099</v>
      </c>
      <c r="B12" s="1">
        <f t="shared" si="2"/>
        <v>30</v>
      </c>
      <c r="C12" s="4">
        <f t="shared" si="0"/>
        <v>34318676</v>
      </c>
      <c r="D12" s="2">
        <f t="shared" si="1"/>
        <v>23937269.280000001</v>
      </c>
      <c r="E12" s="19">
        <f t="shared" si="3"/>
        <v>10381406.720000001</v>
      </c>
      <c r="F12" s="2">
        <f t="shared" si="4"/>
        <v>830512537.2099998</v>
      </c>
      <c r="G12" s="2">
        <f t="shared" si="5"/>
        <v>806575267.92999983</v>
      </c>
      <c r="H12" s="14"/>
      <c r="I12" s="16"/>
    </row>
    <row r="13" spans="1:10" x14ac:dyDescent="0.25">
      <c r="A13" s="29">
        <v>42129</v>
      </c>
      <c r="B13" s="1">
        <f t="shared" si="2"/>
        <v>30</v>
      </c>
      <c r="C13" s="4">
        <f t="shared" si="0"/>
        <v>34318676</v>
      </c>
      <c r="D13" s="2">
        <f t="shared" si="1"/>
        <v>24236485.149999999</v>
      </c>
      <c r="E13" s="19">
        <f t="shared" si="3"/>
        <v>10082190.85</v>
      </c>
      <c r="F13" s="2">
        <f t="shared" si="4"/>
        <v>806575267.92999983</v>
      </c>
      <c r="G13" s="2">
        <f t="shared" si="5"/>
        <v>782338782.77999985</v>
      </c>
      <c r="H13" s="14"/>
      <c r="I13" s="16"/>
    </row>
    <row r="14" spans="1:10" x14ac:dyDescent="0.25">
      <c r="A14" s="29">
        <v>42160</v>
      </c>
      <c r="B14" s="1">
        <f t="shared" si="2"/>
        <v>30</v>
      </c>
      <c r="C14" s="4">
        <f t="shared" si="0"/>
        <v>34318676</v>
      </c>
      <c r="D14" s="2">
        <f t="shared" si="1"/>
        <v>24539441.219999999</v>
      </c>
      <c r="E14" s="19">
        <f t="shared" si="3"/>
        <v>9779234.7799999993</v>
      </c>
      <c r="F14" s="2">
        <f t="shared" si="4"/>
        <v>782338782.77999985</v>
      </c>
      <c r="G14" s="2">
        <f t="shared" si="5"/>
        <v>757799341.55999982</v>
      </c>
      <c r="H14" s="14"/>
      <c r="I14" s="16"/>
    </row>
    <row r="15" spans="1:10" x14ac:dyDescent="0.25">
      <c r="A15" s="29">
        <v>42190</v>
      </c>
      <c r="B15" s="1">
        <f t="shared" si="2"/>
        <v>30</v>
      </c>
      <c r="C15" s="4">
        <f t="shared" si="0"/>
        <v>34318676</v>
      </c>
      <c r="D15" s="2">
        <f t="shared" si="1"/>
        <v>24846184.23</v>
      </c>
      <c r="E15" s="19">
        <f t="shared" si="3"/>
        <v>9472491.7699999996</v>
      </c>
      <c r="F15" s="2">
        <f t="shared" si="4"/>
        <v>757799341.55999982</v>
      </c>
      <c r="G15" s="2">
        <f t="shared" si="5"/>
        <v>732953157.3299998</v>
      </c>
      <c r="H15" s="14"/>
      <c r="I15" s="16"/>
    </row>
    <row r="16" spans="1:10" x14ac:dyDescent="0.25">
      <c r="A16" s="29">
        <v>42221</v>
      </c>
      <c r="B16" s="1">
        <f t="shared" si="2"/>
        <v>30</v>
      </c>
      <c r="C16" s="4">
        <f t="shared" si="0"/>
        <v>34318676</v>
      </c>
      <c r="D16" s="2">
        <f t="shared" si="1"/>
        <v>25156761.530000001</v>
      </c>
      <c r="E16" s="19">
        <f t="shared" si="3"/>
        <v>9161914.4700000007</v>
      </c>
      <c r="F16" s="2">
        <f t="shared" si="4"/>
        <v>732953157.3299998</v>
      </c>
      <c r="G16" s="2">
        <f t="shared" si="5"/>
        <v>707796395.79999983</v>
      </c>
      <c r="H16" s="14"/>
      <c r="I16" s="16"/>
    </row>
    <row r="17" spans="1:9" x14ac:dyDescent="0.25">
      <c r="A17" s="29">
        <v>42252</v>
      </c>
      <c r="B17" s="1">
        <f t="shared" si="2"/>
        <v>30</v>
      </c>
      <c r="C17" s="4">
        <f t="shared" si="0"/>
        <v>34318676</v>
      </c>
      <c r="D17" s="2">
        <f t="shared" si="1"/>
        <v>25471221.050000001</v>
      </c>
      <c r="E17" s="19">
        <f t="shared" si="3"/>
        <v>8847454.9499999993</v>
      </c>
      <c r="F17" s="2">
        <f t="shared" si="4"/>
        <v>707796395.79999983</v>
      </c>
      <c r="G17" s="2">
        <f t="shared" si="5"/>
        <v>682325174.74999988</v>
      </c>
      <c r="H17" s="14"/>
      <c r="I17" s="16"/>
    </row>
    <row r="18" spans="1:9" x14ac:dyDescent="0.25">
      <c r="A18" s="29">
        <v>42282</v>
      </c>
      <c r="B18" s="1">
        <f t="shared" si="2"/>
        <v>30</v>
      </c>
      <c r="C18" s="4">
        <f t="shared" si="0"/>
        <v>34318676</v>
      </c>
      <c r="D18" s="2">
        <f t="shared" si="1"/>
        <v>25789611.32</v>
      </c>
      <c r="E18" s="19">
        <f t="shared" si="3"/>
        <v>8529064.6799999997</v>
      </c>
      <c r="F18" s="2">
        <f t="shared" si="4"/>
        <v>682325174.74999988</v>
      </c>
      <c r="G18" s="2">
        <f t="shared" si="5"/>
        <v>656535563.42999983</v>
      </c>
    </row>
    <row r="19" spans="1:9" x14ac:dyDescent="0.25">
      <c r="A19" s="29">
        <v>42313</v>
      </c>
      <c r="B19" s="1">
        <f t="shared" si="2"/>
        <v>30</v>
      </c>
      <c r="C19" s="4">
        <f t="shared" si="0"/>
        <v>34318676</v>
      </c>
      <c r="D19" s="2">
        <f t="shared" si="1"/>
        <v>26111981.460000001</v>
      </c>
      <c r="E19" s="19">
        <f t="shared" si="3"/>
        <v>8206694.54</v>
      </c>
      <c r="F19" s="2">
        <f t="shared" si="4"/>
        <v>656535563.42999983</v>
      </c>
      <c r="G19" s="2">
        <f t="shared" si="5"/>
        <v>630423581.96999979</v>
      </c>
    </row>
    <row r="20" spans="1:9" x14ac:dyDescent="0.25">
      <c r="A20" s="29">
        <v>42343</v>
      </c>
      <c r="B20" s="1">
        <f t="shared" si="2"/>
        <v>30</v>
      </c>
      <c r="C20" s="4">
        <f t="shared" si="0"/>
        <v>34318676</v>
      </c>
      <c r="D20" s="2">
        <f t="shared" si="1"/>
        <v>26438381.23</v>
      </c>
      <c r="E20" s="19">
        <f t="shared" si="3"/>
        <v>7880294.7699999996</v>
      </c>
      <c r="F20" s="2">
        <f t="shared" si="4"/>
        <v>630423581.96999979</v>
      </c>
      <c r="G20" s="2">
        <f t="shared" si="5"/>
        <v>603985200.73999977</v>
      </c>
    </row>
    <row r="21" spans="1:9" x14ac:dyDescent="0.25">
      <c r="A21" s="29">
        <v>42374</v>
      </c>
      <c r="B21" s="1">
        <f t="shared" si="2"/>
        <v>30</v>
      </c>
      <c r="C21" s="4">
        <f t="shared" si="0"/>
        <v>34318676</v>
      </c>
      <c r="D21" s="2">
        <f t="shared" si="1"/>
        <v>26768860.990000002</v>
      </c>
      <c r="E21" s="19">
        <f t="shared" si="3"/>
        <v>7549815.0099999998</v>
      </c>
      <c r="F21" s="2">
        <f t="shared" si="4"/>
        <v>603985200.73999977</v>
      </c>
      <c r="G21" s="2">
        <f t="shared" si="5"/>
        <v>577216339.74999976</v>
      </c>
    </row>
    <row r="22" spans="1:9" x14ac:dyDescent="0.25">
      <c r="A22" s="29">
        <v>42405</v>
      </c>
      <c r="B22" s="1">
        <f t="shared" si="2"/>
        <v>30</v>
      </c>
      <c r="C22" s="4">
        <f t="shared" si="0"/>
        <v>34318676</v>
      </c>
      <c r="D22" s="2">
        <f t="shared" si="1"/>
        <v>27103471.75</v>
      </c>
      <c r="E22" s="19">
        <f t="shared" si="3"/>
        <v>7215204.25</v>
      </c>
      <c r="F22" s="2">
        <f t="shared" si="4"/>
        <v>577216339.74999976</v>
      </c>
      <c r="G22" s="2">
        <f t="shared" si="5"/>
        <v>550112867.99999976</v>
      </c>
    </row>
    <row r="23" spans="1:9" x14ac:dyDescent="0.25">
      <c r="A23" s="29">
        <v>42434</v>
      </c>
      <c r="B23" s="1">
        <f t="shared" si="2"/>
        <v>30</v>
      </c>
      <c r="C23" s="4">
        <f t="shared" si="0"/>
        <v>34318676</v>
      </c>
      <c r="D23" s="2">
        <f t="shared" si="1"/>
        <v>27442265.149999999</v>
      </c>
      <c r="E23" s="19">
        <f t="shared" si="3"/>
        <v>6876410.8499999996</v>
      </c>
      <c r="F23" s="2">
        <f t="shared" si="4"/>
        <v>550112867.99999976</v>
      </c>
      <c r="G23" s="2">
        <f t="shared" si="5"/>
        <v>522670602.84999979</v>
      </c>
    </row>
    <row r="24" spans="1:9" x14ac:dyDescent="0.25">
      <c r="A24" s="29">
        <v>42465</v>
      </c>
      <c r="B24" s="1">
        <f t="shared" si="2"/>
        <v>30</v>
      </c>
      <c r="C24" s="4">
        <f t="shared" si="0"/>
        <v>34318676</v>
      </c>
      <c r="D24" s="2">
        <f t="shared" si="1"/>
        <v>27785293.460000001</v>
      </c>
      <c r="E24" s="19">
        <f t="shared" si="3"/>
        <v>6533382.54</v>
      </c>
      <c r="F24" s="2">
        <f t="shared" si="4"/>
        <v>522670602.84999979</v>
      </c>
      <c r="G24" s="2">
        <f t="shared" si="5"/>
        <v>494885309.38999981</v>
      </c>
    </row>
    <row r="25" spans="1:9" x14ac:dyDescent="0.25">
      <c r="A25" s="29">
        <v>42495</v>
      </c>
      <c r="B25" s="1">
        <f t="shared" si="2"/>
        <v>30</v>
      </c>
      <c r="C25" s="4">
        <f t="shared" si="0"/>
        <v>34318676</v>
      </c>
      <c r="D25" s="2">
        <f t="shared" si="1"/>
        <v>28132609.629999999</v>
      </c>
      <c r="E25" s="19">
        <f t="shared" si="3"/>
        <v>6186066.3700000001</v>
      </c>
      <c r="F25" s="2">
        <f t="shared" si="4"/>
        <v>494885309.38999981</v>
      </c>
      <c r="G25" s="2">
        <f t="shared" si="5"/>
        <v>466752699.75999981</v>
      </c>
    </row>
    <row r="26" spans="1:9" x14ac:dyDescent="0.25">
      <c r="A26" s="29">
        <v>42526</v>
      </c>
      <c r="B26" s="1">
        <f t="shared" si="2"/>
        <v>30</v>
      </c>
      <c r="C26" s="4">
        <f t="shared" si="0"/>
        <v>34318676</v>
      </c>
      <c r="D26" s="2">
        <f t="shared" si="1"/>
        <v>28484267.25</v>
      </c>
      <c r="E26" s="19">
        <f t="shared" si="3"/>
        <v>5834408.75</v>
      </c>
      <c r="F26" s="2">
        <f t="shared" si="4"/>
        <v>466752699.75999981</v>
      </c>
      <c r="G26" s="2">
        <f t="shared" si="5"/>
        <v>438268432.50999981</v>
      </c>
    </row>
    <row r="27" spans="1:9" x14ac:dyDescent="0.25">
      <c r="A27" s="29">
        <v>42556</v>
      </c>
      <c r="B27" s="1">
        <f t="shared" si="2"/>
        <v>30</v>
      </c>
      <c r="C27" s="4">
        <f t="shared" si="0"/>
        <v>34318676</v>
      </c>
      <c r="D27" s="2">
        <f t="shared" si="1"/>
        <v>28840320.59</v>
      </c>
      <c r="E27" s="19">
        <f t="shared" si="3"/>
        <v>5478355.4100000001</v>
      </c>
      <c r="F27" s="2">
        <f t="shared" si="4"/>
        <v>438268432.50999981</v>
      </c>
      <c r="G27" s="2">
        <f t="shared" si="5"/>
        <v>409428111.91999984</v>
      </c>
    </row>
    <row r="28" spans="1:9" x14ac:dyDescent="0.25">
      <c r="A28" s="29">
        <v>42587</v>
      </c>
      <c r="B28" s="1">
        <f t="shared" si="2"/>
        <v>30</v>
      </c>
      <c r="C28" s="4">
        <f t="shared" si="0"/>
        <v>34318676</v>
      </c>
      <c r="D28" s="2">
        <f t="shared" si="1"/>
        <v>29200824.600000001</v>
      </c>
      <c r="E28" s="19">
        <f t="shared" si="3"/>
        <v>5117851.4000000004</v>
      </c>
      <c r="F28" s="2">
        <f t="shared" si="4"/>
        <v>409428111.91999984</v>
      </c>
      <c r="G28" s="2">
        <f t="shared" si="5"/>
        <v>380227287.31999981</v>
      </c>
    </row>
    <row r="29" spans="1:9" x14ac:dyDescent="0.25">
      <c r="A29" s="29">
        <v>42618</v>
      </c>
      <c r="B29" s="1">
        <f t="shared" si="2"/>
        <v>30</v>
      </c>
      <c r="C29" s="4">
        <f t="shared" si="0"/>
        <v>34318676</v>
      </c>
      <c r="D29" s="2">
        <f t="shared" si="1"/>
        <v>29565834.91</v>
      </c>
      <c r="E29" s="19">
        <f t="shared" si="3"/>
        <v>4752841.09</v>
      </c>
      <c r="F29" s="2">
        <f t="shared" si="4"/>
        <v>380227287.31999981</v>
      </c>
      <c r="G29" s="2">
        <f t="shared" si="5"/>
        <v>350661452.40999979</v>
      </c>
    </row>
    <row r="30" spans="1:9" x14ac:dyDescent="0.25">
      <c r="A30" s="29">
        <v>42648</v>
      </c>
      <c r="B30" s="1">
        <f t="shared" si="2"/>
        <v>30</v>
      </c>
      <c r="C30" s="4">
        <f t="shared" si="0"/>
        <v>34318676</v>
      </c>
      <c r="D30" s="2">
        <f t="shared" si="1"/>
        <v>29935407.84</v>
      </c>
      <c r="E30" s="19">
        <f t="shared" si="3"/>
        <v>4383268.16</v>
      </c>
      <c r="F30" s="2">
        <f t="shared" si="4"/>
        <v>350661452.40999979</v>
      </c>
      <c r="G30" s="2">
        <f t="shared" si="5"/>
        <v>320726044.56999981</v>
      </c>
    </row>
    <row r="31" spans="1:9" x14ac:dyDescent="0.25">
      <c r="A31" s="29">
        <v>42679</v>
      </c>
      <c r="B31" s="1">
        <f t="shared" si="2"/>
        <v>30</v>
      </c>
      <c r="C31" s="4">
        <f t="shared" si="0"/>
        <v>34318676</v>
      </c>
      <c r="D31" s="2">
        <f t="shared" si="1"/>
        <v>30309600.440000001</v>
      </c>
      <c r="E31" s="19">
        <f t="shared" si="3"/>
        <v>4009075.56</v>
      </c>
      <c r="F31" s="2">
        <f t="shared" si="4"/>
        <v>320726044.56999981</v>
      </c>
      <c r="G31" s="2">
        <f t="shared" si="5"/>
        <v>290416444.12999982</v>
      </c>
    </row>
    <row r="32" spans="1:9" x14ac:dyDescent="0.25">
      <c r="A32" s="29">
        <v>42709</v>
      </c>
      <c r="B32" s="1">
        <f t="shared" si="2"/>
        <v>30</v>
      </c>
      <c r="C32" s="4">
        <f t="shared" si="0"/>
        <v>34318676</v>
      </c>
      <c r="D32" s="2">
        <f t="shared" si="1"/>
        <v>30688470.449999999</v>
      </c>
      <c r="E32" s="19">
        <f t="shared" si="3"/>
        <v>3630205.55</v>
      </c>
      <c r="F32" s="2">
        <f t="shared" si="4"/>
        <v>290416444.12999982</v>
      </c>
      <c r="G32" s="2">
        <f t="shared" si="5"/>
        <v>259727973.67999983</v>
      </c>
    </row>
    <row r="33" spans="1:7" x14ac:dyDescent="0.25">
      <c r="A33" s="29">
        <v>42740</v>
      </c>
      <c r="B33" s="1">
        <f t="shared" si="2"/>
        <v>30</v>
      </c>
      <c r="C33" s="4">
        <f t="shared" si="0"/>
        <v>34318676</v>
      </c>
      <c r="D33" s="2">
        <f t="shared" si="1"/>
        <v>31072076.329999998</v>
      </c>
      <c r="E33" s="19">
        <f t="shared" si="3"/>
        <v>3246599.67</v>
      </c>
      <c r="F33" s="2">
        <f t="shared" si="4"/>
        <v>259727973.67999983</v>
      </c>
      <c r="G33" s="2">
        <f t="shared" si="5"/>
        <v>228655897.34999985</v>
      </c>
    </row>
    <row r="34" spans="1:7" x14ac:dyDescent="0.25">
      <c r="A34" s="29">
        <v>42771</v>
      </c>
      <c r="B34" s="1">
        <f t="shared" si="2"/>
        <v>30</v>
      </c>
      <c r="C34" s="4">
        <f t="shared" si="0"/>
        <v>34318676</v>
      </c>
      <c r="D34" s="2">
        <f t="shared" si="1"/>
        <v>31460477.280000001</v>
      </c>
      <c r="E34" s="19">
        <f t="shared" si="3"/>
        <v>2858198.72</v>
      </c>
      <c r="F34" s="2">
        <f t="shared" si="4"/>
        <v>228655897.34999985</v>
      </c>
      <c r="G34" s="2">
        <f t="shared" si="5"/>
        <v>197195420.06999984</v>
      </c>
    </row>
    <row r="35" spans="1:7" x14ac:dyDescent="0.25">
      <c r="A35" s="29">
        <v>42799</v>
      </c>
      <c r="B35" s="1">
        <f t="shared" si="2"/>
        <v>30</v>
      </c>
      <c r="C35" s="4">
        <f t="shared" si="0"/>
        <v>34318676</v>
      </c>
      <c r="D35" s="2">
        <f t="shared" si="1"/>
        <v>31853733.25</v>
      </c>
      <c r="E35" s="19">
        <f t="shared" si="3"/>
        <v>2464942.75</v>
      </c>
      <c r="F35" s="2">
        <f t="shared" si="4"/>
        <v>197195420.06999984</v>
      </c>
      <c r="G35" s="2">
        <f t="shared" si="5"/>
        <v>165341686.81999984</v>
      </c>
    </row>
    <row r="36" spans="1:7" x14ac:dyDescent="0.25">
      <c r="A36" s="29">
        <v>42830</v>
      </c>
      <c r="B36" s="1">
        <f t="shared" si="2"/>
        <v>30</v>
      </c>
      <c r="C36" s="4">
        <f t="shared" si="0"/>
        <v>34318676</v>
      </c>
      <c r="D36" s="2">
        <f t="shared" si="1"/>
        <v>32251904.91</v>
      </c>
      <c r="E36" s="19">
        <f t="shared" si="3"/>
        <v>2066771.09</v>
      </c>
      <c r="F36" s="2">
        <f t="shared" si="4"/>
        <v>165341686.81999984</v>
      </c>
      <c r="G36" s="2">
        <f t="shared" si="5"/>
        <v>133089781.90999985</v>
      </c>
    </row>
    <row r="37" spans="1:7" x14ac:dyDescent="0.25">
      <c r="A37" s="29">
        <v>42860</v>
      </c>
      <c r="B37" s="1">
        <f t="shared" si="2"/>
        <v>30</v>
      </c>
      <c r="C37" s="4">
        <f t="shared" si="0"/>
        <v>34318676</v>
      </c>
      <c r="D37" s="2">
        <f t="shared" si="1"/>
        <v>32655053.73</v>
      </c>
      <c r="E37" s="19">
        <f t="shared" si="3"/>
        <v>1663622.27</v>
      </c>
      <c r="F37" s="2">
        <f t="shared" si="4"/>
        <v>133089781.90999985</v>
      </c>
      <c r="G37" s="2">
        <f t="shared" si="5"/>
        <v>100434728.17999984</v>
      </c>
    </row>
    <row r="38" spans="1:7" x14ac:dyDescent="0.25">
      <c r="A38" s="29">
        <v>42891</v>
      </c>
      <c r="B38" s="1">
        <f t="shared" si="2"/>
        <v>30</v>
      </c>
      <c r="C38" s="4">
        <f t="shared" si="0"/>
        <v>34318676</v>
      </c>
      <c r="D38" s="2">
        <f t="shared" si="1"/>
        <v>33063241.899999999</v>
      </c>
      <c r="E38" s="19">
        <f t="shared" si="3"/>
        <v>1255434.1000000001</v>
      </c>
      <c r="F38" s="2">
        <f t="shared" si="4"/>
        <v>100434728.17999984</v>
      </c>
      <c r="G38" s="2">
        <f t="shared" si="5"/>
        <v>67371486.279999852</v>
      </c>
    </row>
    <row r="39" spans="1:7" x14ac:dyDescent="0.25">
      <c r="A39" s="29">
        <v>42921</v>
      </c>
      <c r="B39" s="1">
        <f t="shared" si="2"/>
        <v>30</v>
      </c>
      <c r="C39" s="4">
        <f t="shared" si="0"/>
        <v>34318676</v>
      </c>
      <c r="D39" s="2">
        <f t="shared" si="1"/>
        <v>33476532.420000002</v>
      </c>
      <c r="E39" s="19">
        <f t="shared" si="3"/>
        <v>842143.58</v>
      </c>
      <c r="F39" s="2">
        <f t="shared" si="4"/>
        <v>67371486.279999852</v>
      </c>
      <c r="G39" s="2">
        <f t="shared" si="5"/>
        <v>33894953.85999985</v>
      </c>
    </row>
    <row r="40" spans="1:7" x14ac:dyDescent="0.25">
      <c r="A40" s="29">
        <v>42952</v>
      </c>
      <c r="B40" s="1">
        <f t="shared" si="2"/>
        <v>30</v>
      </c>
      <c r="C40" s="4">
        <f t="shared" si="0"/>
        <v>34318676</v>
      </c>
      <c r="D40" s="2">
        <f>C40-E40</f>
        <v>33894953.85999985</v>
      </c>
      <c r="E40" s="19">
        <v>423722.1400001478</v>
      </c>
      <c r="F40" s="2">
        <f t="shared" si="4"/>
        <v>33894953.85999985</v>
      </c>
      <c r="G40" s="2">
        <f t="shared" si="5"/>
        <v>0</v>
      </c>
    </row>
    <row r="41" spans="1:7" x14ac:dyDescent="0.25">
      <c r="A41" s="118">
        <v>42405</v>
      </c>
      <c r="B41" s="119">
        <f>DAYS360(A21,A22,TRUE)</f>
        <v>30</v>
      </c>
      <c r="C41" s="4">
        <f t="shared" si="0"/>
        <v>34318676</v>
      </c>
      <c r="D41" s="120">
        <f>C22-E22</f>
        <v>27103471.75</v>
      </c>
      <c r="E41" s="121">
        <f>ROUND(F22*$B$2*B22/360,2)</f>
        <v>7215204.25</v>
      </c>
      <c r="F41" s="120">
        <f>G21</f>
        <v>577216339.74999976</v>
      </c>
      <c r="G41" s="120">
        <f t="shared" si="5"/>
        <v>550112867.99999976</v>
      </c>
    </row>
    <row r="42" spans="1:7" x14ac:dyDescent="0.25">
      <c r="A42" s="29">
        <v>42434</v>
      </c>
      <c r="B42" s="1">
        <f t="shared" si="2"/>
        <v>30</v>
      </c>
      <c r="C42" s="4">
        <f>$E$2</f>
        <v>33623128</v>
      </c>
      <c r="D42" s="2">
        <f t="shared" ref="D42:D43" si="6">C42-E42</f>
        <v>26835383.82</v>
      </c>
      <c r="E42" s="19">
        <f>ROUND(((G41*$B$2*G2/360)+(F42*$B$2*H2/360)),2)</f>
        <v>6787744.1799999997</v>
      </c>
      <c r="F42" s="2">
        <f>G41-F2-J2</f>
        <v>538912867.99999976</v>
      </c>
      <c r="G42" s="2">
        <f t="shared" si="5"/>
        <v>512077484.17999977</v>
      </c>
    </row>
    <row r="43" spans="1:7" x14ac:dyDescent="0.25">
      <c r="A43" s="29">
        <v>42465</v>
      </c>
      <c r="B43" s="1">
        <f t="shared" si="2"/>
        <v>30</v>
      </c>
      <c r="C43" s="4">
        <f t="shared" ref="C43:C59" si="7">$E$2</f>
        <v>33623128</v>
      </c>
      <c r="D43" s="2">
        <f t="shared" si="6"/>
        <v>27222159.449999999</v>
      </c>
      <c r="E43" s="19">
        <f>ROUND(F43*$B$2*B43/360,2)</f>
        <v>6400968.5499999998</v>
      </c>
      <c r="F43" s="2">
        <f t="shared" ref="F43" si="8">G42</f>
        <v>512077484.17999977</v>
      </c>
      <c r="G43" s="2">
        <f t="shared" si="5"/>
        <v>484855324.72999978</v>
      </c>
    </row>
    <row r="44" spans="1:7" x14ac:dyDescent="0.25">
      <c r="A44" s="29">
        <v>42495</v>
      </c>
      <c r="B44" s="1">
        <f t="shared" ref="B44:B59" si="9">DAYS360(A43,A44)</f>
        <v>30</v>
      </c>
      <c r="C44" s="4">
        <f t="shared" si="7"/>
        <v>33623128</v>
      </c>
      <c r="D44" s="2">
        <f t="shared" ref="D44:D59" si="10">C44-E44</f>
        <v>27562436.440000001</v>
      </c>
      <c r="E44" s="19">
        <f t="shared" ref="E44:E58" si="11">ROUND(F44*$B$2*B44/360,2)</f>
        <v>6060691.5599999996</v>
      </c>
      <c r="F44" s="2">
        <f t="shared" ref="F44:F59" si="12">G43</f>
        <v>484855324.72999978</v>
      </c>
      <c r="G44" s="2">
        <f t="shared" ref="G44:G59" si="13">F44-D44</f>
        <v>457292888.28999978</v>
      </c>
    </row>
    <row r="45" spans="1:7" x14ac:dyDescent="0.25">
      <c r="A45" s="29">
        <v>42526</v>
      </c>
      <c r="B45" s="1">
        <f t="shared" si="9"/>
        <v>30</v>
      </c>
      <c r="C45" s="4">
        <f t="shared" si="7"/>
        <v>33623128</v>
      </c>
      <c r="D45" s="2">
        <f t="shared" si="10"/>
        <v>27906966.899999999</v>
      </c>
      <c r="E45" s="19">
        <f t="shared" si="11"/>
        <v>5716161.0999999996</v>
      </c>
      <c r="F45" s="2">
        <f t="shared" si="12"/>
        <v>457292888.28999978</v>
      </c>
      <c r="G45" s="2">
        <f t="shared" si="13"/>
        <v>429385921.38999981</v>
      </c>
    </row>
    <row r="46" spans="1:7" x14ac:dyDescent="0.25">
      <c r="A46" s="29">
        <v>42556</v>
      </c>
      <c r="B46" s="1">
        <f t="shared" si="9"/>
        <v>30</v>
      </c>
      <c r="C46" s="4">
        <f t="shared" si="7"/>
        <v>33623128</v>
      </c>
      <c r="D46" s="2">
        <f t="shared" si="10"/>
        <v>28255803.98</v>
      </c>
      <c r="E46" s="19">
        <f t="shared" si="11"/>
        <v>5367324.0199999996</v>
      </c>
      <c r="F46" s="2">
        <f t="shared" si="12"/>
        <v>429385921.38999981</v>
      </c>
      <c r="G46" s="2">
        <f t="shared" si="13"/>
        <v>401130117.40999979</v>
      </c>
    </row>
    <row r="47" spans="1:7" x14ac:dyDescent="0.25">
      <c r="A47" s="29">
        <v>42587</v>
      </c>
      <c r="B47" s="1">
        <f t="shared" si="9"/>
        <v>30</v>
      </c>
      <c r="C47" s="4">
        <f t="shared" si="7"/>
        <v>33623128</v>
      </c>
      <c r="D47" s="2">
        <f t="shared" si="10"/>
        <v>28609001.530000001</v>
      </c>
      <c r="E47" s="19">
        <f t="shared" si="11"/>
        <v>5014126.47</v>
      </c>
      <c r="F47" s="2">
        <f t="shared" si="12"/>
        <v>401130117.40999979</v>
      </c>
      <c r="G47" s="2">
        <f t="shared" si="13"/>
        <v>372521115.87999976</v>
      </c>
    </row>
    <row r="48" spans="1:7" x14ac:dyDescent="0.25">
      <c r="A48" s="29">
        <v>42618</v>
      </c>
      <c r="B48" s="1">
        <f t="shared" si="9"/>
        <v>30</v>
      </c>
      <c r="C48" s="4">
        <f t="shared" si="7"/>
        <v>33623128</v>
      </c>
      <c r="D48" s="2">
        <f t="shared" si="10"/>
        <v>28966614.050000001</v>
      </c>
      <c r="E48" s="19">
        <f t="shared" si="11"/>
        <v>4656513.95</v>
      </c>
      <c r="F48" s="2">
        <f t="shared" si="12"/>
        <v>372521115.87999976</v>
      </c>
      <c r="G48" s="2">
        <f t="shared" si="13"/>
        <v>343554501.82999974</v>
      </c>
    </row>
    <row r="49" spans="1:7" x14ac:dyDescent="0.25">
      <c r="A49" s="29">
        <v>42648</v>
      </c>
      <c r="B49" s="1">
        <f t="shared" si="9"/>
        <v>30</v>
      </c>
      <c r="C49" s="4">
        <f t="shared" si="7"/>
        <v>33623128</v>
      </c>
      <c r="D49" s="2">
        <f t="shared" si="10"/>
        <v>29328696.73</v>
      </c>
      <c r="E49" s="19">
        <f t="shared" si="11"/>
        <v>4294431.2699999996</v>
      </c>
      <c r="F49" s="2">
        <f t="shared" si="12"/>
        <v>343554501.82999974</v>
      </c>
      <c r="G49" s="2">
        <f t="shared" si="13"/>
        <v>314225805.09999973</v>
      </c>
    </row>
    <row r="50" spans="1:7" x14ac:dyDescent="0.25">
      <c r="A50" s="29">
        <v>42679</v>
      </c>
      <c r="B50" s="1">
        <f t="shared" si="9"/>
        <v>30</v>
      </c>
      <c r="C50" s="4">
        <f t="shared" si="7"/>
        <v>33623128</v>
      </c>
      <c r="D50" s="2">
        <f t="shared" si="10"/>
        <v>29695305.440000001</v>
      </c>
      <c r="E50" s="19">
        <f t="shared" si="11"/>
        <v>3927822.56</v>
      </c>
      <c r="F50" s="2">
        <f t="shared" si="12"/>
        <v>314225805.09999973</v>
      </c>
      <c r="G50" s="2">
        <f t="shared" si="13"/>
        <v>284530499.65999973</v>
      </c>
    </row>
    <row r="51" spans="1:7" x14ac:dyDescent="0.25">
      <c r="A51" s="29">
        <v>42709</v>
      </c>
      <c r="B51" s="1">
        <f t="shared" si="9"/>
        <v>30</v>
      </c>
      <c r="C51" s="4">
        <f t="shared" si="7"/>
        <v>33623128</v>
      </c>
      <c r="D51" s="2">
        <f t="shared" si="10"/>
        <v>30066496.75</v>
      </c>
      <c r="E51" s="19">
        <f t="shared" si="11"/>
        <v>3556631.25</v>
      </c>
      <c r="F51" s="2">
        <f t="shared" si="12"/>
        <v>284530499.65999973</v>
      </c>
      <c r="G51" s="2">
        <f t="shared" si="13"/>
        <v>254464002.90999973</v>
      </c>
    </row>
    <row r="52" spans="1:7" x14ac:dyDescent="0.25">
      <c r="A52" s="29">
        <v>42740</v>
      </c>
      <c r="B52" s="1">
        <f t="shared" si="9"/>
        <v>30</v>
      </c>
      <c r="C52" s="4">
        <f t="shared" si="7"/>
        <v>33623128</v>
      </c>
      <c r="D52" s="2">
        <f t="shared" si="10"/>
        <v>30442327.960000001</v>
      </c>
      <c r="E52" s="19">
        <f t="shared" si="11"/>
        <v>3180800.04</v>
      </c>
      <c r="F52" s="2">
        <f t="shared" si="12"/>
        <v>254464002.90999973</v>
      </c>
      <c r="G52" s="2">
        <f t="shared" si="13"/>
        <v>224021674.94999972</v>
      </c>
    </row>
    <row r="53" spans="1:7" x14ac:dyDescent="0.25">
      <c r="A53" s="29">
        <v>42771</v>
      </c>
      <c r="B53" s="1">
        <f t="shared" si="9"/>
        <v>30</v>
      </c>
      <c r="C53" s="4">
        <f t="shared" si="7"/>
        <v>33623128</v>
      </c>
      <c r="D53" s="2">
        <f t="shared" si="10"/>
        <v>30822857.059999999</v>
      </c>
      <c r="E53" s="19">
        <f t="shared" si="11"/>
        <v>2800270.94</v>
      </c>
      <c r="F53" s="2">
        <f t="shared" si="12"/>
        <v>224021674.94999972</v>
      </c>
      <c r="G53" s="2">
        <f t="shared" si="13"/>
        <v>193198817.88999972</v>
      </c>
    </row>
    <row r="54" spans="1:7" x14ac:dyDescent="0.25">
      <c r="A54" s="56">
        <v>42799</v>
      </c>
      <c r="B54" s="1">
        <f t="shared" si="9"/>
        <v>30</v>
      </c>
      <c r="C54" s="4">
        <f t="shared" si="7"/>
        <v>33623128</v>
      </c>
      <c r="D54" s="2">
        <f t="shared" si="10"/>
        <v>31208142.780000001</v>
      </c>
      <c r="E54" s="19">
        <f t="shared" si="11"/>
        <v>2414985.2200000002</v>
      </c>
      <c r="F54" s="2">
        <f t="shared" si="12"/>
        <v>193198817.88999972</v>
      </c>
      <c r="G54" s="2">
        <f t="shared" si="13"/>
        <v>161990675.10999972</v>
      </c>
    </row>
    <row r="55" spans="1:7" x14ac:dyDescent="0.25">
      <c r="A55" s="29">
        <v>42830</v>
      </c>
      <c r="B55" s="1">
        <f t="shared" si="9"/>
        <v>30</v>
      </c>
      <c r="C55" s="4">
        <f t="shared" si="7"/>
        <v>33623128</v>
      </c>
      <c r="D55" s="2">
        <f t="shared" si="10"/>
        <v>31598244.559999999</v>
      </c>
      <c r="E55" s="19">
        <f t="shared" si="11"/>
        <v>2024883.44</v>
      </c>
      <c r="F55" s="2">
        <f t="shared" si="12"/>
        <v>161990675.10999972</v>
      </c>
      <c r="G55" s="2">
        <f t="shared" si="13"/>
        <v>130392430.54999971</v>
      </c>
    </row>
    <row r="56" spans="1:7" x14ac:dyDescent="0.25">
      <c r="A56" s="29">
        <v>42860</v>
      </c>
      <c r="B56" s="1">
        <f t="shared" si="9"/>
        <v>30</v>
      </c>
      <c r="C56" s="4">
        <f t="shared" si="7"/>
        <v>33623128</v>
      </c>
      <c r="D56" s="2">
        <f t="shared" si="10"/>
        <v>31993222.620000001</v>
      </c>
      <c r="E56" s="19">
        <f t="shared" si="11"/>
        <v>1629905.38</v>
      </c>
      <c r="F56" s="2">
        <f t="shared" si="12"/>
        <v>130392430.54999971</v>
      </c>
      <c r="G56" s="2">
        <f t="shared" si="13"/>
        <v>98399207.929999709</v>
      </c>
    </row>
    <row r="57" spans="1:7" x14ac:dyDescent="0.25">
      <c r="A57" s="29">
        <v>42891</v>
      </c>
      <c r="B57" s="1">
        <f t="shared" si="9"/>
        <v>30</v>
      </c>
      <c r="C57" s="4">
        <f t="shared" si="7"/>
        <v>33623128</v>
      </c>
      <c r="D57" s="2">
        <f t="shared" si="10"/>
        <v>32393137.899999999</v>
      </c>
      <c r="E57" s="19">
        <f t="shared" si="11"/>
        <v>1229990.1000000001</v>
      </c>
      <c r="F57" s="2">
        <f t="shared" si="12"/>
        <v>98399207.929999709</v>
      </c>
      <c r="G57" s="2">
        <f t="shared" si="13"/>
        <v>66006070.029999711</v>
      </c>
    </row>
    <row r="58" spans="1:7" x14ac:dyDescent="0.25">
      <c r="A58" s="29">
        <v>42921</v>
      </c>
      <c r="B58" s="1">
        <f t="shared" si="9"/>
        <v>30</v>
      </c>
      <c r="C58" s="4">
        <f t="shared" si="7"/>
        <v>33623128</v>
      </c>
      <c r="D58" s="2">
        <f t="shared" si="10"/>
        <v>32798052.120000001</v>
      </c>
      <c r="E58" s="19">
        <f t="shared" si="11"/>
        <v>825075.88</v>
      </c>
      <c r="F58" s="2">
        <f t="shared" si="12"/>
        <v>66006070.029999711</v>
      </c>
      <c r="G58" s="2">
        <f t="shared" si="13"/>
        <v>33208017.90999971</v>
      </c>
    </row>
    <row r="59" spans="1:7" x14ac:dyDescent="0.25">
      <c r="A59" s="29">
        <v>42952</v>
      </c>
      <c r="B59" s="1">
        <f t="shared" si="9"/>
        <v>30</v>
      </c>
      <c r="C59" s="4">
        <f t="shared" si="7"/>
        <v>33623128</v>
      </c>
      <c r="D59" s="2">
        <f t="shared" si="10"/>
        <v>33208017.90999971</v>
      </c>
      <c r="E59" s="19">
        <v>415110.09000029159</v>
      </c>
      <c r="F59" s="2">
        <f t="shared" si="12"/>
        <v>33208017.90999971</v>
      </c>
      <c r="G59" s="2">
        <f t="shared" si="13"/>
        <v>0</v>
      </c>
    </row>
  </sheetData>
  <pageMargins left="0.7" right="0.7" top="0.75" bottom="0.75" header="0.3" footer="0.3"/>
  <pageSetup orientation="portrait" r:id="rId1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BE7F58-627C-4E95-8533-F7CDB63AA94F}">
  <dimension ref="A1:R9"/>
  <sheetViews>
    <sheetView workbookViewId="0">
      <selection activeCell="A2" sqref="A2:A9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6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371</v>
      </c>
      <c r="D2" s="8" t="s">
        <v>71</v>
      </c>
      <c r="E2" s="8" t="s">
        <v>23</v>
      </c>
      <c r="F2" s="8" t="s">
        <v>274</v>
      </c>
      <c r="G2" s="8" t="s">
        <v>42</v>
      </c>
      <c r="H2" s="8" t="s">
        <v>181</v>
      </c>
      <c r="I2" s="8" t="s">
        <v>0</v>
      </c>
      <c r="J2" s="8" t="s">
        <v>42</v>
      </c>
      <c r="K2" s="8" t="s">
        <v>25</v>
      </c>
      <c r="L2" s="8" t="s">
        <v>372</v>
      </c>
      <c r="M2" s="8" t="s">
        <v>27</v>
      </c>
      <c r="N2" s="7" t="s">
        <v>29</v>
      </c>
      <c r="O2" s="7" t="s">
        <v>373</v>
      </c>
      <c r="P2" s="7" t="s">
        <v>45</v>
      </c>
      <c r="Q2" s="7" t="s">
        <v>374</v>
      </c>
      <c r="R2" s="165" t="s">
        <v>38</v>
      </c>
    </row>
    <row r="3" spans="1:18" x14ac:dyDescent="0.25">
      <c r="A3" s="12" t="s">
        <v>0</v>
      </c>
      <c r="B3" s="7" t="s">
        <v>9</v>
      </c>
      <c r="C3" s="7" t="s">
        <v>371</v>
      </c>
      <c r="D3" s="8" t="s">
        <v>71</v>
      </c>
      <c r="E3" s="8" t="s">
        <v>23</v>
      </c>
      <c r="F3" s="8" t="s">
        <v>274</v>
      </c>
      <c r="G3" s="8" t="s">
        <v>42</v>
      </c>
      <c r="H3" s="8" t="s">
        <v>181</v>
      </c>
      <c r="I3" s="8" t="s">
        <v>0</v>
      </c>
      <c r="J3" s="8" t="s">
        <v>42</v>
      </c>
      <c r="K3" s="8" t="s">
        <v>25</v>
      </c>
      <c r="L3" s="8" t="s">
        <v>372</v>
      </c>
      <c r="M3" s="8" t="s">
        <v>27</v>
      </c>
      <c r="N3" s="7" t="s">
        <v>29</v>
      </c>
      <c r="O3" s="7" t="s">
        <v>375</v>
      </c>
      <c r="P3" s="7" t="s">
        <v>45</v>
      </c>
      <c r="Q3" s="7" t="s">
        <v>374</v>
      </c>
      <c r="R3" s="165" t="s">
        <v>57</v>
      </c>
    </row>
    <row r="4" spans="1:18" x14ac:dyDescent="0.25">
      <c r="A4" s="12" t="s">
        <v>0</v>
      </c>
      <c r="B4" s="7" t="s">
        <v>9</v>
      </c>
      <c r="C4" s="7" t="s">
        <v>371</v>
      </c>
      <c r="D4" s="8" t="s">
        <v>71</v>
      </c>
      <c r="E4" s="8" t="s">
        <v>23</v>
      </c>
      <c r="F4" s="8" t="s">
        <v>274</v>
      </c>
      <c r="G4" s="8" t="s">
        <v>42</v>
      </c>
      <c r="H4" s="8" t="s">
        <v>181</v>
      </c>
      <c r="I4" s="8" t="s">
        <v>0</v>
      </c>
      <c r="J4" s="8" t="s">
        <v>42</v>
      </c>
      <c r="K4" s="8" t="s">
        <v>31</v>
      </c>
      <c r="L4" s="8" t="s">
        <v>372</v>
      </c>
      <c r="M4" s="8" t="s">
        <v>27</v>
      </c>
      <c r="N4" s="7" t="s">
        <v>29</v>
      </c>
      <c r="O4" s="7" t="s">
        <v>373</v>
      </c>
      <c r="P4" s="7" t="s">
        <v>45</v>
      </c>
      <c r="Q4" s="7" t="s">
        <v>374</v>
      </c>
      <c r="R4" s="165" t="s">
        <v>54</v>
      </c>
    </row>
    <row r="5" spans="1:18" x14ac:dyDescent="0.25">
      <c r="A5" s="12" t="s">
        <v>0</v>
      </c>
      <c r="B5" s="7" t="s">
        <v>9</v>
      </c>
      <c r="C5" s="7" t="s">
        <v>371</v>
      </c>
      <c r="D5" s="8" t="s">
        <v>71</v>
      </c>
      <c r="E5" s="8" t="s">
        <v>23</v>
      </c>
      <c r="F5" s="8" t="s">
        <v>274</v>
      </c>
      <c r="G5" s="8" t="s">
        <v>42</v>
      </c>
      <c r="H5" s="8" t="s">
        <v>181</v>
      </c>
      <c r="I5" s="8" t="s">
        <v>0</v>
      </c>
      <c r="J5" s="8" t="s">
        <v>42</v>
      </c>
      <c r="K5" s="8" t="s">
        <v>31</v>
      </c>
      <c r="L5" s="8" t="s">
        <v>372</v>
      </c>
      <c r="M5" s="8" t="s">
        <v>27</v>
      </c>
      <c r="N5" s="7" t="s">
        <v>29</v>
      </c>
      <c r="O5" s="7" t="s">
        <v>375</v>
      </c>
      <c r="P5" s="7" t="s">
        <v>45</v>
      </c>
      <c r="Q5" s="7" t="s">
        <v>374</v>
      </c>
      <c r="R5" s="165" t="s">
        <v>58</v>
      </c>
    </row>
    <row r="6" spans="1:18" x14ac:dyDescent="0.25">
      <c r="A6" s="12" t="s">
        <v>0</v>
      </c>
      <c r="B6" s="7" t="s">
        <v>9</v>
      </c>
      <c r="C6" s="7" t="s">
        <v>371</v>
      </c>
      <c r="D6" s="8" t="s">
        <v>71</v>
      </c>
      <c r="E6" s="8" t="s">
        <v>23</v>
      </c>
      <c r="F6" s="8" t="s">
        <v>274</v>
      </c>
      <c r="G6" s="8" t="s">
        <v>42</v>
      </c>
      <c r="H6" s="8" t="s">
        <v>181</v>
      </c>
      <c r="I6" s="8" t="s">
        <v>0</v>
      </c>
      <c r="J6" s="8" t="s">
        <v>42</v>
      </c>
      <c r="K6" s="8" t="s">
        <v>25</v>
      </c>
      <c r="L6" s="8" t="s">
        <v>372</v>
      </c>
      <c r="M6" s="8" t="s">
        <v>27</v>
      </c>
      <c r="N6" s="7" t="s">
        <v>29</v>
      </c>
      <c r="O6" s="7" t="s">
        <v>376</v>
      </c>
      <c r="P6" s="7" t="s">
        <v>21</v>
      </c>
      <c r="Q6" s="7" t="s">
        <v>79</v>
      </c>
      <c r="R6" s="165" t="s">
        <v>377</v>
      </c>
    </row>
    <row r="7" spans="1:18" x14ac:dyDescent="0.25">
      <c r="A7" s="12" t="s">
        <v>0</v>
      </c>
      <c r="B7" s="7" t="s">
        <v>9</v>
      </c>
      <c r="C7" s="7" t="s">
        <v>371</v>
      </c>
      <c r="D7" s="8" t="s">
        <v>71</v>
      </c>
      <c r="E7" s="8" t="s">
        <v>23</v>
      </c>
      <c r="F7" s="8" t="s">
        <v>274</v>
      </c>
      <c r="G7" s="8" t="s">
        <v>42</v>
      </c>
      <c r="H7" s="8" t="s">
        <v>181</v>
      </c>
      <c r="I7" s="8" t="s">
        <v>0</v>
      </c>
      <c r="J7" s="8" t="s">
        <v>42</v>
      </c>
      <c r="K7" s="8" t="s">
        <v>31</v>
      </c>
      <c r="L7" s="8" t="s">
        <v>372</v>
      </c>
      <c r="M7" s="8" t="s">
        <v>27</v>
      </c>
      <c r="N7" s="7" t="s">
        <v>29</v>
      </c>
      <c r="O7" s="7" t="s">
        <v>376</v>
      </c>
      <c r="P7" s="7" t="s">
        <v>21</v>
      </c>
      <c r="Q7" s="7" t="s">
        <v>79</v>
      </c>
      <c r="R7" s="165" t="s">
        <v>378</v>
      </c>
    </row>
    <row r="8" spans="1:18" x14ac:dyDescent="0.25">
      <c r="A8" s="12" t="s">
        <v>0</v>
      </c>
      <c r="B8" s="7" t="s">
        <v>9</v>
      </c>
      <c r="C8" s="7" t="s">
        <v>371</v>
      </c>
      <c r="D8" s="8" t="s">
        <v>71</v>
      </c>
      <c r="E8" s="8" t="s">
        <v>23</v>
      </c>
      <c r="F8" s="8" t="s">
        <v>274</v>
      </c>
      <c r="G8" s="8" t="s">
        <v>42</v>
      </c>
      <c r="H8" s="8" t="s">
        <v>181</v>
      </c>
      <c r="I8" s="8" t="s">
        <v>0</v>
      </c>
      <c r="J8" s="8" t="s">
        <v>42</v>
      </c>
      <c r="K8" s="8" t="s">
        <v>25</v>
      </c>
      <c r="L8" s="8" t="s">
        <v>372</v>
      </c>
      <c r="M8" s="8" t="s">
        <v>27</v>
      </c>
      <c r="N8" s="7" t="s">
        <v>29</v>
      </c>
      <c r="O8" s="7" t="s">
        <v>379</v>
      </c>
      <c r="P8" s="7" t="s">
        <v>21</v>
      </c>
      <c r="Q8" s="7" t="s">
        <v>79</v>
      </c>
      <c r="R8" s="165" t="s">
        <v>380</v>
      </c>
    </row>
    <row r="9" spans="1:18" x14ac:dyDescent="0.25">
      <c r="A9" s="12" t="s">
        <v>0</v>
      </c>
      <c r="B9" s="7" t="s">
        <v>9</v>
      </c>
      <c r="C9" s="7" t="s">
        <v>371</v>
      </c>
      <c r="D9" s="8" t="s">
        <v>71</v>
      </c>
      <c r="E9" s="8" t="s">
        <v>23</v>
      </c>
      <c r="F9" s="8" t="s">
        <v>274</v>
      </c>
      <c r="G9" s="8" t="s">
        <v>42</v>
      </c>
      <c r="H9" s="8" t="s">
        <v>181</v>
      </c>
      <c r="I9" s="8" t="s">
        <v>0</v>
      </c>
      <c r="J9" s="8" t="s">
        <v>42</v>
      </c>
      <c r="K9" s="8" t="s">
        <v>31</v>
      </c>
      <c r="L9" s="8" t="s">
        <v>372</v>
      </c>
      <c r="M9" s="8" t="s">
        <v>27</v>
      </c>
      <c r="N9" s="7" t="s">
        <v>29</v>
      </c>
      <c r="O9" s="7" t="s">
        <v>379</v>
      </c>
      <c r="P9" s="7" t="s">
        <v>21</v>
      </c>
      <c r="Q9" s="7" t="s">
        <v>79</v>
      </c>
      <c r="R9" s="165" t="s">
        <v>381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B38F9A-85BA-4122-BDB9-5C6044E37664}">
  <dimension ref="A1:H92"/>
  <sheetViews>
    <sheetView zoomScale="86" zoomScaleNormal="80" workbookViewId="0">
      <pane ySplit="3" topLeftCell="A47" activePane="bottomLeft" state="frozen"/>
      <selection activeCell="A8" sqref="A8"/>
      <selection pane="bottomLeft" activeCell="A53" sqref="A53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ROUNDUP(43149.2004572307,0)</f>
        <v>43150</v>
      </c>
      <c r="G1" s="83" t="s">
        <v>52</v>
      </c>
      <c r="H1" s="81">
        <v>44109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127</v>
      </c>
      <c r="H2" s="83">
        <v>56000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68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8" x14ac:dyDescent="0.25">
      <c r="A6" s="36">
        <v>44060</v>
      </c>
      <c r="B6" s="46">
        <f t="shared" ref="B6:B46" si="1">A6-A5</f>
        <v>7</v>
      </c>
      <c r="C6" s="47">
        <f t="shared" ref="C6:C52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52" si="4">F6-D6</f>
        <v>1922054.89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8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92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36">
        <v>44109</v>
      </c>
      <c r="B53" s="169">
        <f t="shared" ref="B53:G53" si="8">B13</f>
        <v>7</v>
      </c>
      <c r="C53" s="170">
        <f t="shared" si="8"/>
        <v>44670</v>
      </c>
      <c r="D53" s="171">
        <f t="shared" si="8"/>
        <v>39821.26</v>
      </c>
      <c r="E53" s="170">
        <f t="shared" si="8"/>
        <v>4848.74</v>
      </c>
      <c r="F53" s="170">
        <f t="shared" si="8"/>
        <v>1685514.64</v>
      </c>
      <c r="G53" s="170">
        <f t="shared" si="8"/>
        <v>1645693.38</v>
      </c>
    </row>
    <row r="54" spans="1:7" x14ac:dyDescent="0.25">
      <c r="A54" s="36">
        <v>44116</v>
      </c>
      <c r="B54" s="168">
        <f t="shared" si="7"/>
        <v>7</v>
      </c>
      <c r="C54" s="172">
        <f>$F$1</f>
        <v>43150</v>
      </c>
      <c r="D54" s="173">
        <f t="shared" si="0"/>
        <v>38576.910000000003</v>
      </c>
      <c r="E54" s="172">
        <f t="shared" ref="E54:E91" si="9">ROUND(F54*$B$2*B54/365,2)</f>
        <v>4573.09</v>
      </c>
      <c r="F54" s="172">
        <f>G53-H2</f>
        <v>1589693.38</v>
      </c>
      <c r="G54" s="172">
        <f t="shared" ref="G54:G92" si="10">F54-D54</f>
        <v>1551116.47</v>
      </c>
    </row>
    <row r="55" spans="1:7" x14ac:dyDescent="0.25">
      <c r="A55" s="36">
        <v>44123</v>
      </c>
      <c r="B55" s="168">
        <f t="shared" si="7"/>
        <v>7</v>
      </c>
      <c r="C55" s="172">
        <f t="shared" ref="C55:C92" si="11">$F$1</f>
        <v>43150</v>
      </c>
      <c r="D55" s="173">
        <f t="shared" si="0"/>
        <v>38687.879999999997</v>
      </c>
      <c r="E55" s="172">
        <f t="shared" si="9"/>
        <v>4462.12</v>
      </c>
      <c r="F55" s="172">
        <f t="shared" ref="F55:F92" si="12">G54</f>
        <v>1551116.47</v>
      </c>
      <c r="G55" s="172">
        <f t="shared" si="10"/>
        <v>1512428.59</v>
      </c>
    </row>
    <row r="56" spans="1:7" x14ac:dyDescent="0.25">
      <c r="A56" s="36">
        <v>44130</v>
      </c>
      <c r="B56" s="168">
        <f t="shared" si="7"/>
        <v>7</v>
      </c>
      <c r="C56" s="172">
        <f t="shared" si="11"/>
        <v>43150</v>
      </c>
      <c r="D56" s="173">
        <f t="shared" si="0"/>
        <v>38799.18</v>
      </c>
      <c r="E56" s="172">
        <f t="shared" si="9"/>
        <v>4350.82</v>
      </c>
      <c r="F56" s="172">
        <f t="shared" si="12"/>
        <v>1512428.59</v>
      </c>
      <c r="G56" s="172">
        <f t="shared" si="10"/>
        <v>1473629.4100000001</v>
      </c>
    </row>
    <row r="57" spans="1:7" x14ac:dyDescent="0.25">
      <c r="A57" s="36">
        <v>44137</v>
      </c>
      <c r="B57" s="168">
        <f t="shared" si="7"/>
        <v>7</v>
      </c>
      <c r="C57" s="172">
        <f t="shared" si="11"/>
        <v>43150</v>
      </c>
      <c r="D57" s="173">
        <f t="shared" si="0"/>
        <v>38910.79</v>
      </c>
      <c r="E57" s="172">
        <f t="shared" si="9"/>
        <v>4239.21</v>
      </c>
      <c r="F57" s="172">
        <f t="shared" si="12"/>
        <v>1473629.4100000001</v>
      </c>
      <c r="G57" s="172">
        <f t="shared" si="10"/>
        <v>1434718.62</v>
      </c>
    </row>
    <row r="58" spans="1:7" x14ac:dyDescent="0.25">
      <c r="A58" s="36">
        <v>44144</v>
      </c>
      <c r="B58" s="168">
        <f t="shared" si="7"/>
        <v>7</v>
      </c>
      <c r="C58" s="172">
        <f t="shared" si="11"/>
        <v>43150</v>
      </c>
      <c r="D58" s="173">
        <f t="shared" si="0"/>
        <v>39022.729999999996</v>
      </c>
      <c r="E58" s="172">
        <f t="shared" si="9"/>
        <v>4127.2700000000004</v>
      </c>
      <c r="F58" s="172">
        <f t="shared" si="12"/>
        <v>1434718.62</v>
      </c>
      <c r="G58" s="172">
        <f t="shared" si="10"/>
        <v>1395695.8900000001</v>
      </c>
    </row>
    <row r="59" spans="1:7" x14ac:dyDescent="0.25">
      <c r="A59" s="36">
        <v>44151</v>
      </c>
      <c r="B59" s="168">
        <f t="shared" si="7"/>
        <v>7</v>
      </c>
      <c r="C59" s="172">
        <f t="shared" si="11"/>
        <v>43150</v>
      </c>
      <c r="D59" s="173">
        <f t="shared" si="0"/>
        <v>39134.980000000003</v>
      </c>
      <c r="E59" s="172">
        <f t="shared" si="9"/>
        <v>4015.02</v>
      </c>
      <c r="F59" s="172">
        <f t="shared" si="12"/>
        <v>1395695.8900000001</v>
      </c>
      <c r="G59" s="172">
        <f t="shared" si="10"/>
        <v>1356560.9100000001</v>
      </c>
    </row>
    <row r="60" spans="1:7" x14ac:dyDescent="0.25">
      <c r="A60" s="36">
        <v>44158</v>
      </c>
      <c r="B60" s="168">
        <f t="shared" si="7"/>
        <v>7</v>
      </c>
      <c r="C60" s="172">
        <f t="shared" si="11"/>
        <v>43150</v>
      </c>
      <c r="D60" s="173">
        <f t="shared" si="0"/>
        <v>39247.56</v>
      </c>
      <c r="E60" s="172">
        <f t="shared" si="9"/>
        <v>3902.44</v>
      </c>
      <c r="F60" s="172">
        <f t="shared" si="12"/>
        <v>1356560.9100000001</v>
      </c>
      <c r="G60" s="172">
        <f t="shared" si="10"/>
        <v>1317313.3500000001</v>
      </c>
    </row>
    <row r="61" spans="1:7" x14ac:dyDescent="0.25">
      <c r="A61" s="36">
        <v>44165</v>
      </c>
      <c r="B61" s="168">
        <f t="shared" si="7"/>
        <v>7</v>
      </c>
      <c r="C61" s="172">
        <f t="shared" si="11"/>
        <v>43150</v>
      </c>
      <c r="D61" s="173">
        <f t="shared" si="0"/>
        <v>39360.47</v>
      </c>
      <c r="E61" s="172">
        <f t="shared" si="9"/>
        <v>3789.53</v>
      </c>
      <c r="F61" s="172">
        <f t="shared" si="12"/>
        <v>1317313.3500000001</v>
      </c>
      <c r="G61" s="172">
        <f t="shared" si="10"/>
        <v>1277952.8800000001</v>
      </c>
    </row>
    <row r="62" spans="1:7" x14ac:dyDescent="0.25">
      <c r="A62" s="36">
        <v>44172</v>
      </c>
      <c r="B62" s="168">
        <f t="shared" si="7"/>
        <v>7</v>
      </c>
      <c r="C62" s="172">
        <f t="shared" si="11"/>
        <v>43150</v>
      </c>
      <c r="D62" s="173">
        <f t="shared" si="0"/>
        <v>39473.699999999997</v>
      </c>
      <c r="E62" s="172">
        <f t="shared" si="9"/>
        <v>3676.3</v>
      </c>
      <c r="F62" s="172">
        <f t="shared" si="12"/>
        <v>1277952.8800000001</v>
      </c>
      <c r="G62" s="172">
        <f t="shared" si="10"/>
        <v>1238479.1800000002</v>
      </c>
    </row>
    <row r="63" spans="1:7" x14ac:dyDescent="0.25">
      <c r="A63" s="36">
        <v>44179</v>
      </c>
      <c r="B63" s="168">
        <f t="shared" si="7"/>
        <v>7</v>
      </c>
      <c r="C63" s="172">
        <f t="shared" si="11"/>
        <v>43150</v>
      </c>
      <c r="D63" s="173">
        <f t="shared" si="0"/>
        <v>39587.25</v>
      </c>
      <c r="E63" s="172">
        <f t="shared" si="9"/>
        <v>3562.75</v>
      </c>
      <c r="F63" s="172">
        <f t="shared" si="12"/>
        <v>1238479.1800000002</v>
      </c>
      <c r="G63" s="172">
        <f t="shared" si="10"/>
        <v>1198891.9300000002</v>
      </c>
    </row>
    <row r="64" spans="1:7" x14ac:dyDescent="0.25">
      <c r="A64" s="36">
        <v>44186</v>
      </c>
      <c r="B64" s="168">
        <f t="shared" si="7"/>
        <v>7</v>
      </c>
      <c r="C64" s="172">
        <f t="shared" si="11"/>
        <v>43150</v>
      </c>
      <c r="D64" s="173">
        <f t="shared" si="0"/>
        <v>39701.129999999997</v>
      </c>
      <c r="E64" s="172">
        <f t="shared" si="9"/>
        <v>3448.87</v>
      </c>
      <c r="F64" s="172">
        <f t="shared" si="12"/>
        <v>1198891.9300000002</v>
      </c>
      <c r="G64" s="172">
        <f t="shared" si="10"/>
        <v>1159190.8000000003</v>
      </c>
    </row>
    <row r="65" spans="1:7" x14ac:dyDescent="0.25">
      <c r="A65" s="36">
        <v>44193</v>
      </c>
      <c r="B65" s="168">
        <f t="shared" si="7"/>
        <v>7</v>
      </c>
      <c r="C65" s="172">
        <f t="shared" si="11"/>
        <v>43150</v>
      </c>
      <c r="D65" s="173">
        <f t="shared" si="0"/>
        <v>39815.339999999997</v>
      </c>
      <c r="E65" s="172">
        <f t="shared" si="9"/>
        <v>3334.66</v>
      </c>
      <c r="F65" s="172">
        <f t="shared" si="12"/>
        <v>1159190.8000000003</v>
      </c>
      <c r="G65" s="172">
        <f t="shared" si="10"/>
        <v>1119375.4600000002</v>
      </c>
    </row>
    <row r="66" spans="1:7" x14ac:dyDescent="0.25">
      <c r="A66" s="36">
        <v>44200</v>
      </c>
      <c r="B66" s="168">
        <f t="shared" si="7"/>
        <v>7</v>
      </c>
      <c r="C66" s="172">
        <f t="shared" si="11"/>
        <v>43150</v>
      </c>
      <c r="D66" s="173">
        <f t="shared" si="0"/>
        <v>39929.879999999997</v>
      </c>
      <c r="E66" s="172">
        <f t="shared" si="9"/>
        <v>3220.12</v>
      </c>
      <c r="F66" s="172">
        <f t="shared" si="12"/>
        <v>1119375.4600000002</v>
      </c>
      <c r="G66" s="172">
        <f t="shared" si="10"/>
        <v>1079445.5800000003</v>
      </c>
    </row>
    <row r="67" spans="1:7" x14ac:dyDescent="0.25">
      <c r="A67" s="36">
        <v>44207</v>
      </c>
      <c r="B67" s="168">
        <f t="shared" si="7"/>
        <v>7</v>
      </c>
      <c r="C67" s="172">
        <f t="shared" si="11"/>
        <v>43150</v>
      </c>
      <c r="D67" s="173">
        <f t="shared" si="0"/>
        <v>40044.75</v>
      </c>
      <c r="E67" s="172">
        <f t="shared" si="9"/>
        <v>3105.25</v>
      </c>
      <c r="F67" s="172">
        <f t="shared" si="12"/>
        <v>1079445.5800000003</v>
      </c>
      <c r="G67" s="172">
        <f t="shared" si="10"/>
        <v>1039400.8300000003</v>
      </c>
    </row>
    <row r="68" spans="1:7" x14ac:dyDescent="0.25">
      <c r="A68" s="36">
        <v>44214</v>
      </c>
      <c r="B68" s="168">
        <f t="shared" si="7"/>
        <v>7</v>
      </c>
      <c r="C68" s="172">
        <f t="shared" si="11"/>
        <v>43150</v>
      </c>
      <c r="D68" s="173">
        <f t="shared" si="0"/>
        <v>40159.94</v>
      </c>
      <c r="E68" s="172">
        <f t="shared" si="9"/>
        <v>2990.06</v>
      </c>
      <c r="F68" s="172">
        <f t="shared" si="12"/>
        <v>1039400.8300000003</v>
      </c>
      <c r="G68" s="172">
        <f t="shared" si="10"/>
        <v>999240.89000000036</v>
      </c>
    </row>
    <row r="69" spans="1:7" x14ac:dyDescent="0.25">
      <c r="A69" s="36">
        <v>44221</v>
      </c>
      <c r="B69" s="168">
        <f t="shared" si="7"/>
        <v>7</v>
      </c>
      <c r="C69" s="172">
        <f t="shared" si="11"/>
        <v>43150</v>
      </c>
      <c r="D69" s="173">
        <f t="shared" ref="D69:D92" si="13">C69-E69</f>
        <v>40275.47</v>
      </c>
      <c r="E69" s="172">
        <f t="shared" si="9"/>
        <v>2874.53</v>
      </c>
      <c r="F69" s="172">
        <f t="shared" si="12"/>
        <v>999240.89000000036</v>
      </c>
      <c r="G69" s="172">
        <f t="shared" si="10"/>
        <v>958965.42000000039</v>
      </c>
    </row>
    <row r="70" spans="1:7" x14ac:dyDescent="0.25">
      <c r="A70" s="36">
        <v>44228</v>
      </c>
      <c r="B70" s="168">
        <f t="shared" si="7"/>
        <v>7</v>
      </c>
      <c r="C70" s="172">
        <f t="shared" si="11"/>
        <v>43150</v>
      </c>
      <c r="D70" s="173">
        <f t="shared" si="13"/>
        <v>40391.33</v>
      </c>
      <c r="E70" s="172">
        <f t="shared" si="9"/>
        <v>2758.67</v>
      </c>
      <c r="F70" s="172">
        <f t="shared" si="12"/>
        <v>958965.42000000039</v>
      </c>
      <c r="G70" s="172">
        <f t="shared" si="10"/>
        <v>918574.09000000043</v>
      </c>
    </row>
    <row r="71" spans="1:7" x14ac:dyDescent="0.25">
      <c r="A71" s="36">
        <v>44235</v>
      </c>
      <c r="B71" s="168">
        <f t="shared" si="7"/>
        <v>7</v>
      </c>
      <c r="C71" s="172">
        <f t="shared" si="11"/>
        <v>43150</v>
      </c>
      <c r="D71" s="173">
        <f t="shared" si="13"/>
        <v>40507.53</v>
      </c>
      <c r="E71" s="172">
        <f t="shared" si="9"/>
        <v>2642.47</v>
      </c>
      <c r="F71" s="172">
        <f t="shared" si="12"/>
        <v>918574.09000000043</v>
      </c>
      <c r="G71" s="172">
        <f t="shared" si="10"/>
        <v>878066.56000000041</v>
      </c>
    </row>
    <row r="72" spans="1:7" x14ac:dyDescent="0.25">
      <c r="A72" s="36">
        <v>44242</v>
      </c>
      <c r="B72" s="168">
        <f t="shared" si="7"/>
        <v>7</v>
      </c>
      <c r="C72" s="172">
        <f t="shared" si="11"/>
        <v>43150</v>
      </c>
      <c r="D72" s="173">
        <f t="shared" si="13"/>
        <v>40624.06</v>
      </c>
      <c r="E72" s="172">
        <f t="shared" si="9"/>
        <v>2525.94</v>
      </c>
      <c r="F72" s="172">
        <f t="shared" si="12"/>
        <v>878066.56000000041</v>
      </c>
      <c r="G72" s="172">
        <f t="shared" si="10"/>
        <v>837442.50000000047</v>
      </c>
    </row>
    <row r="73" spans="1:7" x14ac:dyDescent="0.25">
      <c r="A73" s="36">
        <v>44249</v>
      </c>
      <c r="B73" s="168">
        <f t="shared" si="7"/>
        <v>7</v>
      </c>
      <c r="C73" s="172">
        <f t="shared" si="11"/>
        <v>43150</v>
      </c>
      <c r="D73" s="173">
        <f t="shared" si="13"/>
        <v>40740.92</v>
      </c>
      <c r="E73" s="172">
        <f t="shared" si="9"/>
        <v>2409.08</v>
      </c>
      <c r="F73" s="172">
        <f t="shared" si="12"/>
        <v>837442.50000000047</v>
      </c>
      <c r="G73" s="172">
        <f t="shared" si="10"/>
        <v>796701.58000000042</v>
      </c>
    </row>
    <row r="74" spans="1:7" x14ac:dyDescent="0.25">
      <c r="A74" s="36">
        <v>44256</v>
      </c>
      <c r="B74" s="168">
        <f t="shared" si="7"/>
        <v>7</v>
      </c>
      <c r="C74" s="172">
        <f t="shared" si="11"/>
        <v>43150</v>
      </c>
      <c r="D74" s="173">
        <f t="shared" si="13"/>
        <v>40858.120000000003</v>
      </c>
      <c r="E74" s="172">
        <f t="shared" si="9"/>
        <v>2291.88</v>
      </c>
      <c r="F74" s="172">
        <f t="shared" si="12"/>
        <v>796701.58000000042</v>
      </c>
      <c r="G74" s="172">
        <f t="shared" si="10"/>
        <v>755843.46000000043</v>
      </c>
    </row>
    <row r="75" spans="1:7" x14ac:dyDescent="0.25">
      <c r="A75" s="36">
        <v>44263</v>
      </c>
      <c r="B75" s="168">
        <f t="shared" si="7"/>
        <v>7</v>
      </c>
      <c r="C75" s="172">
        <f t="shared" si="11"/>
        <v>43150</v>
      </c>
      <c r="D75" s="173">
        <f t="shared" si="13"/>
        <v>40975.660000000003</v>
      </c>
      <c r="E75" s="172">
        <f t="shared" si="9"/>
        <v>2174.34</v>
      </c>
      <c r="F75" s="172">
        <f t="shared" si="12"/>
        <v>755843.46000000043</v>
      </c>
      <c r="G75" s="172">
        <f t="shared" si="10"/>
        <v>714867.8000000004</v>
      </c>
    </row>
    <row r="76" spans="1:7" x14ac:dyDescent="0.25">
      <c r="A76" s="36">
        <v>44270</v>
      </c>
      <c r="B76" s="168">
        <f t="shared" si="7"/>
        <v>7</v>
      </c>
      <c r="C76" s="172">
        <f t="shared" si="11"/>
        <v>43150</v>
      </c>
      <c r="D76" s="173">
        <f t="shared" si="13"/>
        <v>41093.53</v>
      </c>
      <c r="E76" s="172">
        <f t="shared" si="9"/>
        <v>2056.4699999999998</v>
      </c>
      <c r="F76" s="172">
        <f t="shared" si="12"/>
        <v>714867.8000000004</v>
      </c>
      <c r="G76" s="172">
        <f t="shared" si="10"/>
        <v>673774.27000000037</v>
      </c>
    </row>
    <row r="77" spans="1:7" x14ac:dyDescent="0.25">
      <c r="A77" s="36">
        <v>44277</v>
      </c>
      <c r="B77" s="168">
        <f t="shared" si="7"/>
        <v>7</v>
      </c>
      <c r="C77" s="172">
        <f t="shared" si="11"/>
        <v>43150</v>
      </c>
      <c r="D77" s="173">
        <f t="shared" si="13"/>
        <v>41211.75</v>
      </c>
      <c r="E77" s="172">
        <f t="shared" si="9"/>
        <v>1938.25</v>
      </c>
      <c r="F77" s="172">
        <f t="shared" si="12"/>
        <v>673774.27000000037</v>
      </c>
      <c r="G77" s="172">
        <f t="shared" si="10"/>
        <v>632562.52000000037</v>
      </c>
    </row>
    <row r="78" spans="1:7" x14ac:dyDescent="0.25">
      <c r="A78" s="36">
        <v>44284</v>
      </c>
      <c r="B78" s="168">
        <f t="shared" si="7"/>
        <v>7</v>
      </c>
      <c r="C78" s="172">
        <f t="shared" si="11"/>
        <v>43150</v>
      </c>
      <c r="D78" s="173">
        <f t="shared" si="13"/>
        <v>41330.300000000003</v>
      </c>
      <c r="E78" s="172">
        <f t="shared" si="9"/>
        <v>1819.7</v>
      </c>
      <c r="F78" s="172">
        <f t="shared" si="12"/>
        <v>632562.52000000037</v>
      </c>
      <c r="G78" s="172">
        <f t="shared" si="10"/>
        <v>591232.22000000032</v>
      </c>
    </row>
    <row r="79" spans="1:7" x14ac:dyDescent="0.25">
      <c r="A79" s="36">
        <v>44291</v>
      </c>
      <c r="B79" s="168">
        <f t="shared" si="7"/>
        <v>7</v>
      </c>
      <c r="C79" s="172">
        <f t="shared" si="11"/>
        <v>43150</v>
      </c>
      <c r="D79" s="173">
        <f t="shared" si="13"/>
        <v>41449.19</v>
      </c>
      <c r="E79" s="172">
        <f t="shared" si="9"/>
        <v>1700.81</v>
      </c>
      <c r="F79" s="172">
        <f t="shared" si="12"/>
        <v>591232.22000000032</v>
      </c>
      <c r="G79" s="172">
        <f t="shared" si="10"/>
        <v>549783.03000000026</v>
      </c>
    </row>
    <row r="80" spans="1:7" x14ac:dyDescent="0.25">
      <c r="A80" s="36">
        <v>44298</v>
      </c>
      <c r="B80" s="168">
        <f t="shared" si="7"/>
        <v>7</v>
      </c>
      <c r="C80" s="172">
        <f t="shared" si="11"/>
        <v>43150</v>
      </c>
      <c r="D80" s="173">
        <f t="shared" si="13"/>
        <v>41568.43</v>
      </c>
      <c r="E80" s="172">
        <f t="shared" si="9"/>
        <v>1581.57</v>
      </c>
      <c r="F80" s="172">
        <f t="shared" si="12"/>
        <v>549783.03000000026</v>
      </c>
      <c r="G80" s="172">
        <f t="shared" si="10"/>
        <v>508214.60000000027</v>
      </c>
    </row>
    <row r="81" spans="1:7" x14ac:dyDescent="0.25">
      <c r="A81" s="36">
        <v>44305</v>
      </c>
      <c r="B81" s="168">
        <f t="shared" si="7"/>
        <v>7</v>
      </c>
      <c r="C81" s="172">
        <f t="shared" si="11"/>
        <v>43150</v>
      </c>
      <c r="D81" s="173">
        <f t="shared" si="13"/>
        <v>41688.01</v>
      </c>
      <c r="E81" s="172">
        <f t="shared" si="9"/>
        <v>1461.99</v>
      </c>
      <c r="F81" s="172">
        <f t="shared" si="12"/>
        <v>508214.60000000027</v>
      </c>
      <c r="G81" s="172">
        <f t="shared" si="10"/>
        <v>466526.59000000026</v>
      </c>
    </row>
    <row r="82" spans="1:7" x14ac:dyDescent="0.25">
      <c r="A82" s="36">
        <v>44312</v>
      </c>
      <c r="B82" s="168">
        <f t="shared" si="7"/>
        <v>7</v>
      </c>
      <c r="C82" s="172">
        <f t="shared" si="11"/>
        <v>43150</v>
      </c>
      <c r="D82" s="173">
        <f t="shared" si="13"/>
        <v>41807.94</v>
      </c>
      <c r="E82" s="172">
        <f t="shared" si="9"/>
        <v>1342.06</v>
      </c>
      <c r="F82" s="172">
        <f t="shared" si="12"/>
        <v>466526.59000000026</v>
      </c>
      <c r="G82" s="172">
        <f t="shared" si="10"/>
        <v>424718.65000000026</v>
      </c>
    </row>
    <row r="83" spans="1:7" x14ac:dyDescent="0.25">
      <c r="A83" s="36">
        <v>44319</v>
      </c>
      <c r="B83" s="168">
        <f t="shared" si="7"/>
        <v>7</v>
      </c>
      <c r="C83" s="172">
        <f t="shared" si="11"/>
        <v>43150</v>
      </c>
      <c r="D83" s="173">
        <f t="shared" si="13"/>
        <v>41928.21</v>
      </c>
      <c r="E83" s="172">
        <f t="shared" si="9"/>
        <v>1221.79</v>
      </c>
      <c r="F83" s="172">
        <f t="shared" si="12"/>
        <v>424718.65000000026</v>
      </c>
      <c r="G83" s="172">
        <f t="shared" si="10"/>
        <v>382790.44000000024</v>
      </c>
    </row>
    <row r="84" spans="1:7" x14ac:dyDescent="0.25">
      <c r="A84" s="36">
        <v>44326</v>
      </c>
      <c r="B84" s="168">
        <f t="shared" si="7"/>
        <v>7</v>
      </c>
      <c r="C84" s="172">
        <f t="shared" si="11"/>
        <v>43150</v>
      </c>
      <c r="D84" s="173">
        <f t="shared" si="13"/>
        <v>42048.82</v>
      </c>
      <c r="E84" s="172">
        <f t="shared" si="9"/>
        <v>1101.18</v>
      </c>
      <c r="F84" s="172">
        <f t="shared" si="12"/>
        <v>382790.44000000024</v>
      </c>
      <c r="G84" s="172">
        <f t="shared" si="10"/>
        <v>340741.62000000023</v>
      </c>
    </row>
    <row r="85" spans="1:7" x14ac:dyDescent="0.25">
      <c r="A85" s="36">
        <v>44333</v>
      </c>
      <c r="B85" s="168">
        <f t="shared" si="7"/>
        <v>7</v>
      </c>
      <c r="C85" s="172">
        <f t="shared" si="11"/>
        <v>43150</v>
      </c>
      <c r="D85" s="173">
        <f t="shared" si="13"/>
        <v>42169.78</v>
      </c>
      <c r="E85" s="172">
        <f t="shared" si="9"/>
        <v>980.22</v>
      </c>
      <c r="F85" s="172">
        <f t="shared" si="12"/>
        <v>340741.62000000023</v>
      </c>
      <c r="G85" s="172">
        <f t="shared" si="10"/>
        <v>298571.8400000002</v>
      </c>
    </row>
    <row r="86" spans="1:7" x14ac:dyDescent="0.25">
      <c r="A86" s="36">
        <v>44340</v>
      </c>
      <c r="B86" s="168">
        <f t="shared" si="7"/>
        <v>7</v>
      </c>
      <c r="C86" s="172">
        <f t="shared" si="11"/>
        <v>43150</v>
      </c>
      <c r="D86" s="173">
        <f t="shared" si="13"/>
        <v>42291.09</v>
      </c>
      <c r="E86" s="172">
        <f t="shared" si="9"/>
        <v>858.91</v>
      </c>
      <c r="F86" s="172">
        <f t="shared" si="12"/>
        <v>298571.8400000002</v>
      </c>
      <c r="G86" s="172">
        <f t="shared" si="10"/>
        <v>256280.7500000002</v>
      </c>
    </row>
    <row r="87" spans="1:7" x14ac:dyDescent="0.25">
      <c r="A87" s="36">
        <v>44347</v>
      </c>
      <c r="B87" s="168">
        <f t="shared" si="7"/>
        <v>7</v>
      </c>
      <c r="C87" s="172">
        <f t="shared" si="11"/>
        <v>43150</v>
      </c>
      <c r="D87" s="173">
        <f t="shared" si="13"/>
        <v>42412.75</v>
      </c>
      <c r="E87" s="172">
        <f t="shared" si="9"/>
        <v>737.25</v>
      </c>
      <c r="F87" s="172">
        <f t="shared" si="12"/>
        <v>256280.7500000002</v>
      </c>
      <c r="G87" s="172">
        <f t="shared" si="10"/>
        <v>213868.0000000002</v>
      </c>
    </row>
    <row r="88" spans="1:7" x14ac:dyDescent="0.25">
      <c r="A88" s="36">
        <v>44354</v>
      </c>
      <c r="B88" s="168">
        <f t="shared" si="7"/>
        <v>7</v>
      </c>
      <c r="C88" s="172">
        <f t="shared" si="11"/>
        <v>43150</v>
      </c>
      <c r="D88" s="173">
        <f t="shared" si="13"/>
        <v>42534.76</v>
      </c>
      <c r="E88" s="172">
        <f t="shared" si="9"/>
        <v>615.24</v>
      </c>
      <c r="F88" s="172">
        <f t="shared" si="12"/>
        <v>213868.0000000002</v>
      </c>
      <c r="G88" s="172">
        <f t="shared" si="10"/>
        <v>171333.24000000019</v>
      </c>
    </row>
    <row r="89" spans="1:7" x14ac:dyDescent="0.25">
      <c r="A89" s="36">
        <v>44361</v>
      </c>
      <c r="B89" s="168">
        <f t="shared" si="7"/>
        <v>7</v>
      </c>
      <c r="C89" s="172">
        <f t="shared" si="11"/>
        <v>43150</v>
      </c>
      <c r="D89" s="173">
        <f t="shared" si="13"/>
        <v>42657.120000000003</v>
      </c>
      <c r="E89" s="172">
        <f t="shared" si="9"/>
        <v>492.88</v>
      </c>
      <c r="F89" s="172">
        <f t="shared" si="12"/>
        <v>171333.24000000019</v>
      </c>
      <c r="G89" s="172">
        <f t="shared" si="10"/>
        <v>128676.1200000002</v>
      </c>
    </row>
    <row r="90" spans="1:7" x14ac:dyDescent="0.25">
      <c r="A90" s="36">
        <v>44368</v>
      </c>
      <c r="B90" s="168">
        <f t="shared" si="7"/>
        <v>7</v>
      </c>
      <c r="C90" s="172">
        <f t="shared" si="11"/>
        <v>43150</v>
      </c>
      <c r="D90" s="173">
        <f t="shared" si="13"/>
        <v>42779.839999999997</v>
      </c>
      <c r="E90" s="172">
        <f t="shared" si="9"/>
        <v>370.16</v>
      </c>
      <c r="F90" s="172">
        <f t="shared" si="12"/>
        <v>128676.1200000002</v>
      </c>
      <c r="G90" s="172">
        <f t="shared" si="10"/>
        <v>85896.280000000203</v>
      </c>
    </row>
    <row r="91" spans="1:7" x14ac:dyDescent="0.25">
      <c r="A91" s="36">
        <v>44375</v>
      </c>
      <c r="B91" s="168">
        <f t="shared" si="7"/>
        <v>7</v>
      </c>
      <c r="C91" s="172">
        <f t="shared" si="11"/>
        <v>43150</v>
      </c>
      <c r="D91" s="173">
        <f t="shared" si="13"/>
        <v>42902.9</v>
      </c>
      <c r="E91" s="172">
        <f t="shared" si="9"/>
        <v>247.1</v>
      </c>
      <c r="F91" s="172">
        <f t="shared" si="12"/>
        <v>85896.280000000203</v>
      </c>
      <c r="G91" s="172">
        <f t="shared" si="10"/>
        <v>42993.380000000201</v>
      </c>
    </row>
    <row r="92" spans="1:7" x14ac:dyDescent="0.25">
      <c r="A92" s="36">
        <v>44382</v>
      </c>
      <c r="B92" s="168">
        <f t="shared" si="7"/>
        <v>7</v>
      </c>
      <c r="C92" s="172">
        <f t="shared" si="11"/>
        <v>43150</v>
      </c>
      <c r="D92" s="173">
        <f t="shared" si="13"/>
        <v>42993.380000000201</v>
      </c>
      <c r="E92" s="172">
        <v>156.61999999979861</v>
      </c>
      <c r="F92" s="172">
        <f t="shared" si="12"/>
        <v>42993.380000000201</v>
      </c>
      <c r="G92" s="172">
        <f t="shared" si="10"/>
        <v>0</v>
      </c>
    </row>
  </sheetData>
  <pageMargins left="0.7" right="0.7" top="0.75" bottom="0.75" header="0.3" footer="0.3"/>
  <pageSetup orientation="portrait" r:id="rId1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325836-3FFC-4FB1-A414-D3E117C98EA2}">
  <dimension ref="A1:J92"/>
  <sheetViews>
    <sheetView zoomScale="86" zoomScaleNormal="80" workbookViewId="0">
      <pane ySplit="3" topLeftCell="A45" activePane="bottomLeft" state="frozen"/>
      <selection activeCell="A8" sqref="A8"/>
      <selection pane="bottomLeft" activeCell="A8" sqref="A8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7.28515625" customWidth="1"/>
    <col min="10" max="10" width="12.85546875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ROUNDUP(43186.9563118535,0)</f>
        <v>43187</v>
      </c>
      <c r="G1" s="83" t="s">
        <v>52</v>
      </c>
      <c r="H1" s="81">
        <v>44105</v>
      </c>
      <c r="I1" t="s">
        <v>382</v>
      </c>
      <c r="J1">
        <f>H1-A12</f>
        <v>3</v>
      </c>
    </row>
    <row r="2" spans="1:10" x14ac:dyDescent="0.25">
      <c r="A2" s="75" t="s">
        <v>34</v>
      </c>
      <c r="B2" s="76">
        <v>0.15</v>
      </c>
      <c r="C2" s="167">
        <v>2000000</v>
      </c>
      <c r="G2" s="83" t="s">
        <v>127</v>
      </c>
      <c r="H2" s="83">
        <v>56000</v>
      </c>
      <c r="I2" t="s">
        <v>383</v>
      </c>
      <c r="J2">
        <f>A13-H1</f>
        <v>4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10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68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10" x14ac:dyDescent="0.25">
      <c r="A6" s="36">
        <v>44060</v>
      </c>
      <c r="B6" s="46">
        <f t="shared" ref="B6:B46" si="1">A6-A5</f>
        <v>7</v>
      </c>
      <c r="C6" s="47">
        <f t="shared" ref="C6:C52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69" si="4">F6-D6</f>
        <v>1922054.89</v>
      </c>
    </row>
    <row r="7" spans="1:10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10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10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10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10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10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10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10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10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10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92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174">
        <v>44109</v>
      </c>
      <c r="B53" s="175">
        <f>B13</f>
        <v>7</v>
      </c>
      <c r="C53" s="176">
        <f>$F$1</f>
        <v>43187</v>
      </c>
      <c r="D53" s="177">
        <f t="shared" si="0"/>
        <v>38430.314049315071</v>
      </c>
      <c r="E53" s="176">
        <f>(G12*B2*J1/365)+(F53*B2*J2/365)</f>
        <v>4756.6859506849305</v>
      </c>
      <c r="F53" s="176">
        <f>G12-H2</f>
        <v>1629514.64</v>
      </c>
      <c r="G53" s="176">
        <f t="shared" si="4"/>
        <v>1591084.3259506847</v>
      </c>
    </row>
    <row r="54" spans="1:7" x14ac:dyDescent="0.25">
      <c r="A54" s="36">
        <v>44116</v>
      </c>
      <c r="B54" s="168">
        <f t="shared" si="7"/>
        <v>7</v>
      </c>
      <c r="C54" s="172">
        <f>$F$1</f>
        <v>43187</v>
      </c>
      <c r="D54" s="173">
        <f t="shared" si="0"/>
        <v>38609.910000000003</v>
      </c>
      <c r="E54" s="172">
        <f t="shared" ref="E54:E91" si="8">ROUND(F54*$B$2*B54/365,2)</f>
        <v>4577.09</v>
      </c>
      <c r="F54" s="172">
        <f t="shared" ref="F54:F92" si="9">G53</f>
        <v>1591084.3259506847</v>
      </c>
      <c r="G54" s="172">
        <f t="shared" si="4"/>
        <v>1552474.4159506848</v>
      </c>
    </row>
    <row r="55" spans="1:7" x14ac:dyDescent="0.25">
      <c r="A55" s="36">
        <v>44123</v>
      </c>
      <c r="B55" s="168">
        <f t="shared" si="7"/>
        <v>7</v>
      </c>
      <c r="C55" s="172">
        <f t="shared" ref="C55:C92" si="10">$F$1</f>
        <v>43187</v>
      </c>
      <c r="D55" s="173">
        <f t="shared" si="0"/>
        <v>38720.979999999996</v>
      </c>
      <c r="E55" s="172">
        <f t="shared" si="8"/>
        <v>4466.0200000000004</v>
      </c>
      <c r="F55" s="172">
        <f t="shared" si="9"/>
        <v>1552474.4159506848</v>
      </c>
      <c r="G55" s="172">
        <f t="shared" si="4"/>
        <v>1513753.4359506848</v>
      </c>
    </row>
    <row r="56" spans="1:7" x14ac:dyDescent="0.25">
      <c r="A56" s="36">
        <v>44130</v>
      </c>
      <c r="B56" s="168">
        <f t="shared" si="7"/>
        <v>7</v>
      </c>
      <c r="C56" s="172">
        <f t="shared" si="10"/>
        <v>43187</v>
      </c>
      <c r="D56" s="173">
        <f t="shared" si="0"/>
        <v>38832.370000000003</v>
      </c>
      <c r="E56" s="172">
        <f t="shared" si="8"/>
        <v>4354.63</v>
      </c>
      <c r="F56" s="172">
        <f t="shared" si="9"/>
        <v>1513753.4359506848</v>
      </c>
      <c r="G56" s="172">
        <f t="shared" si="4"/>
        <v>1474921.0659506847</v>
      </c>
    </row>
    <row r="57" spans="1:7" x14ac:dyDescent="0.25">
      <c r="A57" s="36">
        <v>44137</v>
      </c>
      <c r="B57" s="168">
        <f t="shared" si="7"/>
        <v>7</v>
      </c>
      <c r="C57" s="172">
        <f t="shared" si="10"/>
        <v>43187</v>
      </c>
      <c r="D57" s="173">
        <f t="shared" si="0"/>
        <v>38944.080000000002</v>
      </c>
      <c r="E57" s="172">
        <f t="shared" si="8"/>
        <v>4242.92</v>
      </c>
      <c r="F57" s="172">
        <f t="shared" si="9"/>
        <v>1474921.0659506847</v>
      </c>
      <c r="G57" s="172">
        <f t="shared" si="4"/>
        <v>1435976.9859506846</v>
      </c>
    </row>
    <row r="58" spans="1:7" x14ac:dyDescent="0.25">
      <c r="A58" s="36">
        <v>44144</v>
      </c>
      <c r="B58" s="168">
        <f t="shared" si="7"/>
        <v>7</v>
      </c>
      <c r="C58" s="172">
        <f t="shared" si="10"/>
        <v>43187</v>
      </c>
      <c r="D58" s="173">
        <f t="shared" si="0"/>
        <v>39056.11</v>
      </c>
      <c r="E58" s="172">
        <f t="shared" si="8"/>
        <v>4130.8900000000003</v>
      </c>
      <c r="F58" s="172">
        <f t="shared" si="9"/>
        <v>1435976.9859506846</v>
      </c>
      <c r="G58" s="172">
        <f t="shared" si="4"/>
        <v>1396920.8759506845</v>
      </c>
    </row>
    <row r="59" spans="1:7" x14ac:dyDescent="0.25">
      <c r="A59" s="36">
        <v>44151</v>
      </c>
      <c r="B59" s="168">
        <f t="shared" si="7"/>
        <v>7</v>
      </c>
      <c r="C59" s="172">
        <f t="shared" si="10"/>
        <v>43187</v>
      </c>
      <c r="D59" s="173">
        <f t="shared" si="0"/>
        <v>39168.46</v>
      </c>
      <c r="E59" s="172">
        <f t="shared" si="8"/>
        <v>4018.54</v>
      </c>
      <c r="F59" s="172">
        <f t="shared" si="9"/>
        <v>1396920.8759506845</v>
      </c>
      <c r="G59" s="172">
        <f t="shared" si="4"/>
        <v>1357752.4159506846</v>
      </c>
    </row>
    <row r="60" spans="1:7" x14ac:dyDescent="0.25">
      <c r="A60" s="36">
        <v>44158</v>
      </c>
      <c r="B60" s="168">
        <f t="shared" si="7"/>
        <v>7</v>
      </c>
      <c r="C60" s="172">
        <f t="shared" si="10"/>
        <v>43187</v>
      </c>
      <c r="D60" s="173">
        <f t="shared" si="0"/>
        <v>39281.14</v>
      </c>
      <c r="E60" s="172">
        <f t="shared" si="8"/>
        <v>3905.86</v>
      </c>
      <c r="F60" s="172">
        <f t="shared" si="9"/>
        <v>1357752.4159506846</v>
      </c>
      <c r="G60" s="172">
        <f t="shared" si="4"/>
        <v>1318471.2759506847</v>
      </c>
    </row>
    <row r="61" spans="1:7" x14ac:dyDescent="0.25">
      <c r="A61" s="36">
        <v>44165</v>
      </c>
      <c r="B61" s="168">
        <f t="shared" si="7"/>
        <v>7</v>
      </c>
      <c r="C61" s="172">
        <f t="shared" si="10"/>
        <v>43187</v>
      </c>
      <c r="D61" s="173">
        <f t="shared" si="0"/>
        <v>39394.14</v>
      </c>
      <c r="E61" s="172">
        <f t="shared" si="8"/>
        <v>3792.86</v>
      </c>
      <c r="F61" s="172">
        <f t="shared" si="9"/>
        <v>1318471.2759506847</v>
      </c>
      <c r="G61" s="172">
        <f t="shared" si="4"/>
        <v>1279077.1359506848</v>
      </c>
    </row>
    <row r="62" spans="1:7" x14ac:dyDescent="0.25">
      <c r="A62" s="36">
        <v>44172</v>
      </c>
      <c r="B62" s="168">
        <f t="shared" si="7"/>
        <v>7</v>
      </c>
      <c r="C62" s="172">
        <f t="shared" si="10"/>
        <v>43187</v>
      </c>
      <c r="D62" s="173">
        <f t="shared" si="0"/>
        <v>39507.46</v>
      </c>
      <c r="E62" s="172">
        <f t="shared" si="8"/>
        <v>3679.54</v>
      </c>
      <c r="F62" s="172">
        <f t="shared" si="9"/>
        <v>1279077.1359506848</v>
      </c>
      <c r="G62" s="172">
        <f t="shared" si="4"/>
        <v>1239569.6759506848</v>
      </c>
    </row>
    <row r="63" spans="1:7" x14ac:dyDescent="0.25">
      <c r="A63" s="36">
        <v>44179</v>
      </c>
      <c r="B63" s="168">
        <f t="shared" si="7"/>
        <v>7</v>
      </c>
      <c r="C63" s="172">
        <f t="shared" si="10"/>
        <v>43187</v>
      </c>
      <c r="D63" s="173">
        <f t="shared" si="0"/>
        <v>39621.11</v>
      </c>
      <c r="E63" s="172">
        <f t="shared" si="8"/>
        <v>3565.89</v>
      </c>
      <c r="F63" s="172">
        <f t="shared" si="9"/>
        <v>1239569.6759506848</v>
      </c>
      <c r="G63" s="172">
        <f t="shared" si="4"/>
        <v>1199948.5659506847</v>
      </c>
    </row>
    <row r="64" spans="1:7" x14ac:dyDescent="0.25">
      <c r="A64" s="36">
        <v>44186</v>
      </c>
      <c r="B64" s="168">
        <f t="shared" si="7"/>
        <v>7</v>
      </c>
      <c r="C64" s="172">
        <f t="shared" si="10"/>
        <v>43187</v>
      </c>
      <c r="D64" s="173">
        <f t="shared" si="0"/>
        <v>39735.089999999997</v>
      </c>
      <c r="E64" s="172">
        <f t="shared" si="8"/>
        <v>3451.91</v>
      </c>
      <c r="F64" s="172">
        <f t="shared" si="9"/>
        <v>1199948.5659506847</v>
      </c>
      <c r="G64" s="172">
        <f t="shared" si="4"/>
        <v>1160213.4759506846</v>
      </c>
    </row>
    <row r="65" spans="1:7" x14ac:dyDescent="0.25">
      <c r="A65" s="36">
        <v>44193</v>
      </c>
      <c r="B65" s="168">
        <f t="shared" si="7"/>
        <v>7</v>
      </c>
      <c r="C65" s="172">
        <f t="shared" si="10"/>
        <v>43187</v>
      </c>
      <c r="D65" s="173">
        <f t="shared" si="0"/>
        <v>39849.4</v>
      </c>
      <c r="E65" s="172">
        <f t="shared" si="8"/>
        <v>3337.6</v>
      </c>
      <c r="F65" s="172">
        <f t="shared" si="9"/>
        <v>1160213.4759506846</v>
      </c>
      <c r="G65" s="172">
        <f t="shared" si="4"/>
        <v>1120364.0759506847</v>
      </c>
    </row>
    <row r="66" spans="1:7" x14ac:dyDescent="0.25">
      <c r="A66" s="36">
        <v>44200</v>
      </c>
      <c r="B66" s="168">
        <f t="shared" si="7"/>
        <v>7</v>
      </c>
      <c r="C66" s="172">
        <f t="shared" si="10"/>
        <v>43187</v>
      </c>
      <c r="D66" s="173">
        <f t="shared" si="0"/>
        <v>39964.03</v>
      </c>
      <c r="E66" s="172">
        <f t="shared" si="8"/>
        <v>3222.97</v>
      </c>
      <c r="F66" s="172">
        <f t="shared" si="9"/>
        <v>1120364.0759506847</v>
      </c>
      <c r="G66" s="172">
        <f t="shared" si="4"/>
        <v>1080400.0459506847</v>
      </c>
    </row>
    <row r="67" spans="1:7" x14ac:dyDescent="0.25">
      <c r="A67" s="36">
        <v>44207</v>
      </c>
      <c r="B67" s="168">
        <f t="shared" si="7"/>
        <v>7</v>
      </c>
      <c r="C67" s="172">
        <f t="shared" si="10"/>
        <v>43187</v>
      </c>
      <c r="D67" s="173">
        <f t="shared" si="0"/>
        <v>40079</v>
      </c>
      <c r="E67" s="172">
        <f t="shared" si="8"/>
        <v>3108</v>
      </c>
      <c r="F67" s="172">
        <f t="shared" si="9"/>
        <v>1080400.0459506847</v>
      </c>
      <c r="G67" s="172">
        <f t="shared" si="4"/>
        <v>1040321.0459506847</v>
      </c>
    </row>
    <row r="68" spans="1:7" x14ac:dyDescent="0.25">
      <c r="A68" s="36">
        <v>44214</v>
      </c>
      <c r="B68" s="168">
        <f t="shared" si="7"/>
        <v>7</v>
      </c>
      <c r="C68" s="172">
        <f t="shared" si="10"/>
        <v>43187</v>
      </c>
      <c r="D68" s="173">
        <f t="shared" si="0"/>
        <v>40194.300000000003</v>
      </c>
      <c r="E68" s="172">
        <f t="shared" si="8"/>
        <v>2992.7</v>
      </c>
      <c r="F68" s="172">
        <f t="shared" si="9"/>
        <v>1040321.0459506847</v>
      </c>
      <c r="G68" s="172">
        <f t="shared" si="4"/>
        <v>1000126.7459506846</v>
      </c>
    </row>
    <row r="69" spans="1:7" x14ac:dyDescent="0.25">
      <c r="A69" s="36">
        <v>44221</v>
      </c>
      <c r="B69" s="168">
        <f t="shared" si="7"/>
        <v>7</v>
      </c>
      <c r="C69" s="172">
        <f t="shared" si="10"/>
        <v>43187</v>
      </c>
      <c r="D69" s="173">
        <f t="shared" ref="D69:D92" si="11">C69-E69</f>
        <v>40309.919999999998</v>
      </c>
      <c r="E69" s="172">
        <f t="shared" si="8"/>
        <v>2877.08</v>
      </c>
      <c r="F69" s="172">
        <f t="shared" si="9"/>
        <v>1000126.7459506846</v>
      </c>
      <c r="G69" s="172">
        <f t="shared" si="4"/>
        <v>959816.82595068461</v>
      </c>
    </row>
    <row r="70" spans="1:7" x14ac:dyDescent="0.25">
      <c r="A70" s="36">
        <v>44228</v>
      </c>
      <c r="B70" s="168">
        <f t="shared" si="7"/>
        <v>7</v>
      </c>
      <c r="C70" s="172">
        <f t="shared" si="10"/>
        <v>43187</v>
      </c>
      <c r="D70" s="173">
        <f t="shared" si="11"/>
        <v>40425.879999999997</v>
      </c>
      <c r="E70" s="172">
        <f t="shared" si="8"/>
        <v>2761.12</v>
      </c>
      <c r="F70" s="172">
        <f t="shared" si="9"/>
        <v>959816.82595068461</v>
      </c>
      <c r="G70" s="172">
        <f t="shared" ref="G70:G92" si="12">F70-D70</f>
        <v>919390.9459506846</v>
      </c>
    </row>
    <row r="71" spans="1:7" x14ac:dyDescent="0.25">
      <c r="A71" s="36">
        <v>44235</v>
      </c>
      <c r="B71" s="168">
        <f t="shared" si="7"/>
        <v>7</v>
      </c>
      <c r="C71" s="172">
        <f t="shared" si="10"/>
        <v>43187</v>
      </c>
      <c r="D71" s="173">
        <f t="shared" si="11"/>
        <v>40542.18</v>
      </c>
      <c r="E71" s="172">
        <f t="shared" si="8"/>
        <v>2644.82</v>
      </c>
      <c r="F71" s="172">
        <f t="shared" si="9"/>
        <v>919390.9459506846</v>
      </c>
      <c r="G71" s="172">
        <f t="shared" si="12"/>
        <v>878848.76595068455</v>
      </c>
    </row>
    <row r="72" spans="1:7" x14ac:dyDescent="0.25">
      <c r="A72" s="36">
        <v>44242</v>
      </c>
      <c r="B72" s="168">
        <f t="shared" si="7"/>
        <v>7</v>
      </c>
      <c r="C72" s="172">
        <f t="shared" si="10"/>
        <v>43187</v>
      </c>
      <c r="D72" s="173">
        <f t="shared" si="11"/>
        <v>40658.800000000003</v>
      </c>
      <c r="E72" s="172">
        <f t="shared" si="8"/>
        <v>2528.1999999999998</v>
      </c>
      <c r="F72" s="172">
        <f t="shared" si="9"/>
        <v>878848.76595068455</v>
      </c>
      <c r="G72" s="172">
        <f t="shared" si="12"/>
        <v>838189.96595068451</v>
      </c>
    </row>
    <row r="73" spans="1:7" x14ac:dyDescent="0.25">
      <c r="A73" s="36">
        <v>44249</v>
      </c>
      <c r="B73" s="168">
        <f t="shared" si="7"/>
        <v>7</v>
      </c>
      <c r="C73" s="172">
        <f t="shared" si="10"/>
        <v>43187</v>
      </c>
      <c r="D73" s="173">
        <f t="shared" si="11"/>
        <v>40775.769999999997</v>
      </c>
      <c r="E73" s="172">
        <f t="shared" si="8"/>
        <v>2411.23</v>
      </c>
      <c r="F73" s="172">
        <f t="shared" si="9"/>
        <v>838189.96595068451</v>
      </c>
      <c r="G73" s="172">
        <f t="shared" si="12"/>
        <v>797414.19595068449</v>
      </c>
    </row>
    <row r="74" spans="1:7" x14ac:dyDescent="0.25">
      <c r="A74" s="36">
        <v>44256</v>
      </c>
      <c r="B74" s="168">
        <f t="shared" si="7"/>
        <v>7</v>
      </c>
      <c r="C74" s="172">
        <f t="shared" si="10"/>
        <v>43187</v>
      </c>
      <c r="D74" s="173">
        <f t="shared" si="11"/>
        <v>40893.07</v>
      </c>
      <c r="E74" s="172">
        <f t="shared" si="8"/>
        <v>2293.9299999999998</v>
      </c>
      <c r="F74" s="172">
        <f t="shared" si="9"/>
        <v>797414.19595068449</v>
      </c>
      <c r="G74" s="172">
        <f t="shared" si="12"/>
        <v>756521.12595068454</v>
      </c>
    </row>
    <row r="75" spans="1:7" x14ac:dyDescent="0.25">
      <c r="A75" s="36">
        <v>44263</v>
      </c>
      <c r="B75" s="168">
        <f t="shared" si="7"/>
        <v>7</v>
      </c>
      <c r="C75" s="172">
        <f t="shared" si="10"/>
        <v>43187</v>
      </c>
      <c r="D75" s="173">
        <f t="shared" si="11"/>
        <v>41010.71</v>
      </c>
      <c r="E75" s="172">
        <f t="shared" si="8"/>
        <v>2176.29</v>
      </c>
      <c r="F75" s="172">
        <f t="shared" si="9"/>
        <v>756521.12595068454</v>
      </c>
      <c r="G75" s="172">
        <f t="shared" si="12"/>
        <v>715510.41595068458</v>
      </c>
    </row>
    <row r="76" spans="1:7" x14ac:dyDescent="0.25">
      <c r="A76" s="36">
        <v>44270</v>
      </c>
      <c r="B76" s="168">
        <f t="shared" si="7"/>
        <v>7</v>
      </c>
      <c r="C76" s="172">
        <f t="shared" si="10"/>
        <v>43187</v>
      </c>
      <c r="D76" s="173">
        <f t="shared" si="11"/>
        <v>41128.68</v>
      </c>
      <c r="E76" s="172">
        <f t="shared" si="8"/>
        <v>2058.3200000000002</v>
      </c>
      <c r="F76" s="172">
        <f t="shared" si="9"/>
        <v>715510.41595068458</v>
      </c>
      <c r="G76" s="172">
        <f t="shared" si="12"/>
        <v>674381.73595068452</v>
      </c>
    </row>
    <row r="77" spans="1:7" x14ac:dyDescent="0.25">
      <c r="A77" s="36">
        <v>44277</v>
      </c>
      <c r="B77" s="168">
        <f t="shared" si="7"/>
        <v>7</v>
      </c>
      <c r="C77" s="172">
        <f t="shared" si="10"/>
        <v>43187</v>
      </c>
      <c r="D77" s="173">
        <f t="shared" si="11"/>
        <v>41247</v>
      </c>
      <c r="E77" s="172">
        <f t="shared" si="8"/>
        <v>1940</v>
      </c>
      <c r="F77" s="172">
        <f t="shared" si="9"/>
        <v>674381.73595068452</v>
      </c>
      <c r="G77" s="172">
        <f t="shared" si="12"/>
        <v>633134.73595068452</v>
      </c>
    </row>
    <row r="78" spans="1:7" x14ac:dyDescent="0.25">
      <c r="A78" s="36">
        <v>44284</v>
      </c>
      <c r="B78" s="168">
        <f t="shared" si="7"/>
        <v>7</v>
      </c>
      <c r="C78" s="172">
        <f t="shared" si="10"/>
        <v>43187</v>
      </c>
      <c r="D78" s="173">
        <f t="shared" si="11"/>
        <v>41365.65</v>
      </c>
      <c r="E78" s="172">
        <f t="shared" si="8"/>
        <v>1821.35</v>
      </c>
      <c r="F78" s="172">
        <f t="shared" si="9"/>
        <v>633134.73595068452</v>
      </c>
      <c r="G78" s="172">
        <f t="shared" si="12"/>
        <v>591769.0859506845</v>
      </c>
    </row>
    <row r="79" spans="1:7" x14ac:dyDescent="0.25">
      <c r="A79" s="36">
        <v>44291</v>
      </c>
      <c r="B79" s="168">
        <f t="shared" si="7"/>
        <v>7</v>
      </c>
      <c r="C79" s="172">
        <f t="shared" si="10"/>
        <v>43187</v>
      </c>
      <c r="D79" s="173">
        <f t="shared" si="11"/>
        <v>41484.65</v>
      </c>
      <c r="E79" s="172">
        <f t="shared" si="8"/>
        <v>1702.35</v>
      </c>
      <c r="F79" s="172">
        <f t="shared" si="9"/>
        <v>591769.0859506845</v>
      </c>
      <c r="G79" s="172">
        <f t="shared" si="12"/>
        <v>550284.43595068448</v>
      </c>
    </row>
    <row r="80" spans="1:7" x14ac:dyDescent="0.25">
      <c r="A80" s="36">
        <v>44298</v>
      </c>
      <c r="B80" s="168">
        <f t="shared" si="7"/>
        <v>7</v>
      </c>
      <c r="C80" s="172">
        <f t="shared" si="10"/>
        <v>43187</v>
      </c>
      <c r="D80" s="173">
        <f t="shared" si="11"/>
        <v>41603.99</v>
      </c>
      <c r="E80" s="172">
        <f t="shared" si="8"/>
        <v>1583.01</v>
      </c>
      <c r="F80" s="172">
        <f t="shared" si="9"/>
        <v>550284.43595068448</v>
      </c>
      <c r="G80" s="172">
        <f t="shared" si="12"/>
        <v>508680.44595068449</v>
      </c>
    </row>
    <row r="81" spans="1:7" x14ac:dyDescent="0.25">
      <c r="A81" s="36">
        <v>44305</v>
      </c>
      <c r="B81" s="168">
        <f t="shared" si="7"/>
        <v>7</v>
      </c>
      <c r="C81" s="172">
        <f t="shared" si="10"/>
        <v>43187</v>
      </c>
      <c r="D81" s="173">
        <f t="shared" si="11"/>
        <v>41723.67</v>
      </c>
      <c r="E81" s="172">
        <f t="shared" si="8"/>
        <v>1463.33</v>
      </c>
      <c r="F81" s="172">
        <f t="shared" si="9"/>
        <v>508680.44595068449</v>
      </c>
      <c r="G81" s="172">
        <f t="shared" si="12"/>
        <v>466956.7759506845</v>
      </c>
    </row>
    <row r="82" spans="1:7" x14ac:dyDescent="0.25">
      <c r="A82" s="36">
        <v>44312</v>
      </c>
      <c r="B82" s="168">
        <f t="shared" si="7"/>
        <v>7</v>
      </c>
      <c r="C82" s="172">
        <f t="shared" si="10"/>
        <v>43187</v>
      </c>
      <c r="D82" s="173">
        <f t="shared" si="11"/>
        <v>41843.699999999997</v>
      </c>
      <c r="E82" s="172">
        <f t="shared" si="8"/>
        <v>1343.3</v>
      </c>
      <c r="F82" s="172">
        <f t="shared" si="9"/>
        <v>466956.7759506845</v>
      </c>
      <c r="G82" s="172">
        <f t="shared" si="12"/>
        <v>425113.07595068449</v>
      </c>
    </row>
    <row r="83" spans="1:7" x14ac:dyDescent="0.25">
      <c r="A83" s="36">
        <v>44319</v>
      </c>
      <c r="B83" s="168">
        <f t="shared" si="7"/>
        <v>7</v>
      </c>
      <c r="C83" s="172">
        <f t="shared" si="10"/>
        <v>43187</v>
      </c>
      <c r="D83" s="173">
        <f t="shared" si="11"/>
        <v>41964.07</v>
      </c>
      <c r="E83" s="172">
        <f t="shared" si="8"/>
        <v>1222.93</v>
      </c>
      <c r="F83" s="172">
        <f t="shared" si="9"/>
        <v>425113.07595068449</v>
      </c>
      <c r="G83" s="172">
        <f t="shared" si="12"/>
        <v>383149.00595068448</v>
      </c>
    </row>
    <row r="84" spans="1:7" x14ac:dyDescent="0.25">
      <c r="A84" s="36">
        <v>44326</v>
      </c>
      <c r="B84" s="168">
        <f t="shared" si="7"/>
        <v>7</v>
      </c>
      <c r="C84" s="172">
        <f t="shared" si="10"/>
        <v>43187</v>
      </c>
      <c r="D84" s="173">
        <f t="shared" si="11"/>
        <v>42084.79</v>
      </c>
      <c r="E84" s="172">
        <f t="shared" si="8"/>
        <v>1102.21</v>
      </c>
      <c r="F84" s="172">
        <f t="shared" si="9"/>
        <v>383149.00595068448</v>
      </c>
      <c r="G84" s="172">
        <f t="shared" si="12"/>
        <v>341064.21595068451</v>
      </c>
    </row>
    <row r="85" spans="1:7" x14ac:dyDescent="0.25">
      <c r="A85" s="36">
        <v>44333</v>
      </c>
      <c r="B85" s="168">
        <f t="shared" si="7"/>
        <v>7</v>
      </c>
      <c r="C85" s="172">
        <f t="shared" si="10"/>
        <v>43187</v>
      </c>
      <c r="D85" s="173">
        <f t="shared" si="11"/>
        <v>42205.86</v>
      </c>
      <c r="E85" s="172">
        <f t="shared" si="8"/>
        <v>981.14</v>
      </c>
      <c r="F85" s="172">
        <f t="shared" si="9"/>
        <v>341064.21595068451</v>
      </c>
      <c r="G85" s="172">
        <f t="shared" si="12"/>
        <v>298858.35595068452</v>
      </c>
    </row>
    <row r="86" spans="1:7" x14ac:dyDescent="0.25">
      <c r="A86" s="36">
        <v>44340</v>
      </c>
      <c r="B86" s="168">
        <f t="shared" si="7"/>
        <v>7</v>
      </c>
      <c r="C86" s="172">
        <f t="shared" si="10"/>
        <v>43187</v>
      </c>
      <c r="D86" s="173">
        <f t="shared" si="11"/>
        <v>42327.27</v>
      </c>
      <c r="E86" s="172">
        <f t="shared" si="8"/>
        <v>859.73</v>
      </c>
      <c r="F86" s="172">
        <f t="shared" si="9"/>
        <v>298858.35595068452</v>
      </c>
      <c r="G86" s="172">
        <f t="shared" si="12"/>
        <v>256531.08595068453</v>
      </c>
    </row>
    <row r="87" spans="1:7" x14ac:dyDescent="0.25">
      <c r="A87" s="36">
        <v>44347</v>
      </c>
      <c r="B87" s="168">
        <f t="shared" si="7"/>
        <v>7</v>
      </c>
      <c r="C87" s="172">
        <f t="shared" si="10"/>
        <v>43187</v>
      </c>
      <c r="D87" s="173">
        <f t="shared" si="11"/>
        <v>42449.03</v>
      </c>
      <c r="E87" s="172">
        <f t="shared" si="8"/>
        <v>737.97</v>
      </c>
      <c r="F87" s="172">
        <f t="shared" si="9"/>
        <v>256531.08595068453</v>
      </c>
      <c r="G87" s="172">
        <f t="shared" si="12"/>
        <v>214082.05595068453</v>
      </c>
    </row>
    <row r="88" spans="1:7" x14ac:dyDescent="0.25">
      <c r="A88" s="36">
        <v>44354</v>
      </c>
      <c r="B88" s="168">
        <f t="shared" si="7"/>
        <v>7</v>
      </c>
      <c r="C88" s="172">
        <f t="shared" si="10"/>
        <v>43187</v>
      </c>
      <c r="D88" s="173">
        <f t="shared" si="11"/>
        <v>42571.15</v>
      </c>
      <c r="E88" s="172">
        <f t="shared" si="8"/>
        <v>615.85</v>
      </c>
      <c r="F88" s="172">
        <f t="shared" si="9"/>
        <v>214082.05595068453</v>
      </c>
      <c r="G88" s="172">
        <f t="shared" si="12"/>
        <v>171510.90595068454</v>
      </c>
    </row>
    <row r="89" spans="1:7" x14ac:dyDescent="0.25">
      <c r="A89" s="36">
        <v>44361</v>
      </c>
      <c r="B89" s="168">
        <f t="shared" si="7"/>
        <v>7</v>
      </c>
      <c r="C89" s="172">
        <f t="shared" si="10"/>
        <v>43187</v>
      </c>
      <c r="D89" s="173">
        <f t="shared" si="11"/>
        <v>42693.61</v>
      </c>
      <c r="E89" s="172">
        <f t="shared" si="8"/>
        <v>493.39</v>
      </c>
      <c r="F89" s="172">
        <f t="shared" si="9"/>
        <v>171510.90595068454</v>
      </c>
      <c r="G89" s="172">
        <f t="shared" si="12"/>
        <v>128817.29595068454</v>
      </c>
    </row>
    <row r="90" spans="1:7" x14ac:dyDescent="0.25">
      <c r="A90" s="36">
        <v>44368</v>
      </c>
      <c r="B90" s="168">
        <f t="shared" si="7"/>
        <v>7</v>
      </c>
      <c r="C90" s="172">
        <f t="shared" si="10"/>
        <v>43187</v>
      </c>
      <c r="D90" s="173">
        <f t="shared" si="11"/>
        <v>42816.43</v>
      </c>
      <c r="E90" s="172">
        <f t="shared" si="8"/>
        <v>370.57</v>
      </c>
      <c r="F90" s="172">
        <f t="shared" si="9"/>
        <v>128817.29595068454</v>
      </c>
      <c r="G90" s="172">
        <f t="shared" si="12"/>
        <v>86000.865950684529</v>
      </c>
    </row>
    <row r="91" spans="1:7" x14ac:dyDescent="0.25">
      <c r="A91" s="36">
        <v>44375</v>
      </c>
      <c r="B91" s="168">
        <f t="shared" si="7"/>
        <v>7</v>
      </c>
      <c r="C91" s="172">
        <f t="shared" si="10"/>
        <v>43187</v>
      </c>
      <c r="D91" s="173">
        <f t="shared" si="11"/>
        <v>42939.6</v>
      </c>
      <c r="E91" s="172">
        <f t="shared" si="8"/>
        <v>247.4</v>
      </c>
      <c r="F91" s="172">
        <f t="shared" si="9"/>
        <v>86000.865950684529</v>
      </c>
      <c r="G91" s="172">
        <f t="shared" si="12"/>
        <v>43061.26595068453</v>
      </c>
    </row>
    <row r="92" spans="1:7" x14ac:dyDescent="0.25">
      <c r="A92" s="36">
        <v>44382</v>
      </c>
      <c r="B92" s="168">
        <f t="shared" si="7"/>
        <v>7</v>
      </c>
      <c r="C92" s="172">
        <f t="shared" si="10"/>
        <v>43187</v>
      </c>
      <c r="D92" s="173">
        <f t="shared" si="11"/>
        <v>43061.26595068453</v>
      </c>
      <c r="E92" s="172">
        <v>125.73404931546713</v>
      </c>
      <c r="F92" s="172">
        <f t="shared" si="9"/>
        <v>43061.26595068453</v>
      </c>
      <c r="G92" s="172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3CFE0C-60AF-43CE-B471-9EF88A09378C}">
  <dimension ref="A1:H92"/>
  <sheetViews>
    <sheetView zoomScale="86" zoomScaleNormal="80" workbookViewId="0">
      <pane ySplit="3" topLeftCell="A41" activePane="bottomLeft" state="frozen"/>
      <selection activeCell="A8" sqref="A8"/>
      <selection pane="bottomLeft" activeCell="A53" sqref="A53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ROUNDUP(43148.6684862728,0)</f>
        <v>43149</v>
      </c>
      <c r="G1" s="83" t="s">
        <v>52</v>
      </c>
      <c r="H1" s="81">
        <v>44109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127</v>
      </c>
      <c r="H2" s="83">
        <v>56000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68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8" x14ac:dyDescent="0.25">
      <c r="A6" s="36">
        <v>44060</v>
      </c>
      <c r="B6" s="46">
        <f t="shared" ref="B6:B52" si="1">DAYS360(A5,A6,TRUE)</f>
        <v>7</v>
      </c>
      <c r="C6" s="47">
        <f t="shared" ref="C6:C52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52" si="5">F6-D6</f>
        <v>1922213.3900000001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8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36">
        <v>44109</v>
      </c>
      <c r="B53" s="169">
        <f t="shared" ref="B53:G53" si="6">B13</f>
        <v>7</v>
      </c>
      <c r="C53" s="170">
        <f t="shared" si="6"/>
        <v>44670</v>
      </c>
      <c r="D53" s="171">
        <f t="shared" si="6"/>
        <v>39754.479999999996</v>
      </c>
      <c r="E53" s="170">
        <f t="shared" si="6"/>
        <v>4915.5200000000004</v>
      </c>
      <c r="F53" s="170">
        <f t="shared" si="6"/>
        <v>1685322.59</v>
      </c>
      <c r="G53" s="170">
        <f t="shared" si="6"/>
        <v>1645568.11</v>
      </c>
    </row>
    <row r="54" spans="1:7" x14ac:dyDescent="0.25">
      <c r="A54" s="36">
        <v>44116</v>
      </c>
      <c r="B54" s="168">
        <f>DAYS360(A53,A54,TRUE)</f>
        <v>7</v>
      </c>
      <c r="C54" s="172">
        <f>$F$1</f>
        <v>43149</v>
      </c>
      <c r="D54" s="173">
        <f t="shared" si="0"/>
        <v>38512.76</v>
      </c>
      <c r="E54" s="172">
        <f>ROUND(F54*$B$2*B54/360,2)</f>
        <v>4636.24</v>
      </c>
      <c r="F54" s="172">
        <f>G53-H2</f>
        <v>1589568.11</v>
      </c>
      <c r="G54" s="172">
        <f t="shared" ref="G54:G92" si="7">F54-D54</f>
        <v>1551055.35</v>
      </c>
    </row>
    <row r="55" spans="1:7" x14ac:dyDescent="0.25">
      <c r="A55" s="36">
        <v>44123</v>
      </c>
      <c r="B55" s="168">
        <f t="shared" ref="B55:B92" si="8">DAYS360(A54,A55,TRUE)</f>
        <v>7</v>
      </c>
      <c r="C55" s="172">
        <f t="shared" ref="C55:C92" si="9">$F$1</f>
        <v>43149</v>
      </c>
      <c r="D55" s="173">
        <f t="shared" si="0"/>
        <v>38625.089999999997</v>
      </c>
      <c r="E55" s="172">
        <f t="shared" ref="E55:E91" si="10">ROUND(F55*$B$2*B55/360,2)</f>
        <v>4523.91</v>
      </c>
      <c r="F55" s="172">
        <f t="shared" ref="F55:F92" si="11">G54</f>
        <v>1551055.35</v>
      </c>
      <c r="G55" s="172">
        <f t="shared" si="7"/>
        <v>1512430.26</v>
      </c>
    </row>
    <row r="56" spans="1:7" x14ac:dyDescent="0.25">
      <c r="A56" s="36">
        <v>44130</v>
      </c>
      <c r="B56" s="168">
        <f t="shared" si="8"/>
        <v>7</v>
      </c>
      <c r="C56" s="172">
        <f t="shared" si="9"/>
        <v>43149</v>
      </c>
      <c r="D56" s="173">
        <f t="shared" si="0"/>
        <v>38737.75</v>
      </c>
      <c r="E56" s="172">
        <f t="shared" si="10"/>
        <v>4411.25</v>
      </c>
      <c r="F56" s="172">
        <f t="shared" si="11"/>
        <v>1512430.26</v>
      </c>
      <c r="G56" s="172">
        <f t="shared" si="7"/>
        <v>1473692.51</v>
      </c>
    </row>
    <row r="57" spans="1:7" x14ac:dyDescent="0.25">
      <c r="A57" s="36">
        <v>44137</v>
      </c>
      <c r="B57" s="168">
        <f t="shared" si="8"/>
        <v>6</v>
      </c>
      <c r="C57" s="172">
        <f t="shared" si="9"/>
        <v>43149</v>
      </c>
      <c r="D57" s="173">
        <f t="shared" si="0"/>
        <v>39464.769999999997</v>
      </c>
      <c r="E57" s="172">
        <f t="shared" si="10"/>
        <v>3684.23</v>
      </c>
      <c r="F57" s="172">
        <f t="shared" si="11"/>
        <v>1473692.51</v>
      </c>
      <c r="G57" s="172">
        <f t="shared" si="7"/>
        <v>1434227.74</v>
      </c>
    </row>
    <row r="58" spans="1:7" x14ac:dyDescent="0.25">
      <c r="A58" s="36">
        <v>44144</v>
      </c>
      <c r="B58" s="168">
        <f t="shared" si="8"/>
        <v>7</v>
      </c>
      <c r="C58" s="172">
        <f t="shared" si="9"/>
        <v>43149</v>
      </c>
      <c r="D58" s="173">
        <f t="shared" si="0"/>
        <v>38965.839999999997</v>
      </c>
      <c r="E58" s="172">
        <f t="shared" si="10"/>
        <v>4183.16</v>
      </c>
      <c r="F58" s="172">
        <f t="shared" si="11"/>
        <v>1434227.74</v>
      </c>
      <c r="G58" s="172">
        <f t="shared" si="7"/>
        <v>1395261.9</v>
      </c>
    </row>
    <row r="59" spans="1:7" x14ac:dyDescent="0.25">
      <c r="A59" s="36">
        <v>44151</v>
      </c>
      <c r="B59" s="168">
        <f t="shared" si="8"/>
        <v>7</v>
      </c>
      <c r="C59" s="172">
        <f t="shared" si="9"/>
        <v>43149</v>
      </c>
      <c r="D59" s="173">
        <f t="shared" si="0"/>
        <v>39079.49</v>
      </c>
      <c r="E59" s="172">
        <f t="shared" si="10"/>
        <v>4069.51</v>
      </c>
      <c r="F59" s="172">
        <f t="shared" si="11"/>
        <v>1395261.9</v>
      </c>
      <c r="G59" s="172">
        <f t="shared" si="7"/>
        <v>1356182.41</v>
      </c>
    </row>
    <row r="60" spans="1:7" x14ac:dyDescent="0.25">
      <c r="A60" s="36">
        <v>44158</v>
      </c>
      <c r="B60" s="168">
        <f t="shared" si="8"/>
        <v>7</v>
      </c>
      <c r="C60" s="172">
        <f t="shared" si="9"/>
        <v>43149</v>
      </c>
      <c r="D60" s="173">
        <f t="shared" si="0"/>
        <v>39193.47</v>
      </c>
      <c r="E60" s="172">
        <f t="shared" si="10"/>
        <v>3955.53</v>
      </c>
      <c r="F60" s="172">
        <f t="shared" si="11"/>
        <v>1356182.41</v>
      </c>
      <c r="G60" s="172">
        <f t="shared" si="7"/>
        <v>1316988.94</v>
      </c>
    </row>
    <row r="61" spans="1:7" x14ac:dyDescent="0.25">
      <c r="A61" s="36">
        <v>44165</v>
      </c>
      <c r="B61" s="168">
        <f t="shared" si="8"/>
        <v>7</v>
      </c>
      <c r="C61" s="172">
        <f t="shared" si="9"/>
        <v>43149</v>
      </c>
      <c r="D61" s="173">
        <f t="shared" si="0"/>
        <v>39307.78</v>
      </c>
      <c r="E61" s="172">
        <f t="shared" si="10"/>
        <v>3841.22</v>
      </c>
      <c r="F61" s="172">
        <f t="shared" si="11"/>
        <v>1316988.94</v>
      </c>
      <c r="G61" s="172">
        <f t="shared" si="7"/>
        <v>1277681.1599999999</v>
      </c>
    </row>
    <row r="62" spans="1:7" x14ac:dyDescent="0.25">
      <c r="A62" s="36">
        <v>44172</v>
      </c>
      <c r="B62" s="168">
        <f t="shared" si="8"/>
        <v>7</v>
      </c>
      <c r="C62" s="172">
        <f t="shared" si="9"/>
        <v>43149</v>
      </c>
      <c r="D62" s="173">
        <f t="shared" si="0"/>
        <v>39422.43</v>
      </c>
      <c r="E62" s="172">
        <f t="shared" si="10"/>
        <v>3726.57</v>
      </c>
      <c r="F62" s="172">
        <f t="shared" si="11"/>
        <v>1277681.1599999999</v>
      </c>
      <c r="G62" s="172">
        <f t="shared" si="7"/>
        <v>1238258.73</v>
      </c>
    </row>
    <row r="63" spans="1:7" x14ac:dyDescent="0.25">
      <c r="A63" s="36">
        <v>44179</v>
      </c>
      <c r="B63" s="168">
        <f t="shared" si="8"/>
        <v>7</v>
      </c>
      <c r="C63" s="172">
        <f t="shared" si="9"/>
        <v>43149</v>
      </c>
      <c r="D63" s="173">
        <f t="shared" si="0"/>
        <v>39537.410000000003</v>
      </c>
      <c r="E63" s="172">
        <f t="shared" si="10"/>
        <v>3611.59</v>
      </c>
      <c r="F63" s="172">
        <f t="shared" si="11"/>
        <v>1238258.73</v>
      </c>
      <c r="G63" s="172">
        <f t="shared" si="7"/>
        <v>1198721.32</v>
      </c>
    </row>
    <row r="64" spans="1:7" x14ac:dyDescent="0.25">
      <c r="A64" s="36">
        <v>44186</v>
      </c>
      <c r="B64" s="168">
        <f t="shared" si="8"/>
        <v>7</v>
      </c>
      <c r="C64" s="172">
        <f t="shared" si="9"/>
        <v>43149</v>
      </c>
      <c r="D64" s="173">
        <f t="shared" si="0"/>
        <v>39652.730000000003</v>
      </c>
      <c r="E64" s="172">
        <f t="shared" si="10"/>
        <v>3496.27</v>
      </c>
      <c r="F64" s="172">
        <f t="shared" si="11"/>
        <v>1198721.32</v>
      </c>
      <c r="G64" s="172">
        <f t="shared" si="7"/>
        <v>1159068.5900000001</v>
      </c>
    </row>
    <row r="65" spans="1:7" x14ac:dyDescent="0.25">
      <c r="A65" s="36">
        <v>44193</v>
      </c>
      <c r="B65" s="168">
        <f t="shared" si="8"/>
        <v>7</v>
      </c>
      <c r="C65" s="172">
        <f t="shared" si="9"/>
        <v>43149</v>
      </c>
      <c r="D65" s="173">
        <f t="shared" si="0"/>
        <v>39768.379999999997</v>
      </c>
      <c r="E65" s="172">
        <f t="shared" si="10"/>
        <v>3380.62</v>
      </c>
      <c r="F65" s="172">
        <f t="shared" si="11"/>
        <v>1159068.5900000001</v>
      </c>
      <c r="G65" s="172">
        <f t="shared" si="7"/>
        <v>1119300.2100000002</v>
      </c>
    </row>
    <row r="66" spans="1:7" x14ac:dyDescent="0.25">
      <c r="A66" s="36">
        <v>44200</v>
      </c>
      <c r="B66" s="168">
        <f t="shared" si="8"/>
        <v>6</v>
      </c>
      <c r="C66" s="172">
        <f t="shared" si="9"/>
        <v>43149</v>
      </c>
      <c r="D66" s="173">
        <f t="shared" si="0"/>
        <v>40350.75</v>
      </c>
      <c r="E66" s="172">
        <f t="shared" si="10"/>
        <v>2798.25</v>
      </c>
      <c r="F66" s="172">
        <f t="shared" si="11"/>
        <v>1119300.2100000002</v>
      </c>
      <c r="G66" s="172">
        <f t="shared" si="7"/>
        <v>1078949.4600000002</v>
      </c>
    </row>
    <row r="67" spans="1:7" x14ac:dyDescent="0.25">
      <c r="A67" s="36">
        <v>44207</v>
      </c>
      <c r="B67" s="168">
        <f t="shared" si="8"/>
        <v>7</v>
      </c>
      <c r="C67" s="172">
        <f t="shared" si="9"/>
        <v>43149</v>
      </c>
      <c r="D67" s="173">
        <f t="shared" si="0"/>
        <v>40002.06</v>
      </c>
      <c r="E67" s="172">
        <f t="shared" si="10"/>
        <v>3146.94</v>
      </c>
      <c r="F67" s="172">
        <f t="shared" si="11"/>
        <v>1078949.4600000002</v>
      </c>
      <c r="G67" s="172">
        <f t="shared" si="7"/>
        <v>1038947.4000000001</v>
      </c>
    </row>
    <row r="68" spans="1:7" x14ac:dyDescent="0.25">
      <c r="A68" s="36">
        <v>44214</v>
      </c>
      <c r="B68" s="168">
        <f t="shared" si="8"/>
        <v>7</v>
      </c>
      <c r="C68" s="172">
        <f t="shared" si="9"/>
        <v>43149</v>
      </c>
      <c r="D68" s="173">
        <f t="shared" si="0"/>
        <v>40118.74</v>
      </c>
      <c r="E68" s="172">
        <f t="shared" si="10"/>
        <v>3030.26</v>
      </c>
      <c r="F68" s="172">
        <f t="shared" si="11"/>
        <v>1038947.4000000001</v>
      </c>
      <c r="G68" s="172">
        <f t="shared" si="7"/>
        <v>998828.66000000015</v>
      </c>
    </row>
    <row r="69" spans="1:7" x14ac:dyDescent="0.25">
      <c r="A69" s="36">
        <v>44221</v>
      </c>
      <c r="B69" s="168">
        <f t="shared" si="8"/>
        <v>7</v>
      </c>
      <c r="C69" s="172">
        <f t="shared" si="9"/>
        <v>43149</v>
      </c>
      <c r="D69" s="173">
        <f t="shared" ref="D69:D92" si="12">C69-E69</f>
        <v>40235.75</v>
      </c>
      <c r="E69" s="172">
        <f t="shared" si="10"/>
        <v>2913.25</v>
      </c>
      <c r="F69" s="172">
        <f t="shared" si="11"/>
        <v>998828.66000000015</v>
      </c>
      <c r="G69" s="172">
        <f t="shared" si="7"/>
        <v>958592.91000000015</v>
      </c>
    </row>
    <row r="70" spans="1:7" x14ac:dyDescent="0.25">
      <c r="A70" s="36">
        <v>44228</v>
      </c>
      <c r="B70" s="168">
        <f t="shared" si="8"/>
        <v>6</v>
      </c>
      <c r="C70" s="172">
        <f t="shared" si="9"/>
        <v>43149</v>
      </c>
      <c r="D70" s="173">
        <f t="shared" si="12"/>
        <v>40752.519999999997</v>
      </c>
      <c r="E70" s="172">
        <f t="shared" si="10"/>
        <v>2396.48</v>
      </c>
      <c r="F70" s="172">
        <f t="shared" si="11"/>
        <v>958592.91000000015</v>
      </c>
      <c r="G70" s="172">
        <f t="shared" si="7"/>
        <v>917840.39000000013</v>
      </c>
    </row>
    <row r="71" spans="1:7" x14ac:dyDescent="0.25">
      <c r="A71" s="36">
        <v>44235</v>
      </c>
      <c r="B71" s="168">
        <f t="shared" si="8"/>
        <v>7</v>
      </c>
      <c r="C71" s="172">
        <f t="shared" si="9"/>
        <v>43149</v>
      </c>
      <c r="D71" s="173">
        <f t="shared" si="12"/>
        <v>40471.97</v>
      </c>
      <c r="E71" s="172">
        <f t="shared" si="10"/>
        <v>2677.03</v>
      </c>
      <c r="F71" s="172">
        <f t="shared" si="11"/>
        <v>917840.39000000013</v>
      </c>
      <c r="G71" s="172">
        <f t="shared" si="7"/>
        <v>877368.42000000016</v>
      </c>
    </row>
    <row r="72" spans="1:7" x14ac:dyDescent="0.25">
      <c r="A72" s="36">
        <v>44242</v>
      </c>
      <c r="B72" s="168">
        <f t="shared" si="8"/>
        <v>7</v>
      </c>
      <c r="C72" s="172">
        <f t="shared" si="9"/>
        <v>43149</v>
      </c>
      <c r="D72" s="173">
        <f t="shared" si="12"/>
        <v>40590.01</v>
      </c>
      <c r="E72" s="172">
        <f t="shared" si="10"/>
        <v>2558.9899999999998</v>
      </c>
      <c r="F72" s="172">
        <f t="shared" si="11"/>
        <v>877368.42000000016</v>
      </c>
      <c r="G72" s="172">
        <f t="shared" si="7"/>
        <v>836778.41000000015</v>
      </c>
    </row>
    <row r="73" spans="1:7" x14ac:dyDescent="0.25">
      <c r="A73" s="36">
        <v>44249</v>
      </c>
      <c r="B73" s="168">
        <f t="shared" si="8"/>
        <v>7</v>
      </c>
      <c r="C73" s="172">
        <f t="shared" si="9"/>
        <v>43149</v>
      </c>
      <c r="D73" s="173">
        <f t="shared" si="12"/>
        <v>40708.400000000001</v>
      </c>
      <c r="E73" s="172">
        <f t="shared" si="10"/>
        <v>2440.6</v>
      </c>
      <c r="F73" s="172">
        <f t="shared" si="11"/>
        <v>836778.41000000015</v>
      </c>
      <c r="G73" s="172">
        <f t="shared" si="7"/>
        <v>796070.01000000013</v>
      </c>
    </row>
    <row r="74" spans="1:7" x14ac:dyDescent="0.25">
      <c r="A74" s="36">
        <v>44256</v>
      </c>
      <c r="B74" s="168">
        <f t="shared" si="8"/>
        <v>9</v>
      </c>
      <c r="C74" s="172">
        <f t="shared" si="9"/>
        <v>43149</v>
      </c>
      <c r="D74" s="173">
        <f t="shared" si="12"/>
        <v>40163.74</v>
      </c>
      <c r="E74" s="172">
        <f t="shared" si="10"/>
        <v>2985.26</v>
      </c>
      <c r="F74" s="172">
        <f t="shared" si="11"/>
        <v>796070.01000000013</v>
      </c>
      <c r="G74" s="172">
        <f t="shared" si="7"/>
        <v>755906.27000000014</v>
      </c>
    </row>
    <row r="75" spans="1:7" x14ac:dyDescent="0.25">
      <c r="A75" s="36">
        <v>44263</v>
      </c>
      <c r="B75" s="168">
        <f t="shared" si="8"/>
        <v>7</v>
      </c>
      <c r="C75" s="172">
        <f t="shared" si="9"/>
        <v>43149</v>
      </c>
      <c r="D75" s="173">
        <f t="shared" si="12"/>
        <v>40944.269999999997</v>
      </c>
      <c r="E75" s="172">
        <f t="shared" si="10"/>
        <v>2204.73</v>
      </c>
      <c r="F75" s="172">
        <f t="shared" si="11"/>
        <v>755906.27000000014</v>
      </c>
      <c r="G75" s="172">
        <f t="shared" si="7"/>
        <v>714962.00000000012</v>
      </c>
    </row>
    <row r="76" spans="1:7" x14ac:dyDescent="0.25">
      <c r="A76" s="36">
        <v>44270</v>
      </c>
      <c r="B76" s="168">
        <f t="shared" si="8"/>
        <v>7</v>
      </c>
      <c r="C76" s="172">
        <f t="shared" si="9"/>
        <v>43149</v>
      </c>
      <c r="D76" s="173">
        <f t="shared" si="12"/>
        <v>41063.69</v>
      </c>
      <c r="E76" s="172">
        <f t="shared" si="10"/>
        <v>2085.31</v>
      </c>
      <c r="F76" s="172">
        <f t="shared" si="11"/>
        <v>714962.00000000012</v>
      </c>
      <c r="G76" s="172">
        <f t="shared" si="7"/>
        <v>673898.31</v>
      </c>
    </row>
    <row r="77" spans="1:7" x14ac:dyDescent="0.25">
      <c r="A77" s="36">
        <v>44277</v>
      </c>
      <c r="B77" s="168">
        <f t="shared" si="8"/>
        <v>7</v>
      </c>
      <c r="C77" s="172">
        <f t="shared" si="9"/>
        <v>43149</v>
      </c>
      <c r="D77" s="173">
        <f t="shared" si="12"/>
        <v>41183.46</v>
      </c>
      <c r="E77" s="172">
        <f t="shared" si="10"/>
        <v>1965.54</v>
      </c>
      <c r="F77" s="172">
        <f t="shared" si="11"/>
        <v>673898.31</v>
      </c>
      <c r="G77" s="172">
        <f t="shared" si="7"/>
        <v>632714.85000000009</v>
      </c>
    </row>
    <row r="78" spans="1:7" x14ac:dyDescent="0.25">
      <c r="A78" s="36">
        <v>44284</v>
      </c>
      <c r="B78" s="168">
        <f t="shared" si="8"/>
        <v>7</v>
      </c>
      <c r="C78" s="172">
        <f t="shared" si="9"/>
        <v>43149</v>
      </c>
      <c r="D78" s="173">
        <f t="shared" si="12"/>
        <v>41303.58</v>
      </c>
      <c r="E78" s="172">
        <f t="shared" si="10"/>
        <v>1845.42</v>
      </c>
      <c r="F78" s="172">
        <f t="shared" si="11"/>
        <v>632714.85000000009</v>
      </c>
      <c r="G78" s="172">
        <f t="shared" si="7"/>
        <v>591411.27000000014</v>
      </c>
    </row>
    <row r="79" spans="1:7" x14ac:dyDescent="0.25">
      <c r="A79" s="36">
        <v>44291</v>
      </c>
      <c r="B79" s="168">
        <f t="shared" si="8"/>
        <v>6</v>
      </c>
      <c r="C79" s="172">
        <f t="shared" si="9"/>
        <v>43149</v>
      </c>
      <c r="D79" s="173">
        <f t="shared" si="12"/>
        <v>41670.47</v>
      </c>
      <c r="E79" s="172">
        <f t="shared" si="10"/>
        <v>1478.53</v>
      </c>
      <c r="F79" s="172">
        <f t="shared" si="11"/>
        <v>591411.27000000014</v>
      </c>
      <c r="G79" s="172">
        <f t="shared" si="7"/>
        <v>549740.80000000016</v>
      </c>
    </row>
    <row r="80" spans="1:7" x14ac:dyDescent="0.25">
      <c r="A80" s="36">
        <v>44298</v>
      </c>
      <c r="B80" s="168">
        <f t="shared" si="8"/>
        <v>7</v>
      </c>
      <c r="C80" s="172">
        <f t="shared" si="9"/>
        <v>43149</v>
      </c>
      <c r="D80" s="173">
        <f t="shared" si="12"/>
        <v>41545.589999999997</v>
      </c>
      <c r="E80" s="172">
        <f t="shared" si="10"/>
        <v>1603.41</v>
      </c>
      <c r="F80" s="172">
        <f t="shared" si="11"/>
        <v>549740.80000000016</v>
      </c>
      <c r="G80" s="172">
        <f t="shared" si="7"/>
        <v>508195.2100000002</v>
      </c>
    </row>
    <row r="81" spans="1:7" x14ac:dyDescent="0.25">
      <c r="A81" s="36">
        <v>44305</v>
      </c>
      <c r="B81" s="168">
        <f t="shared" si="8"/>
        <v>7</v>
      </c>
      <c r="C81" s="172">
        <f t="shared" si="9"/>
        <v>43149</v>
      </c>
      <c r="D81" s="173">
        <f t="shared" si="12"/>
        <v>41666.76</v>
      </c>
      <c r="E81" s="172">
        <f t="shared" si="10"/>
        <v>1482.24</v>
      </c>
      <c r="F81" s="172">
        <f t="shared" si="11"/>
        <v>508195.2100000002</v>
      </c>
      <c r="G81" s="172">
        <f t="shared" si="7"/>
        <v>466528.45000000019</v>
      </c>
    </row>
    <row r="82" spans="1:7" x14ac:dyDescent="0.25">
      <c r="A82" s="36">
        <v>44312</v>
      </c>
      <c r="B82" s="168">
        <f t="shared" si="8"/>
        <v>7</v>
      </c>
      <c r="C82" s="172">
        <f t="shared" si="9"/>
        <v>43149</v>
      </c>
      <c r="D82" s="173">
        <f t="shared" si="12"/>
        <v>41788.29</v>
      </c>
      <c r="E82" s="172">
        <f t="shared" si="10"/>
        <v>1360.71</v>
      </c>
      <c r="F82" s="172">
        <f t="shared" si="11"/>
        <v>466528.45000000019</v>
      </c>
      <c r="G82" s="172">
        <f t="shared" si="7"/>
        <v>424740.16000000021</v>
      </c>
    </row>
    <row r="83" spans="1:7" x14ac:dyDescent="0.25">
      <c r="A83" s="36">
        <v>44319</v>
      </c>
      <c r="B83" s="168">
        <f t="shared" si="8"/>
        <v>7</v>
      </c>
      <c r="C83" s="172">
        <f t="shared" si="9"/>
        <v>43149</v>
      </c>
      <c r="D83" s="173">
        <f t="shared" si="12"/>
        <v>41910.17</v>
      </c>
      <c r="E83" s="172">
        <f t="shared" si="10"/>
        <v>1238.83</v>
      </c>
      <c r="F83" s="172">
        <f t="shared" si="11"/>
        <v>424740.16000000021</v>
      </c>
      <c r="G83" s="172">
        <f t="shared" si="7"/>
        <v>382829.99000000022</v>
      </c>
    </row>
    <row r="84" spans="1:7" x14ac:dyDescent="0.25">
      <c r="A84" s="36">
        <v>44326</v>
      </c>
      <c r="B84" s="168">
        <f t="shared" si="8"/>
        <v>7</v>
      </c>
      <c r="C84" s="172">
        <f t="shared" si="9"/>
        <v>43149</v>
      </c>
      <c r="D84" s="173">
        <f t="shared" si="12"/>
        <v>42032.41</v>
      </c>
      <c r="E84" s="172">
        <f t="shared" si="10"/>
        <v>1116.5899999999999</v>
      </c>
      <c r="F84" s="172">
        <f t="shared" si="11"/>
        <v>382829.99000000022</v>
      </c>
      <c r="G84" s="172">
        <f t="shared" si="7"/>
        <v>340797.58000000019</v>
      </c>
    </row>
    <row r="85" spans="1:7" x14ac:dyDescent="0.25">
      <c r="A85" s="36">
        <v>44333</v>
      </c>
      <c r="B85" s="168">
        <f t="shared" si="8"/>
        <v>7</v>
      </c>
      <c r="C85" s="172">
        <f t="shared" si="9"/>
        <v>43149</v>
      </c>
      <c r="D85" s="173">
        <f t="shared" si="12"/>
        <v>42155.01</v>
      </c>
      <c r="E85" s="172">
        <f t="shared" si="10"/>
        <v>993.99</v>
      </c>
      <c r="F85" s="172">
        <f t="shared" si="11"/>
        <v>340797.58000000019</v>
      </c>
      <c r="G85" s="172">
        <f t="shared" si="7"/>
        <v>298642.57000000018</v>
      </c>
    </row>
    <row r="86" spans="1:7" x14ac:dyDescent="0.25">
      <c r="A86" s="36">
        <v>44340</v>
      </c>
      <c r="B86" s="168">
        <f t="shared" si="8"/>
        <v>7</v>
      </c>
      <c r="C86" s="172">
        <f t="shared" si="9"/>
        <v>43149</v>
      </c>
      <c r="D86" s="173">
        <f t="shared" si="12"/>
        <v>42277.96</v>
      </c>
      <c r="E86" s="172">
        <f t="shared" si="10"/>
        <v>871.04</v>
      </c>
      <c r="F86" s="172">
        <f t="shared" si="11"/>
        <v>298642.57000000018</v>
      </c>
      <c r="G86" s="172">
        <f t="shared" si="7"/>
        <v>256364.61000000019</v>
      </c>
    </row>
    <row r="87" spans="1:7" x14ac:dyDescent="0.25">
      <c r="A87" s="36">
        <v>44347</v>
      </c>
      <c r="B87" s="168">
        <f t="shared" si="8"/>
        <v>6</v>
      </c>
      <c r="C87" s="172">
        <f t="shared" si="9"/>
        <v>43149</v>
      </c>
      <c r="D87" s="173">
        <f t="shared" si="12"/>
        <v>42508.09</v>
      </c>
      <c r="E87" s="172">
        <f t="shared" si="10"/>
        <v>640.91</v>
      </c>
      <c r="F87" s="172">
        <f t="shared" si="11"/>
        <v>256364.61000000019</v>
      </c>
      <c r="G87" s="172">
        <f t="shared" si="7"/>
        <v>213856.52000000019</v>
      </c>
    </row>
    <row r="88" spans="1:7" x14ac:dyDescent="0.25">
      <c r="A88" s="36">
        <v>44354</v>
      </c>
      <c r="B88" s="168">
        <f t="shared" si="8"/>
        <v>7</v>
      </c>
      <c r="C88" s="172">
        <f t="shared" si="9"/>
        <v>43149</v>
      </c>
      <c r="D88" s="173">
        <f t="shared" si="12"/>
        <v>42525.25</v>
      </c>
      <c r="E88" s="172">
        <f t="shared" si="10"/>
        <v>623.75</v>
      </c>
      <c r="F88" s="172">
        <f t="shared" si="11"/>
        <v>213856.52000000019</v>
      </c>
      <c r="G88" s="172">
        <f t="shared" si="7"/>
        <v>171331.27000000019</v>
      </c>
    </row>
    <row r="89" spans="1:7" x14ac:dyDescent="0.25">
      <c r="A89" s="36">
        <v>44361</v>
      </c>
      <c r="B89" s="168">
        <f t="shared" si="8"/>
        <v>7</v>
      </c>
      <c r="C89" s="172">
        <f t="shared" si="9"/>
        <v>43149</v>
      </c>
      <c r="D89" s="173">
        <f t="shared" si="12"/>
        <v>42649.279999999999</v>
      </c>
      <c r="E89" s="172">
        <f t="shared" si="10"/>
        <v>499.72</v>
      </c>
      <c r="F89" s="172">
        <f t="shared" si="11"/>
        <v>171331.27000000019</v>
      </c>
      <c r="G89" s="172">
        <f t="shared" si="7"/>
        <v>128681.99000000019</v>
      </c>
    </row>
    <row r="90" spans="1:7" x14ac:dyDescent="0.25">
      <c r="A90" s="36">
        <v>44368</v>
      </c>
      <c r="B90" s="168">
        <f t="shared" si="8"/>
        <v>7</v>
      </c>
      <c r="C90" s="172">
        <f t="shared" si="9"/>
        <v>43149</v>
      </c>
      <c r="D90" s="173">
        <f t="shared" si="12"/>
        <v>42773.68</v>
      </c>
      <c r="E90" s="172">
        <f t="shared" si="10"/>
        <v>375.32</v>
      </c>
      <c r="F90" s="172">
        <f t="shared" si="11"/>
        <v>128681.99000000019</v>
      </c>
      <c r="G90" s="172">
        <f t="shared" si="7"/>
        <v>85908.310000000201</v>
      </c>
    </row>
    <row r="91" spans="1:7" x14ac:dyDescent="0.25">
      <c r="A91" s="36">
        <v>44375</v>
      </c>
      <c r="B91" s="168">
        <f t="shared" si="8"/>
        <v>7</v>
      </c>
      <c r="C91" s="172">
        <f t="shared" si="9"/>
        <v>43149</v>
      </c>
      <c r="D91" s="173">
        <f t="shared" si="12"/>
        <v>42898.43</v>
      </c>
      <c r="E91" s="172">
        <f t="shared" si="10"/>
        <v>250.57</v>
      </c>
      <c r="F91" s="172">
        <f t="shared" si="11"/>
        <v>85908.310000000201</v>
      </c>
      <c r="G91" s="172">
        <f t="shared" si="7"/>
        <v>43009.880000000201</v>
      </c>
    </row>
    <row r="92" spans="1:7" x14ac:dyDescent="0.25">
      <c r="A92" s="36">
        <v>44382</v>
      </c>
      <c r="B92" s="168">
        <f t="shared" si="8"/>
        <v>7</v>
      </c>
      <c r="C92" s="172">
        <f t="shared" si="9"/>
        <v>43149</v>
      </c>
      <c r="D92" s="173">
        <f t="shared" si="12"/>
        <v>43009.880000000201</v>
      </c>
      <c r="E92" s="172">
        <v>139.11999999979713</v>
      </c>
      <c r="F92" s="172">
        <f t="shared" si="11"/>
        <v>43009.880000000201</v>
      </c>
      <c r="G92" s="172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FA9A96-1100-43DD-9BE4-2D1640F6254D}">
  <dimension ref="A1:J92"/>
  <sheetViews>
    <sheetView zoomScale="86" zoomScaleNormal="80" workbookViewId="0">
      <pane ySplit="3" topLeftCell="A81" activePane="bottomLeft" state="frozen"/>
      <selection activeCell="A8" sqref="A8"/>
      <selection pane="bottomLeft" activeCell="A53" sqref="A53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4.5703125" bestFit="1" customWidth="1"/>
    <col min="10" max="10" width="2.28515625" bestFit="1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ROUNDUP(43186.9563118535,0)</f>
        <v>43187</v>
      </c>
      <c r="G1" s="83" t="s">
        <v>52</v>
      </c>
      <c r="H1" s="81">
        <v>44105</v>
      </c>
      <c r="I1" t="s">
        <v>382</v>
      </c>
      <c r="J1">
        <f>DAYS360(A12,H1,TRUE)</f>
        <v>3</v>
      </c>
    </row>
    <row r="2" spans="1:10" x14ac:dyDescent="0.25">
      <c r="A2" s="75" t="s">
        <v>34</v>
      </c>
      <c r="B2" s="76">
        <v>0.15</v>
      </c>
      <c r="C2" s="167">
        <v>2000000</v>
      </c>
      <c r="G2" s="83" t="s">
        <v>127</v>
      </c>
      <c r="H2" s="83">
        <v>56000</v>
      </c>
      <c r="I2" t="s">
        <v>383</v>
      </c>
      <c r="J2">
        <f>DAYS360(H1,A13,TRUE)</f>
        <v>4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f>C2</f>
        <v>2000000</v>
      </c>
      <c r="G4" s="47">
        <f>F4-D4</f>
        <v>2000000</v>
      </c>
    </row>
    <row r="5" spans="1:10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68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10" x14ac:dyDescent="0.25">
      <c r="A6" s="36">
        <v>44060</v>
      </c>
      <c r="B6" s="46">
        <f t="shared" ref="B6:B52" si="1">DAYS360(A5,A6,TRUE)</f>
        <v>7</v>
      </c>
      <c r="C6" s="47">
        <f t="shared" ref="C6:C52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69" si="5">F6-D6</f>
        <v>1922213.3900000001</v>
      </c>
    </row>
    <row r="7" spans="1:10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10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10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10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10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10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10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10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10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10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174">
        <v>44109</v>
      </c>
      <c r="B53" s="175">
        <f>B13</f>
        <v>7</v>
      </c>
      <c r="C53" s="176">
        <f>$F$1</f>
        <v>43187</v>
      </c>
      <c r="D53" s="177">
        <f t="shared" si="0"/>
        <v>38364.809112499999</v>
      </c>
      <c r="E53" s="176">
        <f>(G12*B2*J1/360)+(F53*B2*J2/360)</f>
        <v>4822.1908875000008</v>
      </c>
      <c r="F53" s="176">
        <f>G12-H2</f>
        <v>1629322.59</v>
      </c>
      <c r="G53" s="176">
        <f t="shared" si="5"/>
        <v>1590957.7808875002</v>
      </c>
    </row>
    <row r="54" spans="1:7" x14ac:dyDescent="0.25">
      <c r="A54" s="36">
        <v>44116</v>
      </c>
      <c r="B54" s="168">
        <f>DAYS360(A53,A54,TRUE)</f>
        <v>7</v>
      </c>
      <c r="C54" s="172">
        <f>$F$1</f>
        <v>43187</v>
      </c>
      <c r="D54" s="173">
        <f t="shared" si="0"/>
        <v>38546.71</v>
      </c>
      <c r="E54" s="172">
        <f>ROUND(F54*$B$2*B54/360,2)</f>
        <v>4640.29</v>
      </c>
      <c r="F54" s="172">
        <f t="shared" ref="F54:F92" si="6">G53</f>
        <v>1590957.7808875002</v>
      </c>
      <c r="G54" s="172">
        <f t="shared" si="5"/>
        <v>1552411.0708875002</v>
      </c>
    </row>
    <row r="55" spans="1:7" x14ac:dyDescent="0.25">
      <c r="A55" s="36">
        <v>44123</v>
      </c>
      <c r="B55" s="168">
        <f t="shared" ref="B55:B92" si="7">DAYS360(A54,A55,TRUE)</f>
        <v>7</v>
      </c>
      <c r="C55" s="172">
        <f t="shared" ref="C55:C92" si="8">$F$1</f>
        <v>43187</v>
      </c>
      <c r="D55" s="173">
        <f t="shared" si="0"/>
        <v>38659.129999999997</v>
      </c>
      <c r="E55" s="172">
        <f t="shared" ref="E55:E91" si="9">ROUND(F55*$B$2*B55/360,2)</f>
        <v>4527.87</v>
      </c>
      <c r="F55" s="172">
        <f t="shared" si="6"/>
        <v>1552411.0708875002</v>
      </c>
      <c r="G55" s="172">
        <f t="shared" si="5"/>
        <v>1513751.9408875003</v>
      </c>
    </row>
    <row r="56" spans="1:7" x14ac:dyDescent="0.25">
      <c r="A56" s="36">
        <v>44130</v>
      </c>
      <c r="B56" s="168">
        <f t="shared" si="7"/>
        <v>7</v>
      </c>
      <c r="C56" s="172">
        <f t="shared" si="8"/>
        <v>43187</v>
      </c>
      <c r="D56" s="173">
        <f t="shared" si="0"/>
        <v>38771.89</v>
      </c>
      <c r="E56" s="172">
        <f t="shared" si="9"/>
        <v>4415.1099999999997</v>
      </c>
      <c r="F56" s="172">
        <f t="shared" si="6"/>
        <v>1513751.9408875003</v>
      </c>
      <c r="G56" s="172">
        <f t="shared" si="5"/>
        <v>1474980.0508875004</v>
      </c>
    </row>
    <row r="57" spans="1:7" x14ac:dyDescent="0.25">
      <c r="A57" s="36">
        <v>44137</v>
      </c>
      <c r="B57" s="168">
        <f t="shared" si="7"/>
        <v>6</v>
      </c>
      <c r="C57" s="172">
        <f t="shared" si="8"/>
        <v>43187</v>
      </c>
      <c r="D57" s="173">
        <f t="shared" si="0"/>
        <v>39499.550000000003</v>
      </c>
      <c r="E57" s="172">
        <f t="shared" si="9"/>
        <v>3687.45</v>
      </c>
      <c r="F57" s="172">
        <f t="shared" si="6"/>
        <v>1474980.0508875004</v>
      </c>
      <c r="G57" s="172">
        <f t="shared" si="5"/>
        <v>1435480.5008875004</v>
      </c>
    </row>
    <row r="58" spans="1:7" x14ac:dyDescent="0.25">
      <c r="A58" s="36">
        <v>44144</v>
      </c>
      <c r="B58" s="168">
        <f t="shared" si="7"/>
        <v>7</v>
      </c>
      <c r="C58" s="172">
        <f t="shared" si="8"/>
        <v>43187</v>
      </c>
      <c r="D58" s="173">
        <f t="shared" si="0"/>
        <v>39000.18</v>
      </c>
      <c r="E58" s="172">
        <f t="shared" si="9"/>
        <v>4186.82</v>
      </c>
      <c r="F58" s="172">
        <f t="shared" si="6"/>
        <v>1435480.5008875004</v>
      </c>
      <c r="G58" s="172">
        <f t="shared" si="5"/>
        <v>1396480.3208875004</v>
      </c>
    </row>
    <row r="59" spans="1:7" x14ac:dyDescent="0.25">
      <c r="A59" s="36">
        <v>44151</v>
      </c>
      <c r="B59" s="168">
        <f t="shared" si="7"/>
        <v>7</v>
      </c>
      <c r="C59" s="172">
        <f t="shared" si="8"/>
        <v>43187</v>
      </c>
      <c r="D59" s="173">
        <f t="shared" si="0"/>
        <v>39113.93</v>
      </c>
      <c r="E59" s="172">
        <f t="shared" si="9"/>
        <v>4073.07</v>
      </c>
      <c r="F59" s="172">
        <f t="shared" si="6"/>
        <v>1396480.3208875004</v>
      </c>
      <c r="G59" s="172">
        <f t="shared" si="5"/>
        <v>1357366.3908875005</v>
      </c>
    </row>
    <row r="60" spans="1:7" x14ac:dyDescent="0.25">
      <c r="A60" s="36">
        <v>44158</v>
      </c>
      <c r="B60" s="168">
        <f t="shared" si="7"/>
        <v>7</v>
      </c>
      <c r="C60" s="172">
        <f t="shared" si="8"/>
        <v>43187</v>
      </c>
      <c r="D60" s="173">
        <f t="shared" si="0"/>
        <v>39228.01</v>
      </c>
      <c r="E60" s="172">
        <f t="shared" si="9"/>
        <v>3958.99</v>
      </c>
      <c r="F60" s="172">
        <f t="shared" si="6"/>
        <v>1357366.3908875005</v>
      </c>
      <c r="G60" s="172">
        <f t="shared" si="5"/>
        <v>1318138.3808875005</v>
      </c>
    </row>
    <row r="61" spans="1:7" x14ac:dyDescent="0.25">
      <c r="A61" s="36">
        <v>44165</v>
      </c>
      <c r="B61" s="168">
        <f t="shared" si="7"/>
        <v>7</v>
      </c>
      <c r="C61" s="172">
        <f t="shared" si="8"/>
        <v>43187</v>
      </c>
      <c r="D61" s="173">
        <f t="shared" si="0"/>
        <v>39342.43</v>
      </c>
      <c r="E61" s="172">
        <f t="shared" si="9"/>
        <v>3844.57</v>
      </c>
      <c r="F61" s="172">
        <f t="shared" si="6"/>
        <v>1318138.3808875005</v>
      </c>
      <c r="G61" s="172">
        <f t="shared" si="5"/>
        <v>1278795.9508875005</v>
      </c>
    </row>
    <row r="62" spans="1:7" x14ac:dyDescent="0.25">
      <c r="A62" s="36">
        <v>44172</v>
      </c>
      <c r="B62" s="168">
        <f t="shared" si="7"/>
        <v>7</v>
      </c>
      <c r="C62" s="172">
        <f t="shared" si="8"/>
        <v>43187</v>
      </c>
      <c r="D62" s="173">
        <f t="shared" si="0"/>
        <v>39457.18</v>
      </c>
      <c r="E62" s="172">
        <f t="shared" si="9"/>
        <v>3729.82</v>
      </c>
      <c r="F62" s="172">
        <f t="shared" si="6"/>
        <v>1278795.9508875005</v>
      </c>
      <c r="G62" s="172">
        <f t="shared" si="5"/>
        <v>1239338.7708875006</v>
      </c>
    </row>
    <row r="63" spans="1:7" x14ac:dyDescent="0.25">
      <c r="A63" s="36">
        <v>44179</v>
      </c>
      <c r="B63" s="168">
        <f t="shared" si="7"/>
        <v>7</v>
      </c>
      <c r="C63" s="172">
        <f t="shared" si="8"/>
        <v>43187</v>
      </c>
      <c r="D63" s="173">
        <f t="shared" si="0"/>
        <v>39572.26</v>
      </c>
      <c r="E63" s="172">
        <f t="shared" si="9"/>
        <v>3614.74</v>
      </c>
      <c r="F63" s="172">
        <f t="shared" si="6"/>
        <v>1239338.7708875006</v>
      </c>
      <c r="G63" s="172">
        <f t="shared" si="5"/>
        <v>1199766.5108875006</v>
      </c>
    </row>
    <row r="64" spans="1:7" x14ac:dyDescent="0.25">
      <c r="A64" s="36">
        <v>44186</v>
      </c>
      <c r="B64" s="168">
        <f t="shared" si="7"/>
        <v>7</v>
      </c>
      <c r="C64" s="172">
        <f t="shared" si="8"/>
        <v>43187</v>
      </c>
      <c r="D64" s="173">
        <f t="shared" si="0"/>
        <v>39687.68</v>
      </c>
      <c r="E64" s="172">
        <f t="shared" si="9"/>
        <v>3499.32</v>
      </c>
      <c r="F64" s="172">
        <f t="shared" si="6"/>
        <v>1199766.5108875006</v>
      </c>
      <c r="G64" s="172">
        <f t="shared" si="5"/>
        <v>1160078.8308875007</v>
      </c>
    </row>
    <row r="65" spans="1:7" x14ac:dyDescent="0.25">
      <c r="A65" s="36">
        <v>44193</v>
      </c>
      <c r="B65" s="168">
        <f t="shared" si="7"/>
        <v>7</v>
      </c>
      <c r="C65" s="172">
        <f t="shared" si="8"/>
        <v>43187</v>
      </c>
      <c r="D65" s="173">
        <f t="shared" si="0"/>
        <v>39803.440000000002</v>
      </c>
      <c r="E65" s="172">
        <f t="shared" si="9"/>
        <v>3383.56</v>
      </c>
      <c r="F65" s="172">
        <f t="shared" si="6"/>
        <v>1160078.8308875007</v>
      </c>
      <c r="G65" s="172">
        <f t="shared" si="5"/>
        <v>1120275.3908875007</v>
      </c>
    </row>
    <row r="66" spans="1:7" x14ac:dyDescent="0.25">
      <c r="A66" s="36">
        <v>44200</v>
      </c>
      <c r="B66" s="168">
        <f t="shared" si="7"/>
        <v>6</v>
      </c>
      <c r="C66" s="172">
        <f t="shared" si="8"/>
        <v>43187</v>
      </c>
      <c r="D66" s="173">
        <f t="shared" si="0"/>
        <v>40386.31</v>
      </c>
      <c r="E66" s="172">
        <f t="shared" si="9"/>
        <v>2800.69</v>
      </c>
      <c r="F66" s="172">
        <f t="shared" si="6"/>
        <v>1120275.3908875007</v>
      </c>
      <c r="G66" s="172">
        <f t="shared" si="5"/>
        <v>1079889.0808875007</v>
      </c>
    </row>
    <row r="67" spans="1:7" x14ac:dyDescent="0.25">
      <c r="A67" s="36">
        <v>44207</v>
      </c>
      <c r="B67" s="168">
        <f t="shared" si="7"/>
        <v>7</v>
      </c>
      <c r="C67" s="172">
        <f t="shared" si="8"/>
        <v>43187</v>
      </c>
      <c r="D67" s="173">
        <f t="shared" si="0"/>
        <v>40037.32</v>
      </c>
      <c r="E67" s="172">
        <f t="shared" si="9"/>
        <v>3149.68</v>
      </c>
      <c r="F67" s="172">
        <f t="shared" si="6"/>
        <v>1079889.0808875007</v>
      </c>
      <c r="G67" s="172">
        <f t="shared" si="5"/>
        <v>1039851.7608875007</v>
      </c>
    </row>
    <row r="68" spans="1:7" x14ac:dyDescent="0.25">
      <c r="A68" s="36">
        <v>44214</v>
      </c>
      <c r="B68" s="168">
        <f t="shared" si="7"/>
        <v>7</v>
      </c>
      <c r="C68" s="172">
        <f t="shared" si="8"/>
        <v>43187</v>
      </c>
      <c r="D68" s="173">
        <f t="shared" si="0"/>
        <v>40154.1</v>
      </c>
      <c r="E68" s="172">
        <f t="shared" si="9"/>
        <v>3032.9</v>
      </c>
      <c r="F68" s="172">
        <f t="shared" si="6"/>
        <v>1039851.7608875007</v>
      </c>
      <c r="G68" s="172">
        <f t="shared" si="5"/>
        <v>999697.66088750074</v>
      </c>
    </row>
    <row r="69" spans="1:7" x14ac:dyDescent="0.25">
      <c r="A69" s="36">
        <v>44221</v>
      </c>
      <c r="B69" s="168">
        <f t="shared" si="7"/>
        <v>7</v>
      </c>
      <c r="C69" s="172">
        <f t="shared" si="8"/>
        <v>43187</v>
      </c>
      <c r="D69" s="173">
        <f t="shared" ref="D69:D92" si="10">C69-E69</f>
        <v>40271.22</v>
      </c>
      <c r="E69" s="172">
        <f t="shared" si="9"/>
        <v>2915.78</v>
      </c>
      <c r="F69" s="172">
        <f t="shared" si="6"/>
        <v>999697.66088750074</v>
      </c>
      <c r="G69" s="172">
        <f t="shared" si="5"/>
        <v>959426.44088750076</v>
      </c>
    </row>
    <row r="70" spans="1:7" x14ac:dyDescent="0.25">
      <c r="A70" s="36">
        <v>44228</v>
      </c>
      <c r="B70" s="168">
        <f t="shared" si="7"/>
        <v>6</v>
      </c>
      <c r="C70" s="172">
        <f t="shared" si="8"/>
        <v>43187</v>
      </c>
      <c r="D70" s="173">
        <f t="shared" si="10"/>
        <v>40788.43</v>
      </c>
      <c r="E70" s="172">
        <f t="shared" si="9"/>
        <v>2398.5700000000002</v>
      </c>
      <c r="F70" s="172">
        <f t="shared" si="6"/>
        <v>959426.44088750076</v>
      </c>
      <c r="G70" s="172">
        <f t="shared" ref="G70:G92" si="11">F70-D70</f>
        <v>918638.01088750071</v>
      </c>
    </row>
    <row r="71" spans="1:7" x14ac:dyDescent="0.25">
      <c r="A71" s="36">
        <v>44235</v>
      </c>
      <c r="B71" s="168">
        <f t="shared" si="7"/>
        <v>7</v>
      </c>
      <c r="C71" s="172">
        <f t="shared" si="8"/>
        <v>43187</v>
      </c>
      <c r="D71" s="173">
        <f t="shared" si="10"/>
        <v>40507.64</v>
      </c>
      <c r="E71" s="172">
        <f t="shared" si="9"/>
        <v>2679.36</v>
      </c>
      <c r="F71" s="172">
        <f t="shared" si="6"/>
        <v>918638.01088750071</v>
      </c>
      <c r="G71" s="172">
        <f t="shared" si="11"/>
        <v>878130.3708875007</v>
      </c>
    </row>
    <row r="72" spans="1:7" x14ac:dyDescent="0.25">
      <c r="A72" s="36">
        <v>44242</v>
      </c>
      <c r="B72" s="168">
        <f t="shared" si="7"/>
        <v>7</v>
      </c>
      <c r="C72" s="172">
        <f t="shared" si="8"/>
        <v>43187</v>
      </c>
      <c r="D72" s="173">
        <f t="shared" si="10"/>
        <v>40625.79</v>
      </c>
      <c r="E72" s="172">
        <f t="shared" si="9"/>
        <v>2561.21</v>
      </c>
      <c r="F72" s="172">
        <f t="shared" si="6"/>
        <v>878130.3708875007</v>
      </c>
      <c r="G72" s="172">
        <f t="shared" si="11"/>
        <v>837504.58088750066</v>
      </c>
    </row>
    <row r="73" spans="1:7" x14ac:dyDescent="0.25">
      <c r="A73" s="36">
        <v>44249</v>
      </c>
      <c r="B73" s="168">
        <f t="shared" si="7"/>
        <v>7</v>
      </c>
      <c r="C73" s="172">
        <f t="shared" si="8"/>
        <v>43187</v>
      </c>
      <c r="D73" s="173">
        <f t="shared" si="10"/>
        <v>40744.28</v>
      </c>
      <c r="E73" s="172">
        <f t="shared" si="9"/>
        <v>2442.7199999999998</v>
      </c>
      <c r="F73" s="172">
        <f t="shared" si="6"/>
        <v>837504.58088750066</v>
      </c>
      <c r="G73" s="172">
        <f t="shared" si="11"/>
        <v>796760.30088750063</v>
      </c>
    </row>
    <row r="74" spans="1:7" x14ac:dyDescent="0.25">
      <c r="A74" s="36">
        <v>44256</v>
      </c>
      <c r="B74" s="168">
        <f t="shared" si="7"/>
        <v>9</v>
      </c>
      <c r="C74" s="172">
        <f t="shared" si="8"/>
        <v>43187</v>
      </c>
      <c r="D74" s="173">
        <f t="shared" si="10"/>
        <v>40199.15</v>
      </c>
      <c r="E74" s="172">
        <f t="shared" si="9"/>
        <v>2987.85</v>
      </c>
      <c r="F74" s="172">
        <f t="shared" si="6"/>
        <v>796760.30088750063</v>
      </c>
      <c r="G74" s="172">
        <f t="shared" si="11"/>
        <v>756561.15088750061</v>
      </c>
    </row>
    <row r="75" spans="1:7" x14ac:dyDescent="0.25">
      <c r="A75" s="36">
        <v>44263</v>
      </c>
      <c r="B75" s="168">
        <f t="shared" si="7"/>
        <v>7</v>
      </c>
      <c r="C75" s="172">
        <f t="shared" si="8"/>
        <v>43187</v>
      </c>
      <c r="D75" s="173">
        <f t="shared" si="10"/>
        <v>40980.36</v>
      </c>
      <c r="E75" s="172">
        <f t="shared" si="9"/>
        <v>2206.64</v>
      </c>
      <c r="F75" s="172">
        <f t="shared" si="6"/>
        <v>756561.15088750061</v>
      </c>
      <c r="G75" s="172">
        <f t="shared" si="11"/>
        <v>715580.79088750063</v>
      </c>
    </row>
    <row r="76" spans="1:7" x14ac:dyDescent="0.25">
      <c r="A76" s="36">
        <v>44270</v>
      </c>
      <c r="B76" s="168">
        <f t="shared" si="7"/>
        <v>7</v>
      </c>
      <c r="C76" s="172">
        <f t="shared" si="8"/>
        <v>43187</v>
      </c>
      <c r="D76" s="173">
        <f t="shared" si="10"/>
        <v>41099.89</v>
      </c>
      <c r="E76" s="172">
        <f t="shared" si="9"/>
        <v>2087.11</v>
      </c>
      <c r="F76" s="172">
        <f t="shared" si="6"/>
        <v>715580.79088750063</v>
      </c>
      <c r="G76" s="172">
        <f t="shared" si="11"/>
        <v>674480.90088750061</v>
      </c>
    </row>
    <row r="77" spans="1:7" x14ac:dyDescent="0.25">
      <c r="A77" s="36">
        <v>44277</v>
      </c>
      <c r="B77" s="168">
        <f t="shared" si="7"/>
        <v>7</v>
      </c>
      <c r="C77" s="172">
        <f t="shared" si="8"/>
        <v>43187</v>
      </c>
      <c r="D77" s="173">
        <f t="shared" si="10"/>
        <v>41219.760000000002</v>
      </c>
      <c r="E77" s="172">
        <f t="shared" si="9"/>
        <v>1967.24</v>
      </c>
      <c r="F77" s="172">
        <f t="shared" si="6"/>
        <v>674480.90088750061</v>
      </c>
      <c r="G77" s="172">
        <f t="shared" si="11"/>
        <v>633261.1408875006</v>
      </c>
    </row>
    <row r="78" spans="1:7" x14ac:dyDescent="0.25">
      <c r="A78" s="36">
        <v>44284</v>
      </c>
      <c r="B78" s="168">
        <f t="shared" si="7"/>
        <v>7</v>
      </c>
      <c r="C78" s="172">
        <f t="shared" si="8"/>
        <v>43187</v>
      </c>
      <c r="D78" s="173">
        <f t="shared" si="10"/>
        <v>41339.99</v>
      </c>
      <c r="E78" s="172">
        <f t="shared" si="9"/>
        <v>1847.01</v>
      </c>
      <c r="F78" s="172">
        <f t="shared" si="6"/>
        <v>633261.1408875006</v>
      </c>
      <c r="G78" s="172">
        <f t="shared" si="11"/>
        <v>591921.15088750061</v>
      </c>
    </row>
    <row r="79" spans="1:7" x14ac:dyDescent="0.25">
      <c r="A79" s="36">
        <v>44291</v>
      </c>
      <c r="B79" s="168">
        <f t="shared" si="7"/>
        <v>6</v>
      </c>
      <c r="C79" s="172">
        <f t="shared" si="8"/>
        <v>43187</v>
      </c>
      <c r="D79" s="173">
        <f t="shared" si="10"/>
        <v>41707.199999999997</v>
      </c>
      <c r="E79" s="172">
        <f t="shared" si="9"/>
        <v>1479.8</v>
      </c>
      <c r="F79" s="172">
        <f t="shared" si="6"/>
        <v>591921.15088750061</v>
      </c>
      <c r="G79" s="172">
        <f t="shared" si="11"/>
        <v>550213.95088750066</v>
      </c>
    </row>
    <row r="80" spans="1:7" x14ac:dyDescent="0.25">
      <c r="A80" s="36">
        <v>44298</v>
      </c>
      <c r="B80" s="168">
        <f t="shared" si="7"/>
        <v>7</v>
      </c>
      <c r="C80" s="172">
        <f t="shared" si="8"/>
        <v>43187</v>
      </c>
      <c r="D80" s="173">
        <f t="shared" si="10"/>
        <v>41582.21</v>
      </c>
      <c r="E80" s="172">
        <f t="shared" si="9"/>
        <v>1604.79</v>
      </c>
      <c r="F80" s="172">
        <f t="shared" si="6"/>
        <v>550213.95088750066</v>
      </c>
      <c r="G80" s="172">
        <f t="shared" si="11"/>
        <v>508631.74088750064</v>
      </c>
    </row>
    <row r="81" spans="1:7" x14ac:dyDescent="0.25">
      <c r="A81" s="36">
        <v>44305</v>
      </c>
      <c r="B81" s="168">
        <f t="shared" si="7"/>
        <v>7</v>
      </c>
      <c r="C81" s="172">
        <f t="shared" si="8"/>
        <v>43187</v>
      </c>
      <c r="D81" s="173">
        <f t="shared" si="10"/>
        <v>41703.49</v>
      </c>
      <c r="E81" s="172">
        <f t="shared" si="9"/>
        <v>1483.51</v>
      </c>
      <c r="F81" s="172">
        <f t="shared" si="6"/>
        <v>508631.74088750064</v>
      </c>
      <c r="G81" s="172">
        <f t="shared" si="11"/>
        <v>466928.25088750065</v>
      </c>
    </row>
    <row r="82" spans="1:7" x14ac:dyDescent="0.25">
      <c r="A82" s="36">
        <v>44312</v>
      </c>
      <c r="B82" s="168">
        <f t="shared" si="7"/>
        <v>7</v>
      </c>
      <c r="C82" s="172">
        <f t="shared" si="8"/>
        <v>43187</v>
      </c>
      <c r="D82" s="173">
        <f t="shared" si="10"/>
        <v>41825.129999999997</v>
      </c>
      <c r="E82" s="172">
        <f t="shared" si="9"/>
        <v>1361.87</v>
      </c>
      <c r="F82" s="172">
        <f t="shared" si="6"/>
        <v>466928.25088750065</v>
      </c>
      <c r="G82" s="172">
        <f t="shared" si="11"/>
        <v>425103.12088750064</v>
      </c>
    </row>
    <row r="83" spans="1:7" x14ac:dyDescent="0.25">
      <c r="A83" s="36">
        <v>44319</v>
      </c>
      <c r="B83" s="168">
        <f t="shared" si="7"/>
        <v>7</v>
      </c>
      <c r="C83" s="172">
        <f t="shared" si="8"/>
        <v>43187</v>
      </c>
      <c r="D83" s="173">
        <f t="shared" si="10"/>
        <v>41947.12</v>
      </c>
      <c r="E83" s="172">
        <f t="shared" si="9"/>
        <v>1239.8800000000001</v>
      </c>
      <c r="F83" s="172">
        <f t="shared" si="6"/>
        <v>425103.12088750064</v>
      </c>
      <c r="G83" s="172">
        <f t="shared" si="11"/>
        <v>383156.00088750065</v>
      </c>
    </row>
    <row r="84" spans="1:7" x14ac:dyDescent="0.25">
      <c r="A84" s="36">
        <v>44326</v>
      </c>
      <c r="B84" s="168">
        <f t="shared" si="7"/>
        <v>7</v>
      </c>
      <c r="C84" s="172">
        <f t="shared" si="8"/>
        <v>43187</v>
      </c>
      <c r="D84" s="173">
        <f t="shared" si="10"/>
        <v>42069.46</v>
      </c>
      <c r="E84" s="172">
        <f t="shared" si="9"/>
        <v>1117.54</v>
      </c>
      <c r="F84" s="172">
        <f t="shared" si="6"/>
        <v>383156.00088750065</v>
      </c>
      <c r="G84" s="172">
        <f t="shared" si="11"/>
        <v>341086.54088750063</v>
      </c>
    </row>
    <row r="85" spans="1:7" x14ac:dyDescent="0.25">
      <c r="A85" s="36">
        <v>44333</v>
      </c>
      <c r="B85" s="168">
        <f t="shared" si="7"/>
        <v>7</v>
      </c>
      <c r="C85" s="172">
        <f t="shared" si="8"/>
        <v>43187</v>
      </c>
      <c r="D85" s="173">
        <f t="shared" si="10"/>
        <v>42192.160000000003</v>
      </c>
      <c r="E85" s="172">
        <f t="shared" si="9"/>
        <v>994.84</v>
      </c>
      <c r="F85" s="172">
        <f t="shared" si="6"/>
        <v>341086.54088750063</v>
      </c>
      <c r="G85" s="172">
        <f t="shared" si="11"/>
        <v>298894.38088750059</v>
      </c>
    </row>
    <row r="86" spans="1:7" x14ac:dyDescent="0.25">
      <c r="A86" s="36">
        <v>44340</v>
      </c>
      <c r="B86" s="168">
        <f t="shared" si="7"/>
        <v>7</v>
      </c>
      <c r="C86" s="172">
        <f t="shared" si="8"/>
        <v>43187</v>
      </c>
      <c r="D86" s="173">
        <f t="shared" si="10"/>
        <v>42315.22</v>
      </c>
      <c r="E86" s="172">
        <f t="shared" si="9"/>
        <v>871.78</v>
      </c>
      <c r="F86" s="172">
        <f t="shared" si="6"/>
        <v>298894.38088750059</v>
      </c>
      <c r="G86" s="172">
        <f t="shared" si="11"/>
        <v>256579.16088750059</v>
      </c>
    </row>
    <row r="87" spans="1:7" x14ac:dyDescent="0.25">
      <c r="A87" s="36">
        <v>44347</v>
      </c>
      <c r="B87" s="168">
        <f t="shared" si="7"/>
        <v>6</v>
      </c>
      <c r="C87" s="172">
        <f t="shared" si="8"/>
        <v>43187</v>
      </c>
      <c r="D87" s="173">
        <f t="shared" si="10"/>
        <v>42545.55</v>
      </c>
      <c r="E87" s="172">
        <f t="shared" si="9"/>
        <v>641.45000000000005</v>
      </c>
      <c r="F87" s="172">
        <f t="shared" si="6"/>
        <v>256579.16088750059</v>
      </c>
      <c r="G87" s="172">
        <f t="shared" si="11"/>
        <v>214033.61088750057</v>
      </c>
    </row>
    <row r="88" spans="1:7" x14ac:dyDescent="0.25">
      <c r="A88" s="36">
        <v>44354</v>
      </c>
      <c r="B88" s="168">
        <f t="shared" si="7"/>
        <v>7</v>
      </c>
      <c r="C88" s="172">
        <f t="shared" si="8"/>
        <v>43187</v>
      </c>
      <c r="D88" s="173">
        <f t="shared" si="10"/>
        <v>42562.74</v>
      </c>
      <c r="E88" s="172">
        <f t="shared" si="9"/>
        <v>624.26</v>
      </c>
      <c r="F88" s="172">
        <f t="shared" si="6"/>
        <v>214033.61088750057</v>
      </c>
      <c r="G88" s="172">
        <f t="shared" si="11"/>
        <v>171470.87088750058</v>
      </c>
    </row>
    <row r="89" spans="1:7" x14ac:dyDescent="0.25">
      <c r="A89" s="36">
        <v>44361</v>
      </c>
      <c r="B89" s="168">
        <f t="shared" si="7"/>
        <v>7</v>
      </c>
      <c r="C89" s="172">
        <f t="shared" si="8"/>
        <v>43187</v>
      </c>
      <c r="D89" s="173">
        <f t="shared" si="10"/>
        <v>42686.879999999997</v>
      </c>
      <c r="E89" s="172">
        <f t="shared" si="9"/>
        <v>500.12</v>
      </c>
      <c r="F89" s="172">
        <f t="shared" si="6"/>
        <v>171470.87088750058</v>
      </c>
      <c r="G89" s="172">
        <f t="shared" si="11"/>
        <v>128783.99088750058</v>
      </c>
    </row>
    <row r="90" spans="1:7" x14ac:dyDescent="0.25">
      <c r="A90" s="36">
        <v>44368</v>
      </c>
      <c r="B90" s="168">
        <f t="shared" si="7"/>
        <v>7</v>
      </c>
      <c r="C90" s="172">
        <f t="shared" si="8"/>
        <v>43187</v>
      </c>
      <c r="D90" s="173">
        <f t="shared" si="10"/>
        <v>42811.38</v>
      </c>
      <c r="E90" s="172">
        <f t="shared" si="9"/>
        <v>375.62</v>
      </c>
      <c r="F90" s="172">
        <f t="shared" si="6"/>
        <v>128783.99088750058</v>
      </c>
      <c r="G90" s="172">
        <f t="shared" si="11"/>
        <v>85972.610887500574</v>
      </c>
    </row>
    <row r="91" spans="1:7" x14ac:dyDescent="0.25">
      <c r="A91" s="36">
        <v>44375</v>
      </c>
      <c r="B91" s="168">
        <f t="shared" si="7"/>
        <v>7</v>
      </c>
      <c r="C91" s="172">
        <f t="shared" si="8"/>
        <v>43187</v>
      </c>
      <c r="D91" s="173">
        <f t="shared" si="10"/>
        <v>42936.25</v>
      </c>
      <c r="E91" s="172">
        <f t="shared" si="9"/>
        <v>250.75</v>
      </c>
      <c r="F91" s="172">
        <f t="shared" si="6"/>
        <v>85972.610887500574</v>
      </c>
      <c r="G91" s="172">
        <f t="shared" si="11"/>
        <v>43036.360887500574</v>
      </c>
    </row>
    <row r="92" spans="1:7" x14ac:dyDescent="0.25">
      <c r="A92" s="36">
        <v>44382</v>
      </c>
      <c r="B92" s="168">
        <f t="shared" si="7"/>
        <v>7</v>
      </c>
      <c r="C92" s="172">
        <f t="shared" si="8"/>
        <v>43187</v>
      </c>
      <c r="D92" s="173">
        <f t="shared" si="10"/>
        <v>43036.360887500574</v>
      </c>
      <c r="E92" s="172">
        <v>150.6391124994293</v>
      </c>
      <c r="F92" s="172">
        <f t="shared" si="6"/>
        <v>43036.360887500574</v>
      </c>
      <c r="G92" s="172">
        <f t="shared" si="11"/>
        <v>0</v>
      </c>
    </row>
  </sheetData>
  <pageMargins left="0.7" right="0.7" top="0.75" bottom="0.75" header="0.3" footer="0.3"/>
  <pageSetup orientation="portrait" r:id="rId1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AC077B-766A-4C54-AB4B-DDF864552BB5}">
  <dimension ref="A1:H92"/>
  <sheetViews>
    <sheetView zoomScale="86" zoomScaleNormal="80" workbookViewId="0">
      <pane ySplit="3" topLeftCell="A4" activePane="bottomLeft" state="frozen"/>
      <selection activeCell="A94" sqref="A94:XFD94"/>
      <selection pane="bottomLeft" activeCell="A16" sqref="A16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ROUNDUP(45450.2313765953,0)</f>
        <v>45451</v>
      </c>
      <c r="G1" s="83" t="s">
        <v>52</v>
      </c>
      <c r="H1" s="81">
        <v>44130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0.2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68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8" x14ac:dyDescent="0.25">
      <c r="A6" s="36">
        <v>44060</v>
      </c>
      <c r="B6" s="46">
        <f t="shared" ref="B6:B46" si="1">A6-A5</f>
        <v>7</v>
      </c>
      <c r="C6" s="47">
        <f t="shared" ref="C6:C52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52" si="4">F6-D6</f>
        <v>1922054.89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8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8" x14ac:dyDescent="0.25">
      <c r="A13" s="36">
        <v>44109</v>
      </c>
      <c r="B13" s="46">
        <f>A53-A12</f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8" x14ac:dyDescent="0.25">
      <c r="A14" s="36">
        <v>44116</v>
      </c>
      <c r="B14" s="46">
        <f>A54-A53</f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8" x14ac:dyDescent="0.25">
      <c r="A15" s="36">
        <v>44123</v>
      </c>
      <c r="B15" s="46">
        <f>A55-A54</f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8" x14ac:dyDescent="0.25">
      <c r="A16" s="36">
        <v>44130</v>
      </c>
      <c r="B16" s="46">
        <f>A16-A55</f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92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36">
        <v>44109</v>
      </c>
      <c r="B53" s="168">
        <f t="shared" ref="B53:G56" si="8">B13</f>
        <v>7</v>
      </c>
      <c r="C53" s="172">
        <f t="shared" si="8"/>
        <v>44670</v>
      </c>
      <c r="D53" s="173">
        <f t="shared" si="8"/>
        <v>39821.26</v>
      </c>
      <c r="E53" s="172">
        <f t="shared" si="8"/>
        <v>4848.74</v>
      </c>
      <c r="F53" s="172">
        <f t="shared" si="8"/>
        <v>1685514.64</v>
      </c>
      <c r="G53" s="172">
        <f t="shared" si="8"/>
        <v>1645693.38</v>
      </c>
    </row>
    <row r="54" spans="1:7" x14ac:dyDescent="0.25">
      <c r="A54" s="36">
        <v>44116</v>
      </c>
      <c r="B54" s="168">
        <f t="shared" si="8"/>
        <v>7</v>
      </c>
      <c r="C54" s="172">
        <f t="shared" si="8"/>
        <v>44670</v>
      </c>
      <c r="D54" s="173">
        <f t="shared" si="8"/>
        <v>39935.81</v>
      </c>
      <c r="E54" s="172">
        <f t="shared" si="8"/>
        <v>4734.1899999999996</v>
      </c>
      <c r="F54" s="172">
        <f t="shared" si="8"/>
        <v>1645693.38</v>
      </c>
      <c r="G54" s="172">
        <f t="shared" si="8"/>
        <v>1605757.5699999998</v>
      </c>
    </row>
    <row r="55" spans="1:7" x14ac:dyDescent="0.25">
      <c r="A55" s="36">
        <v>44123</v>
      </c>
      <c r="B55" s="168">
        <f t="shared" si="8"/>
        <v>7</v>
      </c>
      <c r="C55" s="172">
        <f t="shared" si="8"/>
        <v>44670</v>
      </c>
      <c r="D55" s="173">
        <f t="shared" si="8"/>
        <v>40050.699999999997</v>
      </c>
      <c r="E55" s="172">
        <f t="shared" si="8"/>
        <v>4619.3</v>
      </c>
      <c r="F55" s="172">
        <f t="shared" si="8"/>
        <v>1605757.5699999998</v>
      </c>
      <c r="G55" s="172">
        <f t="shared" si="8"/>
        <v>1565706.8699999999</v>
      </c>
    </row>
    <row r="56" spans="1:7" x14ac:dyDescent="0.25">
      <c r="A56" s="36">
        <v>44130</v>
      </c>
      <c r="B56" s="168">
        <f t="shared" si="8"/>
        <v>7</v>
      </c>
      <c r="C56" s="172">
        <f t="shared" si="8"/>
        <v>44670</v>
      </c>
      <c r="D56" s="173">
        <f t="shared" si="8"/>
        <v>40165.910000000003</v>
      </c>
      <c r="E56" s="172">
        <f t="shared" si="8"/>
        <v>4504.09</v>
      </c>
      <c r="F56" s="172">
        <f t="shared" si="8"/>
        <v>1565706.8699999999</v>
      </c>
      <c r="G56" s="172">
        <f t="shared" si="8"/>
        <v>1525540.96</v>
      </c>
    </row>
    <row r="57" spans="1:7" x14ac:dyDescent="0.25">
      <c r="A57" s="179">
        <v>44137</v>
      </c>
      <c r="B57" s="169">
        <f>A57-A56</f>
        <v>7</v>
      </c>
      <c r="C57" s="170">
        <f t="shared" ref="C57:C92" si="9">$F$1</f>
        <v>45451</v>
      </c>
      <c r="D57" s="171">
        <f t="shared" si="0"/>
        <v>39599.61</v>
      </c>
      <c r="E57" s="170">
        <f>ROUND(F57*$H$2*B57/365,2)</f>
        <v>5851.39</v>
      </c>
      <c r="F57" s="170">
        <f>G16</f>
        <v>1525540.96</v>
      </c>
      <c r="G57" s="170">
        <f t="shared" ref="G57:G92" si="10">F57-D57</f>
        <v>1485941.3499999999</v>
      </c>
    </row>
    <row r="58" spans="1:7" x14ac:dyDescent="0.25">
      <c r="A58" s="36">
        <v>44144</v>
      </c>
      <c r="B58" s="168">
        <f t="shared" si="7"/>
        <v>7</v>
      </c>
      <c r="C58" s="172">
        <f t="shared" si="9"/>
        <v>45451</v>
      </c>
      <c r="D58" s="173">
        <f t="shared" si="0"/>
        <v>39751.5</v>
      </c>
      <c r="E58" s="172">
        <f>ROUND(F58*$H$2*B58/365,2)</f>
        <v>5699.5</v>
      </c>
      <c r="F58" s="172">
        <f t="shared" ref="F58:F92" si="11">G57</f>
        <v>1485941.3499999999</v>
      </c>
      <c r="G58" s="172">
        <f t="shared" si="10"/>
        <v>1446189.8499999999</v>
      </c>
    </row>
    <row r="59" spans="1:7" x14ac:dyDescent="0.25">
      <c r="A59" s="36">
        <v>44151</v>
      </c>
      <c r="B59" s="168">
        <f t="shared" si="7"/>
        <v>7</v>
      </c>
      <c r="C59" s="172">
        <f t="shared" si="9"/>
        <v>45451</v>
      </c>
      <c r="D59" s="173">
        <f t="shared" si="0"/>
        <v>39903.97</v>
      </c>
      <c r="E59" s="172">
        <f t="shared" ref="E59:E91" si="12">ROUND(F59*$H$2*B59/365,2)</f>
        <v>5547.03</v>
      </c>
      <c r="F59" s="172">
        <f t="shared" si="11"/>
        <v>1446189.8499999999</v>
      </c>
      <c r="G59" s="172">
        <f t="shared" si="10"/>
        <v>1406285.88</v>
      </c>
    </row>
    <row r="60" spans="1:7" x14ac:dyDescent="0.25">
      <c r="A60" s="36">
        <v>44158</v>
      </c>
      <c r="B60" s="168">
        <f t="shared" si="7"/>
        <v>7</v>
      </c>
      <c r="C60" s="172">
        <f t="shared" si="9"/>
        <v>45451</v>
      </c>
      <c r="D60" s="173">
        <f t="shared" si="0"/>
        <v>40057.03</v>
      </c>
      <c r="E60" s="172">
        <f t="shared" si="12"/>
        <v>5393.97</v>
      </c>
      <c r="F60" s="172">
        <f t="shared" si="11"/>
        <v>1406285.88</v>
      </c>
      <c r="G60" s="172">
        <f t="shared" si="10"/>
        <v>1366228.8499999999</v>
      </c>
    </row>
    <row r="61" spans="1:7" x14ac:dyDescent="0.25">
      <c r="A61" s="36">
        <v>44165</v>
      </c>
      <c r="B61" s="168">
        <f t="shared" si="7"/>
        <v>7</v>
      </c>
      <c r="C61" s="172">
        <f t="shared" si="9"/>
        <v>45451</v>
      </c>
      <c r="D61" s="173">
        <f t="shared" si="0"/>
        <v>40210.67</v>
      </c>
      <c r="E61" s="172">
        <f t="shared" si="12"/>
        <v>5240.33</v>
      </c>
      <c r="F61" s="172">
        <f t="shared" si="11"/>
        <v>1366228.8499999999</v>
      </c>
      <c r="G61" s="172">
        <f t="shared" si="10"/>
        <v>1326018.18</v>
      </c>
    </row>
    <row r="62" spans="1:7" x14ac:dyDescent="0.25">
      <c r="A62" s="36">
        <v>44172</v>
      </c>
      <c r="B62" s="168">
        <f t="shared" si="7"/>
        <v>7</v>
      </c>
      <c r="C62" s="172">
        <f t="shared" si="9"/>
        <v>45451</v>
      </c>
      <c r="D62" s="173">
        <f t="shared" si="0"/>
        <v>40364.9</v>
      </c>
      <c r="E62" s="172">
        <f t="shared" si="12"/>
        <v>5086.1000000000004</v>
      </c>
      <c r="F62" s="172">
        <f t="shared" si="11"/>
        <v>1326018.18</v>
      </c>
      <c r="G62" s="172">
        <f t="shared" si="10"/>
        <v>1285653.28</v>
      </c>
    </row>
    <row r="63" spans="1:7" x14ac:dyDescent="0.25">
      <c r="A63" s="36">
        <v>44179</v>
      </c>
      <c r="B63" s="168">
        <f t="shared" si="7"/>
        <v>7</v>
      </c>
      <c r="C63" s="172">
        <f t="shared" si="9"/>
        <v>45451</v>
      </c>
      <c r="D63" s="173">
        <f t="shared" si="0"/>
        <v>40519.729999999996</v>
      </c>
      <c r="E63" s="172">
        <f t="shared" si="12"/>
        <v>4931.2700000000004</v>
      </c>
      <c r="F63" s="172">
        <f t="shared" si="11"/>
        <v>1285653.28</v>
      </c>
      <c r="G63" s="172">
        <f t="shared" si="10"/>
        <v>1245133.55</v>
      </c>
    </row>
    <row r="64" spans="1:7" x14ac:dyDescent="0.25">
      <c r="A64" s="36">
        <v>44186</v>
      </c>
      <c r="B64" s="168">
        <f t="shared" si="7"/>
        <v>7</v>
      </c>
      <c r="C64" s="172">
        <f t="shared" si="9"/>
        <v>45451</v>
      </c>
      <c r="D64" s="173">
        <f t="shared" si="0"/>
        <v>40675.15</v>
      </c>
      <c r="E64" s="172">
        <f t="shared" si="12"/>
        <v>4775.8500000000004</v>
      </c>
      <c r="F64" s="172">
        <f t="shared" si="11"/>
        <v>1245133.55</v>
      </c>
      <c r="G64" s="172">
        <f t="shared" si="10"/>
        <v>1204458.4000000001</v>
      </c>
    </row>
    <row r="65" spans="1:7" x14ac:dyDescent="0.25">
      <c r="A65" s="36">
        <v>44193</v>
      </c>
      <c r="B65" s="168">
        <f t="shared" si="7"/>
        <v>7</v>
      </c>
      <c r="C65" s="172">
        <f t="shared" si="9"/>
        <v>45451</v>
      </c>
      <c r="D65" s="173">
        <f t="shared" si="0"/>
        <v>40831.160000000003</v>
      </c>
      <c r="E65" s="172">
        <f t="shared" si="12"/>
        <v>4619.84</v>
      </c>
      <c r="F65" s="172">
        <f t="shared" si="11"/>
        <v>1204458.4000000001</v>
      </c>
      <c r="G65" s="172">
        <f t="shared" si="10"/>
        <v>1163627.2400000002</v>
      </c>
    </row>
    <row r="66" spans="1:7" x14ac:dyDescent="0.25">
      <c r="A66" s="36">
        <v>44200</v>
      </c>
      <c r="B66" s="168">
        <f t="shared" si="7"/>
        <v>7</v>
      </c>
      <c r="C66" s="172">
        <f t="shared" si="9"/>
        <v>45451</v>
      </c>
      <c r="D66" s="173">
        <f t="shared" si="0"/>
        <v>40987.770000000004</v>
      </c>
      <c r="E66" s="172">
        <f t="shared" si="12"/>
        <v>4463.2299999999996</v>
      </c>
      <c r="F66" s="172">
        <f t="shared" si="11"/>
        <v>1163627.2400000002</v>
      </c>
      <c r="G66" s="172">
        <f t="shared" si="10"/>
        <v>1122639.4700000002</v>
      </c>
    </row>
    <row r="67" spans="1:7" x14ac:dyDescent="0.25">
      <c r="A67" s="36">
        <v>44207</v>
      </c>
      <c r="B67" s="168">
        <f t="shared" si="7"/>
        <v>7</v>
      </c>
      <c r="C67" s="172">
        <f t="shared" si="9"/>
        <v>45451</v>
      </c>
      <c r="D67" s="173">
        <f t="shared" si="0"/>
        <v>41144.99</v>
      </c>
      <c r="E67" s="172">
        <f t="shared" si="12"/>
        <v>4306.01</v>
      </c>
      <c r="F67" s="172">
        <f t="shared" si="11"/>
        <v>1122639.4700000002</v>
      </c>
      <c r="G67" s="172">
        <f t="shared" si="10"/>
        <v>1081494.4800000002</v>
      </c>
    </row>
    <row r="68" spans="1:7" x14ac:dyDescent="0.25">
      <c r="A68" s="36">
        <v>44214</v>
      </c>
      <c r="B68" s="168">
        <f t="shared" si="7"/>
        <v>7</v>
      </c>
      <c r="C68" s="172">
        <f t="shared" si="9"/>
        <v>45451</v>
      </c>
      <c r="D68" s="173">
        <f t="shared" si="0"/>
        <v>41302.800000000003</v>
      </c>
      <c r="E68" s="172">
        <f t="shared" si="12"/>
        <v>4148.2</v>
      </c>
      <c r="F68" s="172">
        <f t="shared" si="11"/>
        <v>1081494.4800000002</v>
      </c>
      <c r="G68" s="172">
        <f t="shared" si="10"/>
        <v>1040191.6800000002</v>
      </c>
    </row>
    <row r="69" spans="1:7" x14ac:dyDescent="0.25">
      <c r="A69" s="36">
        <v>44221</v>
      </c>
      <c r="B69" s="168">
        <f t="shared" si="7"/>
        <v>7</v>
      </c>
      <c r="C69" s="172">
        <f t="shared" si="9"/>
        <v>45451</v>
      </c>
      <c r="D69" s="173">
        <f t="shared" ref="D69:D92" si="13">C69-E69</f>
        <v>41461.22</v>
      </c>
      <c r="E69" s="172">
        <f t="shared" si="12"/>
        <v>3989.78</v>
      </c>
      <c r="F69" s="172">
        <f t="shared" si="11"/>
        <v>1040191.6800000002</v>
      </c>
      <c r="G69" s="172">
        <f t="shared" si="10"/>
        <v>998730.4600000002</v>
      </c>
    </row>
    <row r="70" spans="1:7" x14ac:dyDescent="0.25">
      <c r="A70" s="36">
        <v>44228</v>
      </c>
      <c r="B70" s="168">
        <f t="shared" si="7"/>
        <v>7</v>
      </c>
      <c r="C70" s="172">
        <f t="shared" si="9"/>
        <v>45451</v>
      </c>
      <c r="D70" s="173">
        <f t="shared" si="13"/>
        <v>41620.25</v>
      </c>
      <c r="E70" s="172">
        <f t="shared" si="12"/>
        <v>3830.75</v>
      </c>
      <c r="F70" s="172">
        <f t="shared" si="11"/>
        <v>998730.4600000002</v>
      </c>
      <c r="G70" s="172">
        <f t="shared" si="10"/>
        <v>957110.2100000002</v>
      </c>
    </row>
    <row r="71" spans="1:7" x14ac:dyDescent="0.25">
      <c r="A71" s="36">
        <v>44235</v>
      </c>
      <c r="B71" s="168">
        <f t="shared" si="7"/>
        <v>7</v>
      </c>
      <c r="C71" s="172">
        <f t="shared" si="9"/>
        <v>45451</v>
      </c>
      <c r="D71" s="173">
        <f t="shared" si="13"/>
        <v>41779.89</v>
      </c>
      <c r="E71" s="172">
        <f t="shared" si="12"/>
        <v>3671.11</v>
      </c>
      <c r="F71" s="172">
        <f t="shared" si="11"/>
        <v>957110.2100000002</v>
      </c>
      <c r="G71" s="172">
        <f t="shared" si="10"/>
        <v>915330.32000000018</v>
      </c>
    </row>
    <row r="72" spans="1:7" x14ac:dyDescent="0.25">
      <c r="A72" s="36">
        <v>44242</v>
      </c>
      <c r="B72" s="168">
        <f t="shared" si="7"/>
        <v>7</v>
      </c>
      <c r="C72" s="172">
        <f t="shared" si="9"/>
        <v>45451</v>
      </c>
      <c r="D72" s="173">
        <f t="shared" si="13"/>
        <v>41940.14</v>
      </c>
      <c r="E72" s="172">
        <f t="shared" si="12"/>
        <v>3510.86</v>
      </c>
      <c r="F72" s="172">
        <f t="shared" si="11"/>
        <v>915330.32000000018</v>
      </c>
      <c r="G72" s="172">
        <f t="shared" si="10"/>
        <v>873390.18000000017</v>
      </c>
    </row>
    <row r="73" spans="1:7" x14ac:dyDescent="0.25">
      <c r="A73" s="36">
        <v>44249</v>
      </c>
      <c r="B73" s="168">
        <f t="shared" si="7"/>
        <v>7</v>
      </c>
      <c r="C73" s="172">
        <f t="shared" si="9"/>
        <v>45451</v>
      </c>
      <c r="D73" s="173">
        <f t="shared" si="13"/>
        <v>42101.01</v>
      </c>
      <c r="E73" s="172">
        <f t="shared" si="12"/>
        <v>3349.99</v>
      </c>
      <c r="F73" s="172">
        <f t="shared" si="11"/>
        <v>873390.18000000017</v>
      </c>
      <c r="G73" s="172">
        <f t="shared" si="10"/>
        <v>831289.17000000016</v>
      </c>
    </row>
    <row r="74" spans="1:7" x14ac:dyDescent="0.25">
      <c r="A74" s="36">
        <v>44256</v>
      </c>
      <c r="B74" s="168">
        <f t="shared" si="7"/>
        <v>7</v>
      </c>
      <c r="C74" s="172">
        <f t="shared" si="9"/>
        <v>45451</v>
      </c>
      <c r="D74" s="173">
        <f t="shared" si="13"/>
        <v>42262.49</v>
      </c>
      <c r="E74" s="172">
        <f t="shared" si="12"/>
        <v>3188.51</v>
      </c>
      <c r="F74" s="172">
        <f t="shared" si="11"/>
        <v>831289.17000000016</v>
      </c>
      <c r="G74" s="172">
        <f t="shared" si="10"/>
        <v>789026.68000000017</v>
      </c>
    </row>
    <row r="75" spans="1:7" x14ac:dyDescent="0.25">
      <c r="A75" s="36">
        <v>44263</v>
      </c>
      <c r="B75" s="168">
        <f t="shared" si="7"/>
        <v>7</v>
      </c>
      <c r="C75" s="172">
        <f t="shared" si="9"/>
        <v>45451</v>
      </c>
      <c r="D75" s="173">
        <f t="shared" si="13"/>
        <v>42424.6</v>
      </c>
      <c r="E75" s="172">
        <f t="shared" si="12"/>
        <v>3026.4</v>
      </c>
      <c r="F75" s="172">
        <f t="shared" si="11"/>
        <v>789026.68000000017</v>
      </c>
      <c r="G75" s="172">
        <f t="shared" si="10"/>
        <v>746602.08000000019</v>
      </c>
    </row>
    <row r="76" spans="1:7" x14ac:dyDescent="0.25">
      <c r="A76" s="36">
        <v>44270</v>
      </c>
      <c r="B76" s="168">
        <f t="shared" si="7"/>
        <v>7</v>
      </c>
      <c r="C76" s="172">
        <f t="shared" si="9"/>
        <v>45451</v>
      </c>
      <c r="D76" s="173">
        <f t="shared" si="13"/>
        <v>42587.32</v>
      </c>
      <c r="E76" s="172">
        <f t="shared" si="12"/>
        <v>2863.68</v>
      </c>
      <c r="F76" s="172">
        <f t="shared" si="11"/>
        <v>746602.08000000019</v>
      </c>
      <c r="G76" s="172">
        <f t="shared" si="10"/>
        <v>704014.76000000024</v>
      </c>
    </row>
    <row r="77" spans="1:7" x14ac:dyDescent="0.25">
      <c r="A77" s="36">
        <v>44277</v>
      </c>
      <c r="B77" s="168">
        <f t="shared" si="7"/>
        <v>7</v>
      </c>
      <c r="C77" s="172">
        <f t="shared" si="9"/>
        <v>45451</v>
      </c>
      <c r="D77" s="173">
        <f t="shared" si="13"/>
        <v>42750.67</v>
      </c>
      <c r="E77" s="172">
        <f t="shared" si="12"/>
        <v>2700.33</v>
      </c>
      <c r="F77" s="172">
        <f t="shared" si="11"/>
        <v>704014.76000000024</v>
      </c>
      <c r="G77" s="172">
        <f t="shared" si="10"/>
        <v>661264.0900000002</v>
      </c>
    </row>
    <row r="78" spans="1:7" x14ac:dyDescent="0.25">
      <c r="A78" s="36">
        <v>44284</v>
      </c>
      <c r="B78" s="168">
        <f t="shared" si="7"/>
        <v>7</v>
      </c>
      <c r="C78" s="172">
        <f t="shared" si="9"/>
        <v>45451</v>
      </c>
      <c r="D78" s="173">
        <f t="shared" si="13"/>
        <v>42914.64</v>
      </c>
      <c r="E78" s="172">
        <f t="shared" si="12"/>
        <v>2536.36</v>
      </c>
      <c r="F78" s="172">
        <f t="shared" si="11"/>
        <v>661264.0900000002</v>
      </c>
      <c r="G78" s="172">
        <f t="shared" si="10"/>
        <v>618349.45000000019</v>
      </c>
    </row>
    <row r="79" spans="1:7" x14ac:dyDescent="0.25">
      <c r="A79" s="36">
        <v>44291</v>
      </c>
      <c r="B79" s="168">
        <f t="shared" si="7"/>
        <v>7</v>
      </c>
      <c r="C79" s="172">
        <f t="shared" si="9"/>
        <v>45451</v>
      </c>
      <c r="D79" s="173">
        <f t="shared" si="13"/>
        <v>43079.25</v>
      </c>
      <c r="E79" s="172">
        <f t="shared" si="12"/>
        <v>2371.75</v>
      </c>
      <c r="F79" s="172">
        <f t="shared" si="11"/>
        <v>618349.45000000019</v>
      </c>
      <c r="G79" s="172">
        <f t="shared" si="10"/>
        <v>575270.20000000019</v>
      </c>
    </row>
    <row r="80" spans="1:7" x14ac:dyDescent="0.25">
      <c r="A80" s="36">
        <v>44298</v>
      </c>
      <c r="B80" s="168">
        <f t="shared" si="7"/>
        <v>7</v>
      </c>
      <c r="C80" s="172">
        <f t="shared" si="9"/>
        <v>45451</v>
      </c>
      <c r="D80" s="173">
        <f t="shared" si="13"/>
        <v>43244.480000000003</v>
      </c>
      <c r="E80" s="172">
        <f t="shared" si="12"/>
        <v>2206.52</v>
      </c>
      <c r="F80" s="172">
        <f t="shared" si="11"/>
        <v>575270.20000000019</v>
      </c>
      <c r="G80" s="172">
        <f t="shared" si="10"/>
        <v>532025.7200000002</v>
      </c>
    </row>
    <row r="81" spans="1:7" x14ac:dyDescent="0.25">
      <c r="A81" s="36">
        <v>44305</v>
      </c>
      <c r="B81" s="168">
        <f t="shared" si="7"/>
        <v>7</v>
      </c>
      <c r="C81" s="172">
        <f t="shared" si="9"/>
        <v>45451</v>
      </c>
      <c r="D81" s="173">
        <f t="shared" si="13"/>
        <v>43410.35</v>
      </c>
      <c r="E81" s="172">
        <f t="shared" si="12"/>
        <v>2040.65</v>
      </c>
      <c r="F81" s="172">
        <f t="shared" si="11"/>
        <v>532025.7200000002</v>
      </c>
      <c r="G81" s="172">
        <f t="shared" si="10"/>
        <v>488615.37000000023</v>
      </c>
    </row>
    <row r="82" spans="1:7" x14ac:dyDescent="0.25">
      <c r="A82" s="36">
        <v>44312</v>
      </c>
      <c r="B82" s="168">
        <f t="shared" si="7"/>
        <v>7</v>
      </c>
      <c r="C82" s="172">
        <f t="shared" si="9"/>
        <v>45451</v>
      </c>
      <c r="D82" s="173">
        <f t="shared" si="13"/>
        <v>43576.86</v>
      </c>
      <c r="E82" s="172">
        <f t="shared" si="12"/>
        <v>1874.14</v>
      </c>
      <c r="F82" s="172">
        <f t="shared" si="11"/>
        <v>488615.37000000023</v>
      </c>
      <c r="G82" s="172">
        <f t="shared" si="10"/>
        <v>445038.51000000024</v>
      </c>
    </row>
    <row r="83" spans="1:7" x14ac:dyDescent="0.25">
      <c r="A83" s="36">
        <v>44319</v>
      </c>
      <c r="B83" s="168">
        <f t="shared" si="7"/>
        <v>7</v>
      </c>
      <c r="C83" s="172">
        <f t="shared" si="9"/>
        <v>45451</v>
      </c>
      <c r="D83" s="173">
        <f t="shared" si="13"/>
        <v>43744</v>
      </c>
      <c r="E83" s="172">
        <f t="shared" si="12"/>
        <v>1707</v>
      </c>
      <c r="F83" s="172">
        <f t="shared" si="11"/>
        <v>445038.51000000024</v>
      </c>
      <c r="G83" s="172">
        <f t="shared" si="10"/>
        <v>401294.51000000024</v>
      </c>
    </row>
    <row r="84" spans="1:7" x14ac:dyDescent="0.25">
      <c r="A84" s="36">
        <v>44326</v>
      </c>
      <c r="B84" s="168">
        <f t="shared" si="7"/>
        <v>7</v>
      </c>
      <c r="C84" s="172">
        <f t="shared" si="9"/>
        <v>45451</v>
      </c>
      <c r="D84" s="173">
        <f t="shared" si="13"/>
        <v>43911.79</v>
      </c>
      <c r="E84" s="172">
        <f t="shared" si="12"/>
        <v>1539.21</v>
      </c>
      <c r="F84" s="172">
        <f t="shared" si="11"/>
        <v>401294.51000000024</v>
      </c>
      <c r="G84" s="172">
        <f t="shared" si="10"/>
        <v>357382.72000000026</v>
      </c>
    </row>
    <row r="85" spans="1:7" x14ac:dyDescent="0.25">
      <c r="A85" s="36">
        <v>44333</v>
      </c>
      <c r="B85" s="168">
        <f t="shared" si="7"/>
        <v>7</v>
      </c>
      <c r="C85" s="172">
        <f t="shared" si="9"/>
        <v>45451</v>
      </c>
      <c r="D85" s="173">
        <f t="shared" si="13"/>
        <v>44080.22</v>
      </c>
      <c r="E85" s="172">
        <f t="shared" si="12"/>
        <v>1370.78</v>
      </c>
      <c r="F85" s="172">
        <f t="shared" si="11"/>
        <v>357382.72000000026</v>
      </c>
      <c r="G85" s="172">
        <f t="shared" si="10"/>
        <v>313302.50000000023</v>
      </c>
    </row>
    <row r="86" spans="1:7" x14ac:dyDescent="0.25">
      <c r="A86" s="36">
        <v>44340</v>
      </c>
      <c r="B86" s="168">
        <f t="shared" si="7"/>
        <v>7</v>
      </c>
      <c r="C86" s="172">
        <f t="shared" si="9"/>
        <v>45451</v>
      </c>
      <c r="D86" s="173">
        <f t="shared" si="13"/>
        <v>44249.29</v>
      </c>
      <c r="E86" s="172">
        <f t="shared" si="12"/>
        <v>1201.71</v>
      </c>
      <c r="F86" s="172">
        <f t="shared" si="11"/>
        <v>313302.50000000023</v>
      </c>
      <c r="G86" s="172">
        <f t="shared" si="10"/>
        <v>269053.21000000025</v>
      </c>
    </row>
    <row r="87" spans="1:7" x14ac:dyDescent="0.25">
      <c r="A87" s="36">
        <v>44347</v>
      </c>
      <c r="B87" s="168">
        <f t="shared" si="7"/>
        <v>7</v>
      </c>
      <c r="C87" s="172">
        <f t="shared" si="9"/>
        <v>45451</v>
      </c>
      <c r="D87" s="173">
        <f t="shared" si="13"/>
        <v>44419.02</v>
      </c>
      <c r="E87" s="172">
        <f t="shared" si="12"/>
        <v>1031.98</v>
      </c>
      <c r="F87" s="172">
        <f t="shared" si="11"/>
        <v>269053.21000000025</v>
      </c>
      <c r="G87" s="172">
        <f t="shared" si="10"/>
        <v>224634.19000000026</v>
      </c>
    </row>
    <row r="88" spans="1:7" x14ac:dyDescent="0.25">
      <c r="A88" s="36">
        <v>44354</v>
      </c>
      <c r="B88" s="168">
        <f t="shared" si="7"/>
        <v>7</v>
      </c>
      <c r="C88" s="172">
        <f t="shared" si="9"/>
        <v>45451</v>
      </c>
      <c r="D88" s="173">
        <f t="shared" si="13"/>
        <v>44589.39</v>
      </c>
      <c r="E88" s="172">
        <f t="shared" si="12"/>
        <v>861.61</v>
      </c>
      <c r="F88" s="172">
        <f t="shared" si="11"/>
        <v>224634.19000000026</v>
      </c>
      <c r="G88" s="172">
        <f t="shared" si="10"/>
        <v>180044.80000000028</v>
      </c>
    </row>
    <row r="89" spans="1:7" x14ac:dyDescent="0.25">
      <c r="A89" s="36">
        <v>44361</v>
      </c>
      <c r="B89" s="168">
        <f t="shared" si="7"/>
        <v>7</v>
      </c>
      <c r="C89" s="172">
        <f t="shared" si="9"/>
        <v>45451</v>
      </c>
      <c r="D89" s="173">
        <f t="shared" si="13"/>
        <v>44760.42</v>
      </c>
      <c r="E89" s="172">
        <f t="shared" si="12"/>
        <v>690.58</v>
      </c>
      <c r="F89" s="172">
        <f t="shared" si="11"/>
        <v>180044.80000000028</v>
      </c>
      <c r="G89" s="172">
        <f t="shared" si="10"/>
        <v>135284.3800000003</v>
      </c>
    </row>
    <row r="90" spans="1:7" x14ac:dyDescent="0.25">
      <c r="A90" s="36">
        <v>44368</v>
      </c>
      <c r="B90" s="168">
        <f t="shared" si="7"/>
        <v>7</v>
      </c>
      <c r="C90" s="172">
        <f t="shared" si="9"/>
        <v>45451</v>
      </c>
      <c r="D90" s="173">
        <f t="shared" si="13"/>
        <v>44932.1</v>
      </c>
      <c r="E90" s="172">
        <f t="shared" si="12"/>
        <v>518.9</v>
      </c>
      <c r="F90" s="172">
        <f t="shared" si="11"/>
        <v>135284.3800000003</v>
      </c>
      <c r="G90" s="172">
        <f t="shared" si="10"/>
        <v>90352.28000000029</v>
      </c>
    </row>
    <row r="91" spans="1:7" x14ac:dyDescent="0.25">
      <c r="A91" s="36">
        <v>44375</v>
      </c>
      <c r="B91" s="168">
        <f t="shared" si="7"/>
        <v>7</v>
      </c>
      <c r="C91" s="172">
        <f t="shared" si="9"/>
        <v>45451</v>
      </c>
      <c r="D91" s="173">
        <f t="shared" si="13"/>
        <v>45104.44</v>
      </c>
      <c r="E91" s="172">
        <f t="shared" si="12"/>
        <v>346.56</v>
      </c>
      <c r="F91" s="172">
        <f t="shared" si="11"/>
        <v>90352.28000000029</v>
      </c>
      <c r="G91" s="172">
        <f t="shared" si="10"/>
        <v>45247.840000000288</v>
      </c>
    </row>
    <row r="92" spans="1:7" x14ac:dyDescent="0.25">
      <c r="A92" s="36">
        <v>44382</v>
      </c>
      <c r="B92" s="168">
        <f t="shared" si="7"/>
        <v>7</v>
      </c>
      <c r="C92" s="172">
        <f t="shared" si="9"/>
        <v>45451</v>
      </c>
      <c r="D92" s="173">
        <f t="shared" si="13"/>
        <v>45247.840000000288</v>
      </c>
      <c r="E92" s="172">
        <v>203.15999999970956</v>
      </c>
      <c r="F92" s="172">
        <f t="shared" si="11"/>
        <v>45247.840000000288</v>
      </c>
      <c r="G92" s="172">
        <f t="shared" si="10"/>
        <v>0</v>
      </c>
    </row>
  </sheetData>
  <pageMargins left="0.7" right="0.7" top="0.75" bottom="0.75" header="0.3" footer="0.3"/>
  <pageSetup orientation="portrait" r:id="rId1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C6C46-3E6A-4AC9-B2C5-14743D864080}">
  <dimension ref="A1:H92"/>
  <sheetViews>
    <sheetView zoomScale="86" zoomScaleNormal="80" workbookViewId="0">
      <pane ySplit="3" topLeftCell="A46" activePane="bottomLeft" state="frozen"/>
      <selection activeCell="A94" sqref="A94:XFD94"/>
      <selection pane="bottomLeft" activeCell="A57" sqref="A57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ROUNDUP(45448.8061111111,0)</f>
        <v>45449</v>
      </c>
      <c r="G1" s="83" t="s">
        <v>52</v>
      </c>
      <c r="H1" s="81">
        <v>44130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0.2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68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8" x14ac:dyDescent="0.25">
      <c r="A6" s="36">
        <v>44060</v>
      </c>
      <c r="B6" s="46">
        <f t="shared" ref="B6:B52" si="1">DAYS360(A5,A6,TRUE)</f>
        <v>7</v>
      </c>
      <c r="C6" s="47">
        <f t="shared" ref="C6:C52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52" si="5">F6-D6</f>
        <v>1922213.3900000001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8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36">
        <v>44109</v>
      </c>
      <c r="B53" s="168">
        <f t="shared" ref="B53:G56" si="6">B13</f>
        <v>7</v>
      </c>
      <c r="C53" s="172">
        <f t="shared" si="6"/>
        <v>44670</v>
      </c>
      <c r="D53" s="173">
        <f t="shared" si="6"/>
        <v>39754.479999999996</v>
      </c>
      <c r="E53" s="172">
        <f t="shared" si="6"/>
        <v>4915.5200000000004</v>
      </c>
      <c r="F53" s="172">
        <f t="shared" si="6"/>
        <v>1685322.59</v>
      </c>
      <c r="G53" s="172">
        <f t="shared" si="6"/>
        <v>1645568.11</v>
      </c>
    </row>
    <row r="54" spans="1:7" x14ac:dyDescent="0.25">
      <c r="A54" s="36">
        <v>44116</v>
      </c>
      <c r="B54" s="168">
        <f t="shared" si="6"/>
        <v>7</v>
      </c>
      <c r="C54" s="172">
        <f t="shared" si="6"/>
        <v>44670</v>
      </c>
      <c r="D54" s="173">
        <f t="shared" si="6"/>
        <v>39870.43</v>
      </c>
      <c r="E54" s="172">
        <f t="shared" si="6"/>
        <v>4799.57</v>
      </c>
      <c r="F54" s="172">
        <f t="shared" si="6"/>
        <v>1645568.11</v>
      </c>
      <c r="G54" s="172">
        <f t="shared" si="6"/>
        <v>1605697.6800000002</v>
      </c>
    </row>
    <row r="55" spans="1:7" x14ac:dyDescent="0.25">
      <c r="A55" s="36">
        <v>44123</v>
      </c>
      <c r="B55" s="168">
        <f t="shared" si="6"/>
        <v>7</v>
      </c>
      <c r="C55" s="172">
        <f t="shared" si="6"/>
        <v>44670</v>
      </c>
      <c r="D55" s="173">
        <f t="shared" si="6"/>
        <v>39986.720000000001</v>
      </c>
      <c r="E55" s="172">
        <f t="shared" si="6"/>
        <v>4683.28</v>
      </c>
      <c r="F55" s="172">
        <f t="shared" si="6"/>
        <v>1605697.6800000002</v>
      </c>
      <c r="G55" s="172">
        <f t="shared" si="6"/>
        <v>1565710.9600000002</v>
      </c>
    </row>
    <row r="56" spans="1:7" x14ac:dyDescent="0.25">
      <c r="A56" s="36">
        <v>44130</v>
      </c>
      <c r="B56" s="168">
        <f t="shared" si="6"/>
        <v>7</v>
      </c>
      <c r="C56" s="172">
        <f t="shared" si="6"/>
        <v>44670</v>
      </c>
      <c r="D56" s="173">
        <f t="shared" si="6"/>
        <v>40103.339999999997</v>
      </c>
      <c r="E56" s="172">
        <f t="shared" si="6"/>
        <v>4566.66</v>
      </c>
      <c r="F56" s="172">
        <f t="shared" si="6"/>
        <v>1565710.9600000002</v>
      </c>
      <c r="G56" s="172">
        <f t="shared" si="6"/>
        <v>1525607.62</v>
      </c>
    </row>
    <row r="57" spans="1:7" x14ac:dyDescent="0.25">
      <c r="A57" s="179">
        <v>44137</v>
      </c>
      <c r="B57" s="169">
        <f>DAYS360(A56,A57,TRUE)</f>
        <v>6</v>
      </c>
      <c r="C57" s="170">
        <f t="shared" ref="C57:C92" si="7">$F$1</f>
        <v>45449</v>
      </c>
      <c r="D57" s="171">
        <f t="shared" si="0"/>
        <v>40363.64</v>
      </c>
      <c r="E57" s="170">
        <f>ROUND(F57*$H$2*B57/360,2)</f>
        <v>5085.3599999999997</v>
      </c>
      <c r="F57" s="170">
        <f>G16</f>
        <v>1525607.62</v>
      </c>
      <c r="G57" s="170">
        <f t="shared" ref="G57:G92" si="8">F57-D57</f>
        <v>1485243.9800000002</v>
      </c>
    </row>
    <row r="58" spans="1:7" x14ac:dyDescent="0.25">
      <c r="A58" s="36">
        <v>44144</v>
      </c>
      <c r="B58" s="168">
        <f>DAYS360(A57,A58,TRUE)</f>
        <v>7</v>
      </c>
      <c r="C58" s="172">
        <f t="shared" si="7"/>
        <v>45449</v>
      </c>
      <c r="D58" s="173">
        <f t="shared" si="0"/>
        <v>39673.050000000003</v>
      </c>
      <c r="E58" s="172">
        <f>ROUND(F58*$H$2*B58/360,2)</f>
        <v>5775.95</v>
      </c>
      <c r="F58" s="172">
        <f t="shared" ref="F58:F92" si="9">G57</f>
        <v>1485243.9800000002</v>
      </c>
      <c r="G58" s="172">
        <f t="shared" si="8"/>
        <v>1445570.9300000002</v>
      </c>
    </row>
    <row r="59" spans="1:7" x14ac:dyDescent="0.25">
      <c r="A59" s="36">
        <v>44151</v>
      </c>
      <c r="B59" s="168">
        <f t="shared" ref="B59:B92" si="10">DAYS360(A58,A59,TRUE)</f>
        <v>7</v>
      </c>
      <c r="C59" s="172">
        <f t="shared" si="7"/>
        <v>45449</v>
      </c>
      <c r="D59" s="173">
        <f t="shared" si="0"/>
        <v>39827.339999999997</v>
      </c>
      <c r="E59" s="172">
        <f t="shared" ref="E59:E91" si="11">ROUND(F59*$H$2*B59/360,2)</f>
        <v>5621.66</v>
      </c>
      <c r="F59" s="172">
        <f t="shared" si="9"/>
        <v>1445570.9300000002</v>
      </c>
      <c r="G59" s="172">
        <f t="shared" si="8"/>
        <v>1405743.59</v>
      </c>
    </row>
    <row r="60" spans="1:7" x14ac:dyDescent="0.25">
      <c r="A60" s="36">
        <v>44158</v>
      </c>
      <c r="B60" s="168">
        <f t="shared" si="10"/>
        <v>7</v>
      </c>
      <c r="C60" s="172">
        <f t="shared" si="7"/>
        <v>45449</v>
      </c>
      <c r="D60" s="173">
        <f t="shared" si="0"/>
        <v>39982.22</v>
      </c>
      <c r="E60" s="172">
        <f t="shared" si="11"/>
        <v>5466.78</v>
      </c>
      <c r="F60" s="172">
        <f t="shared" si="9"/>
        <v>1405743.59</v>
      </c>
      <c r="G60" s="172">
        <f t="shared" si="8"/>
        <v>1365761.37</v>
      </c>
    </row>
    <row r="61" spans="1:7" x14ac:dyDescent="0.25">
      <c r="A61" s="36">
        <v>44165</v>
      </c>
      <c r="B61" s="168">
        <f t="shared" si="10"/>
        <v>7</v>
      </c>
      <c r="C61" s="172">
        <f t="shared" si="7"/>
        <v>45449</v>
      </c>
      <c r="D61" s="173">
        <f t="shared" si="0"/>
        <v>40137.71</v>
      </c>
      <c r="E61" s="172">
        <f t="shared" si="11"/>
        <v>5311.29</v>
      </c>
      <c r="F61" s="172">
        <f t="shared" si="9"/>
        <v>1365761.37</v>
      </c>
      <c r="G61" s="172">
        <f t="shared" si="8"/>
        <v>1325623.6600000001</v>
      </c>
    </row>
    <row r="62" spans="1:7" x14ac:dyDescent="0.25">
      <c r="A62" s="36">
        <v>44172</v>
      </c>
      <c r="B62" s="168">
        <f t="shared" si="10"/>
        <v>7</v>
      </c>
      <c r="C62" s="172">
        <f t="shared" si="7"/>
        <v>45449</v>
      </c>
      <c r="D62" s="173">
        <f t="shared" si="0"/>
        <v>40293.800000000003</v>
      </c>
      <c r="E62" s="172">
        <f t="shared" si="11"/>
        <v>5155.2</v>
      </c>
      <c r="F62" s="172">
        <f t="shared" si="9"/>
        <v>1325623.6600000001</v>
      </c>
      <c r="G62" s="172">
        <f t="shared" si="8"/>
        <v>1285329.8600000001</v>
      </c>
    </row>
    <row r="63" spans="1:7" x14ac:dyDescent="0.25">
      <c r="A63" s="36">
        <v>44179</v>
      </c>
      <c r="B63" s="168">
        <f t="shared" si="10"/>
        <v>7</v>
      </c>
      <c r="C63" s="172">
        <f t="shared" si="7"/>
        <v>45449</v>
      </c>
      <c r="D63" s="173">
        <f t="shared" si="0"/>
        <v>40450.49</v>
      </c>
      <c r="E63" s="172">
        <f t="shared" si="11"/>
        <v>4998.51</v>
      </c>
      <c r="F63" s="172">
        <f t="shared" si="9"/>
        <v>1285329.8600000001</v>
      </c>
      <c r="G63" s="172">
        <f t="shared" si="8"/>
        <v>1244879.3700000001</v>
      </c>
    </row>
    <row r="64" spans="1:7" x14ac:dyDescent="0.25">
      <c r="A64" s="36">
        <v>44186</v>
      </c>
      <c r="B64" s="168">
        <f t="shared" si="10"/>
        <v>7</v>
      </c>
      <c r="C64" s="172">
        <f t="shared" si="7"/>
        <v>45449</v>
      </c>
      <c r="D64" s="173">
        <f t="shared" si="0"/>
        <v>40607.800000000003</v>
      </c>
      <c r="E64" s="172">
        <f t="shared" si="11"/>
        <v>4841.2</v>
      </c>
      <c r="F64" s="172">
        <f t="shared" si="9"/>
        <v>1244879.3700000001</v>
      </c>
      <c r="G64" s="172">
        <f t="shared" si="8"/>
        <v>1204271.57</v>
      </c>
    </row>
    <row r="65" spans="1:7" x14ac:dyDescent="0.25">
      <c r="A65" s="36">
        <v>44193</v>
      </c>
      <c r="B65" s="168">
        <f t="shared" si="10"/>
        <v>7</v>
      </c>
      <c r="C65" s="172">
        <f t="shared" si="7"/>
        <v>45449</v>
      </c>
      <c r="D65" s="173">
        <f t="shared" si="0"/>
        <v>40765.72</v>
      </c>
      <c r="E65" s="172">
        <f t="shared" si="11"/>
        <v>4683.28</v>
      </c>
      <c r="F65" s="172">
        <f t="shared" si="9"/>
        <v>1204271.57</v>
      </c>
      <c r="G65" s="172">
        <f t="shared" si="8"/>
        <v>1163505.8500000001</v>
      </c>
    </row>
    <row r="66" spans="1:7" x14ac:dyDescent="0.25">
      <c r="A66" s="36">
        <v>44200</v>
      </c>
      <c r="B66" s="168">
        <f t="shared" si="10"/>
        <v>6</v>
      </c>
      <c r="C66" s="172">
        <f t="shared" si="7"/>
        <v>45449</v>
      </c>
      <c r="D66" s="173">
        <f t="shared" si="0"/>
        <v>41570.65</v>
      </c>
      <c r="E66" s="172">
        <f t="shared" si="11"/>
        <v>3878.35</v>
      </c>
      <c r="F66" s="172">
        <f t="shared" si="9"/>
        <v>1163505.8500000001</v>
      </c>
      <c r="G66" s="172">
        <f t="shared" si="8"/>
        <v>1121935.2000000002</v>
      </c>
    </row>
    <row r="67" spans="1:7" x14ac:dyDescent="0.25">
      <c r="A67" s="36">
        <v>44207</v>
      </c>
      <c r="B67" s="168">
        <f t="shared" si="10"/>
        <v>7</v>
      </c>
      <c r="C67" s="172">
        <f t="shared" si="7"/>
        <v>45449</v>
      </c>
      <c r="D67" s="173">
        <f t="shared" si="0"/>
        <v>41085.919999999998</v>
      </c>
      <c r="E67" s="172">
        <f t="shared" si="11"/>
        <v>4363.08</v>
      </c>
      <c r="F67" s="172">
        <f t="shared" si="9"/>
        <v>1121935.2000000002</v>
      </c>
      <c r="G67" s="172">
        <f t="shared" si="8"/>
        <v>1080849.2800000003</v>
      </c>
    </row>
    <row r="68" spans="1:7" x14ac:dyDescent="0.25">
      <c r="A68" s="36">
        <v>44214</v>
      </c>
      <c r="B68" s="168">
        <f t="shared" si="10"/>
        <v>7</v>
      </c>
      <c r="C68" s="172">
        <f t="shared" si="7"/>
        <v>45449</v>
      </c>
      <c r="D68" s="173">
        <f t="shared" si="0"/>
        <v>41245.699999999997</v>
      </c>
      <c r="E68" s="172">
        <f t="shared" si="11"/>
        <v>4203.3</v>
      </c>
      <c r="F68" s="172">
        <f t="shared" si="9"/>
        <v>1080849.2800000003</v>
      </c>
      <c r="G68" s="172">
        <f t="shared" si="8"/>
        <v>1039603.5800000003</v>
      </c>
    </row>
    <row r="69" spans="1:7" x14ac:dyDescent="0.25">
      <c r="A69" s="36">
        <v>44221</v>
      </c>
      <c r="B69" s="168">
        <f t="shared" si="10"/>
        <v>7</v>
      </c>
      <c r="C69" s="172">
        <f t="shared" si="7"/>
        <v>45449</v>
      </c>
      <c r="D69" s="173">
        <f t="shared" ref="D69:D92" si="12">C69-E69</f>
        <v>41406.1</v>
      </c>
      <c r="E69" s="172">
        <f t="shared" si="11"/>
        <v>4042.9</v>
      </c>
      <c r="F69" s="172">
        <f t="shared" si="9"/>
        <v>1039603.5800000003</v>
      </c>
      <c r="G69" s="172">
        <f t="shared" si="8"/>
        <v>998197.48000000033</v>
      </c>
    </row>
    <row r="70" spans="1:7" x14ac:dyDescent="0.25">
      <c r="A70" s="36">
        <v>44228</v>
      </c>
      <c r="B70" s="168">
        <f t="shared" si="10"/>
        <v>6</v>
      </c>
      <c r="C70" s="172">
        <f t="shared" si="7"/>
        <v>45449</v>
      </c>
      <c r="D70" s="173">
        <f t="shared" si="12"/>
        <v>42121.68</v>
      </c>
      <c r="E70" s="172">
        <f t="shared" si="11"/>
        <v>3327.32</v>
      </c>
      <c r="F70" s="172">
        <f t="shared" si="9"/>
        <v>998197.48000000033</v>
      </c>
      <c r="G70" s="172">
        <f t="shared" si="8"/>
        <v>956075.80000000028</v>
      </c>
    </row>
    <row r="71" spans="1:7" x14ac:dyDescent="0.25">
      <c r="A71" s="36">
        <v>44235</v>
      </c>
      <c r="B71" s="168">
        <f t="shared" si="10"/>
        <v>7</v>
      </c>
      <c r="C71" s="172">
        <f t="shared" si="7"/>
        <v>45449</v>
      </c>
      <c r="D71" s="173">
        <f t="shared" si="12"/>
        <v>41730.93</v>
      </c>
      <c r="E71" s="172">
        <f t="shared" si="11"/>
        <v>3718.07</v>
      </c>
      <c r="F71" s="172">
        <f t="shared" si="9"/>
        <v>956075.80000000028</v>
      </c>
      <c r="G71" s="172">
        <f t="shared" si="8"/>
        <v>914344.87000000023</v>
      </c>
    </row>
    <row r="72" spans="1:7" x14ac:dyDescent="0.25">
      <c r="A72" s="36">
        <v>44242</v>
      </c>
      <c r="B72" s="168">
        <f t="shared" si="10"/>
        <v>7</v>
      </c>
      <c r="C72" s="172">
        <f t="shared" si="7"/>
        <v>45449</v>
      </c>
      <c r="D72" s="173">
        <f t="shared" si="12"/>
        <v>41893.21</v>
      </c>
      <c r="E72" s="172">
        <f t="shared" si="11"/>
        <v>3555.79</v>
      </c>
      <c r="F72" s="172">
        <f t="shared" si="9"/>
        <v>914344.87000000023</v>
      </c>
      <c r="G72" s="172">
        <f t="shared" si="8"/>
        <v>872451.66000000027</v>
      </c>
    </row>
    <row r="73" spans="1:7" x14ac:dyDescent="0.25">
      <c r="A73" s="36">
        <v>44249</v>
      </c>
      <c r="B73" s="168">
        <f t="shared" si="10"/>
        <v>7</v>
      </c>
      <c r="C73" s="172">
        <f t="shared" si="7"/>
        <v>45449</v>
      </c>
      <c r="D73" s="173">
        <f t="shared" si="12"/>
        <v>42056.13</v>
      </c>
      <c r="E73" s="172">
        <f t="shared" si="11"/>
        <v>3392.87</v>
      </c>
      <c r="F73" s="172">
        <f t="shared" si="9"/>
        <v>872451.66000000027</v>
      </c>
      <c r="G73" s="172">
        <f t="shared" si="8"/>
        <v>830395.53000000026</v>
      </c>
    </row>
    <row r="74" spans="1:7" x14ac:dyDescent="0.25">
      <c r="A74" s="36">
        <v>44256</v>
      </c>
      <c r="B74" s="168">
        <f t="shared" si="10"/>
        <v>9</v>
      </c>
      <c r="C74" s="172">
        <f t="shared" si="7"/>
        <v>45449</v>
      </c>
      <c r="D74" s="173">
        <f t="shared" si="12"/>
        <v>41297.020000000004</v>
      </c>
      <c r="E74" s="172">
        <f t="shared" si="11"/>
        <v>4151.9799999999996</v>
      </c>
      <c r="F74" s="172">
        <f t="shared" si="9"/>
        <v>830395.53000000026</v>
      </c>
      <c r="G74" s="172">
        <f t="shared" si="8"/>
        <v>789098.51000000024</v>
      </c>
    </row>
    <row r="75" spans="1:7" x14ac:dyDescent="0.25">
      <c r="A75" s="36">
        <v>44263</v>
      </c>
      <c r="B75" s="168">
        <f t="shared" si="10"/>
        <v>7</v>
      </c>
      <c r="C75" s="172">
        <f t="shared" si="7"/>
        <v>45449</v>
      </c>
      <c r="D75" s="173">
        <f t="shared" si="12"/>
        <v>42380.28</v>
      </c>
      <c r="E75" s="172">
        <f t="shared" si="11"/>
        <v>3068.72</v>
      </c>
      <c r="F75" s="172">
        <f t="shared" si="9"/>
        <v>789098.51000000024</v>
      </c>
      <c r="G75" s="172">
        <f t="shared" si="8"/>
        <v>746718.23000000021</v>
      </c>
    </row>
    <row r="76" spans="1:7" x14ac:dyDescent="0.25">
      <c r="A76" s="36">
        <v>44270</v>
      </c>
      <c r="B76" s="168">
        <f t="shared" si="10"/>
        <v>7</v>
      </c>
      <c r="C76" s="172">
        <f t="shared" si="7"/>
        <v>45449</v>
      </c>
      <c r="D76" s="173">
        <f t="shared" si="12"/>
        <v>42545.1</v>
      </c>
      <c r="E76" s="172">
        <f t="shared" si="11"/>
        <v>2903.9</v>
      </c>
      <c r="F76" s="172">
        <f t="shared" si="9"/>
        <v>746718.23000000021</v>
      </c>
      <c r="G76" s="172">
        <f t="shared" si="8"/>
        <v>704173.13000000024</v>
      </c>
    </row>
    <row r="77" spans="1:7" x14ac:dyDescent="0.25">
      <c r="A77" s="36">
        <v>44277</v>
      </c>
      <c r="B77" s="168">
        <f t="shared" si="10"/>
        <v>7</v>
      </c>
      <c r="C77" s="172">
        <f t="shared" si="7"/>
        <v>45449</v>
      </c>
      <c r="D77" s="173">
        <f t="shared" si="12"/>
        <v>42710.55</v>
      </c>
      <c r="E77" s="172">
        <f t="shared" si="11"/>
        <v>2738.45</v>
      </c>
      <c r="F77" s="172">
        <f t="shared" si="9"/>
        <v>704173.13000000024</v>
      </c>
      <c r="G77" s="172">
        <f t="shared" si="8"/>
        <v>661462.58000000019</v>
      </c>
    </row>
    <row r="78" spans="1:7" x14ac:dyDescent="0.25">
      <c r="A78" s="36">
        <v>44284</v>
      </c>
      <c r="B78" s="168">
        <f t="shared" si="10"/>
        <v>7</v>
      </c>
      <c r="C78" s="172">
        <f t="shared" si="7"/>
        <v>45449</v>
      </c>
      <c r="D78" s="173">
        <f t="shared" si="12"/>
        <v>42876.65</v>
      </c>
      <c r="E78" s="172">
        <f t="shared" si="11"/>
        <v>2572.35</v>
      </c>
      <c r="F78" s="172">
        <f t="shared" si="9"/>
        <v>661462.58000000019</v>
      </c>
      <c r="G78" s="172">
        <f t="shared" si="8"/>
        <v>618585.93000000017</v>
      </c>
    </row>
    <row r="79" spans="1:7" x14ac:dyDescent="0.25">
      <c r="A79" s="36">
        <v>44291</v>
      </c>
      <c r="B79" s="168">
        <f t="shared" si="10"/>
        <v>6</v>
      </c>
      <c r="C79" s="172">
        <f t="shared" si="7"/>
        <v>45449</v>
      </c>
      <c r="D79" s="173">
        <f t="shared" si="12"/>
        <v>43387.05</v>
      </c>
      <c r="E79" s="172">
        <f t="shared" si="11"/>
        <v>2061.9499999999998</v>
      </c>
      <c r="F79" s="172">
        <f t="shared" si="9"/>
        <v>618585.93000000017</v>
      </c>
      <c r="G79" s="172">
        <f t="shared" si="8"/>
        <v>575198.88000000012</v>
      </c>
    </row>
    <row r="80" spans="1:7" x14ac:dyDescent="0.25">
      <c r="A80" s="36">
        <v>44298</v>
      </c>
      <c r="B80" s="168">
        <f t="shared" si="10"/>
        <v>7</v>
      </c>
      <c r="C80" s="172">
        <f t="shared" si="7"/>
        <v>45449</v>
      </c>
      <c r="D80" s="173">
        <f t="shared" si="12"/>
        <v>43212.12</v>
      </c>
      <c r="E80" s="172">
        <f t="shared" si="11"/>
        <v>2236.88</v>
      </c>
      <c r="F80" s="172">
        <f t="shared" si="9"/>
        <v>575198.88000000012</v>
      </c>
      <c r="G80" s="172">
        <f t="shared" si="8"/>
        <v>531986.76000000013</v>
      </c>
    </row>
    <row r="81" spans="1:7" x14ac:dyDescent="0.25">
      <c r="A81" s="36">
        <v>44305</v>
      </c>
      <c r="B81" s="168">
        <f t="shared" si="10"/>
        <v>7</v>
      </c>
      <c r="C81" s="172">
        <f t="shared" si="7"/>
        <v>45449</v>
      </c>
      <c r="D81" s="173">
        <f t="shared" si="12"/>
        <v>43380.160000000003</v>
      </c>
      <c r="E81" s="172">
        <f t="shared" si="11"/>
        <v>2068.84</v>
      </c>
      <c r="F81" s="172">
        <f t="shared" si="9"/>
        <v>531986.76000000013</v>
      </c>
      <c r="G81" s="172">
        <f t="shared" si="8"/>
        <v>488606.60000000009</v>
      </c>
    </row>
    <row r="82" spans="1:7" x14ac:dyDescent="0.25">
      <c r="A82" s="36">
        <v>44312</v>
      </c>
      <c r="B82" s="168">
        <f t="shared" si="10"/>
        <v>7</v>
      </c>
      <c r="C82" s="172">
        <f t="shared" si="7"/>
        <v>45449</v>
      </c>
      <c r="D82" s="173">
        <f t="shared" si="12"/>
        <v>43548.86</v>
      </c>
      <c r="E82" s="172">
        <f t="shared" si="11"/>
        <v>1900.14</v>
      </c>
      <c r="F82" s="172">
        <f t="shared" si="9"/>
        <v>488606.60000000009</v>
      </c>
      <c r="G82" s="172">
        <f t="shared" si="8"/>
        <v>445057.74000000011</v>
      </c>
    </row>
    <row r="83" spans="1:7" x14ac:dyDescent="0.25">
      <c r="A83" s="36">
        <v>44319</v>
      </c>
      <c r="B83" s="168">
        <f t="shared" si="10"/>
        <v>7</v>
      </c>
      <c r="C83" s="172">
        <f t="shared" si="7"/>
        <v>45449</v>
      </c>
      <c r="D83" s="173">
        <f t="shared" si="12"/>
        <v>43718.22</v>
      </c>
      <c r="E83" s="172">
        <f t="shared" si="11"/>
        <v>1730.78</v>
      </c>
      <c r="F83" s="172">
        <f t="shared" si="9"/>
        <v>445057.74000000011</v>
      </c>
      <c r="G83" s="172">
        <f t="shared" si="8"/>
        <v>401339.52000000014</v>
      </c>
    </row>
    <row r="84" spans="1:7" x14ac:dyDescent="0.25">
      <c r="A84" s="36">
        <v>44326</v>
      </c>
      <c r="B84" s="168">
        <f t="shared" si="10"/>
        <v>7</v>
      </c>
      <c r="C84" s="172">
        <f t="shared" si="7"/>
        <v>45449</v>
      </c>
      <c r="D84" s="173">
        <f t="shared" si="12"/>
        <v>43888.24</v>
      </c>
      <c r="E84" s="172">
        <f t="shared" si="11"/>
        <v>1560.76</v>
      </c>
      <c r="F84" s="172">
        <f t="shared" si="9"/>
        <v>401339.52000000014</v>
      </c>
      <c r="G84" s="172">
        <f t="shared" si="8"/>
        <v>357451.28000000014</v>
      </c>
    </row>
    <row r="85" spans="1:7" x14ac:dyDescent="0.25">
      <c r="A85" s="36">
        <v>44333</v>
      </c>
      <c r="B85" s="168">
        <f t="shared" si="10"/>
        <v>7</v>
      </c>
      <c r="C85" s="172">
        <f t="shared" si="7"/>
        <v>45449</v>
      </c>
      <c r="D85" s="173">
        <f t="shared" si="12"/>
        <v>44058.91</v>
      </c>
      <c r="E85" s="172">
        <f t="shared" si="11"/>
        <v>1390.09</v>
      </c>
      <c r="F85" s="172">
        <f t="shared" si="9"/>
        <v>357451.28000000014</v>
      </c>
      <c r="G85" s="172">
        <f t="shared" si="8"/>
        <v>313392.37000000011</v>
      </c>
    </row>
    <row r="86" spans="1:7" x14ac:dyDescent="0.25">
      <c r="A86" s="36">
        <v>44340</v>
      </c>
      <c r="B86" s="168">
        <f t="shared" si="10"/>
        <v>7</v>
      </c>
      <c r="C86" s="172">
        <f t="shared" si="7"/>
        <v>45449</v>
      </c>
      <c r="D86" s="173">
        <f t="shared" si="12"/>
        <v>44230.25</v>
      </c>
      <c r="E86" s="172">
        <f t="shared" si="11"/>
        <v>1218.75</v>
      </c>
      <c r="F86" s="172">
        <f t="shared" si="9"/>
        <v>313392.37000000011</v>
      </c>
      <c r="G86" s="172">
        <f t="shared" si="8"/>
        <v>269162.12000000011</v>
      </c>
    </row>
    <row r="87" spans="1:7" x14ac:dyDescent="0.25">
      <c r="A87" s="36">
        <v>44347</v>
      </c>
      <c r="B87" s="168">
        <f t="shared" si="10"/>
        <v>6</v>
      </c>
      <c r="C87" s="172">
        <f t="shared" si="7"/>
        <v>45449</v>
      </c>
      <c r="D87" s="173">
        <f t="shared" si="12"/>
        <v>44551.79</v>
      </c>
      <c r="E87" s="172">
        <f t="shared" si="11"/>
        <v>897.21</v>
      </c>
      <c r="F87" s="172">
        <f t="shared" si="9"/>
        <v>269162.12000000011</v>
      </c>
      <c r="G87" s="172">
        <f t="shared" si="8"/>
        <v>224610.3300000001</v>
      </c>
    </row>
    <row r="88" spans="1:7" x14ac:dyDescent="0.25">
      <c r="A88" s="36">
        <v>44354</v>
      </c>
      <c r="B88" s="168">
        <f t="shared" si="10"/>
        <v>7</v>
      </c>
      <c r="C88" s="172">
        <f t="shared" si="7"/>
        <v>45449</v>
      </c>
      <c r="D88" s="173">
        <f t="shared" si="12"/>
        <v>44575.519999999997</v>
      </c>
      <c r="E88" s="172">
        <f t="shared" si="11"/>
        <v>873.48</v>
      </c>
      <c r="F88" s="172">
        <f t="shared" si="9"/>
        <v>224610.3300000001</v>
      </c>
      <c r="G88" s="172">
        <f t="shared" si="8"/>
        <v>180034.81000000011</v>
      </c>
    </row>
    <row r="89" spans="1:7" x14ac:dyDescent="0.25">
      <c r="A89" s="36">
        <v>44361</v>
      </c>
      <c r="B89" s="168">
        <f t="shared" si="10"/>
        <v>7</v>
      </c>
      <c r="C89" s="172">
        <f t="shared" si="7"/>
        <v>45449</v>
      </c>
      <c r="D89" s="173">
        <f t="shared" si="12"/>
        <v>44748.86</v>
      </c>
      <c r="E89" s="172">
        <f t="shared" si="11"/>
        <v>700.14</v>
      </c>
      <c r="F89" s="172">
        <f t="shared" si="9"/>
        <v>180034.81000000011</v>
      </c>
      <c r="G89" s="172">
        <f t="shared" si="8"/>
        <v>135285.95000000013</v>
      </c>
    </row>
    <row r="90" spans="1:7" x14ac:dyDescent="0.25">
      <c r="A90" s="36">
        <v>44368</v>
      </c>
      <c r="B90" s="168">
        <f t="shared" si="10"/>
        <v>7</v>
      </c>
      <c r="C90" s="172">
        <f t="shared" si="7"/>
        <v>45449</v>
      </c>
      <c r="D90" s="173">
        <f t="shared" si="12"/>
        <v>44922.89</v>
      </c>
      <c r="E90" s="172">
        <f t="shared" si="11"/>
        <v>526.11</v>
      </c>
      <c r="F90" s="172">
        <f t="shared" si="9"/>
        <v>135285.95000000013</v>
      </c>
      <c r="G90" s="172">
        <f t="shared" si="8"/>
        <v>90363.060000000129</v>
      </c>
    </row>
    <row r="91" spans="1:7" x14ac:dyDescent="0.25">
      <c r="A91" s="36">
        <v>44375</v>
      </c>
      <c r="B91" s="168">
        <f t="shared" si="10"/>
        <v>7</v>
      </c>
      <c r="C91" s="172">
        <f t="shared" si="7"/>
        <v>45449</v>
      </c>
      <c r="D91" s="173">
        <f t="shared" si="12"/>
        <v>45097.59</v>
      </c>
      <c r="E91" s="172">
        <f t="shared" si="11"/>
        <v>351.41</v>
      </c>
      <c r="F91" s="172">
        <f t="shared" si="9"/>
        <v>90363.060000000129</v>
      </c>
      <c r="G91" s="172">
        <f t="shared" si="8"/>
        <v>45265.470000000132</v>
      </c>
    </row>
    <row r="92" spans="1:7" x14ac:dyDescent="0.25">
      <c r="A92" s="36">
        <v>44382</v>
      </c>
      <c r="B92" s="168">
        <f t="shared" si="10"/>
        <v>7</v>
      </c>
      <c r="C92" s="172">
        <f t="shared" si="7"/>
        <v>45449</v>
      </c>
      <c r="D92" s="173">
        <f t="shared" si="12"/>
        <v>45265.470000000132</v>
      </c>
      <c r="E92" s="172">
        <v>183.52999999986903</v>
      </c>
      <c r="F92" s="172">
        <f t="shared" si="9"/>
        <v>45265.470000000132</v>
      </c>
      <c r="G92" s="172">
        <f t="shared" si="8"/>
        <v>0</v>
      </c>
    </row>
  </sheetData>
  <pageMargins left="0.7" right="0.7" top="0.75" bottom="0.75" header="0.3" footer="0.3"/>
  <pageSetup orientation="portrait" r:id="rId1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770017-94D5-4963-AC66-2DE04EAE0F71}">
  <dimension ref="A1:J71"/>
  <sheetViews>
    <sheetView zoomScale="86" zoomScaleNormal="80" workbookViewId="0">
      <pane ySplit="3" topLeftCell="A39" activePane="bottomLeft" state="frozen"/>
      <selection activeCell="A94" sqref="A94:XFD94"/>
      <selection pane="bottomLeft" activeCell="A73" sqref="A73:XFD73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4.5703125" bestFit="1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ROUNDUP(45047.151378516,0)</f>
        <v>45048</v>
      </c>
      <c r="G1" s="83" t="s">
        <v>52</v>
      </c>
      <c r="H1" s="81">
        <v>44260</v>
      </c>
      <c r="I1" t="s">
        <v>382</v>
      </c>
      <c r="J1">
        <f>_xlfn.DAYS(A54,H1)</f>
        <v>3</v>
      </c>
    </row>
    <row r="2" spans="1:10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0.2</v>
      </c>
      <c r="I2" t="s">
        <v>383</v>
      </c>
      <c r="J2">
        <f>_xlfn.DAYS(H1,A53)</f>
        <v>4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10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68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10" x14ac:dyDescent="0.25">
      <c r="A6" s="36">
        <v>44060</v>
      </c>
      <c r="B6" s="46">
        <f t="shared" ref="B6:B46" si="1">A6-A5</f>
        <v>7</v>
      </c>
      <c r="C6" s="47">
        <f t="shared" ref="C6:C53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69" si="4">F6-D6</f>
        <v>1922054.89</v>
      </c>
    </row>
    <row r="7" spans="1:10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10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10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10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10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10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10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10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10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10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71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70">
        <v>44256</v>
      </c>
      <c r="B53" s="84">
        <f>A34-A33</f>
        <v>7</v>
      </c>
      <c r="C53" s="47">
        <f t="shared" si="2"/>
        <v>44670</v>
      </c>
      <c r="D53" s="91">
        <f t="shared" si="0"/>
        <v>42297.38</v>
      </c>
      <c r="E53" s="90">
        <f>ROUND(F53*$B$2*B53/365,2)</f>
        <v>2372.62</v>
      </c>
      <c r="F53" s="90">
        <f>G33</f>
        <v>824767.7699999999</v>
      </c>
      <c r="G53" s="90">
        <f t="shared" si="4"/>
        <v>782470.3899999999</v>
      </c>
    </row>
    <row r="54" spans="1:7" x14ac:dyDescent="0.25">
      <c r="A54" s="36">
        <v>44263</v>
      </c>
      <c r="B54" s="168">
        <f t="shared" si="7"/>
        <v>7</v>
      </c>
      <c r="C54" s="172">
        <f t="shared" ref="C54:C71" si="8">$F$1</f>
        <v>45048</v>
      </c>
      <c r="D54" s="173">
        <f t="shared" si="0"/>
        <v>42475.494608219182</v>
      </c>
      <c r="E54" s="172">
        <f>(F54*B2*J2/365)+(F54*H2*J1/365)</f>
        <v>2572.5053917808214</v>
      </c>
      <c r="F54" s="172">
        <f t="shared" ref="F54:F71" si="9">G53</f>
        <v>782470.3899999999</v>
      </c>
      <c r="G54" s="172">
        <f t="shared" si="4"/>
        <v>739994.89539178077</v>
      </c>
    </row>
    <row r="55" spans="1:7" x14ac:dyDescent="0.25">
      <c r="A55" s="36">
        <v>44270</v>
      </c>
      <c r="B55" s="168">
        <f t="shared" si="7"/>
        <v>7</v>
      </c>
      <c r="C55" s="172">
        <f t="shared" si="8"/>
        <v>45048</v>
      </c>
      <c r="D55" s="173">
        <f t="shared" si="0"/>
        <v>42209.66</v>
      </c>
      <c r="E55" s="172">
        <f t="shared" ref="E55:E70" si="10">ROUND(F55*$H$2*B55/365,2)</f>
        <v>2838.34</v>
      </c>
      <c r="F55" s="172">
        <f t="shared" si="9"/>
        <v>739994.89539178077</v>
      </c>
      <c r="G55" s="172">
        <f t="shared" si="4"/>
        <v>697785.23539178073</v>
      </c>
    </row>
    <row r="56" spans="1:7" x14ac:dyDescent="0.25">
      <c r="A56" s="36">
        <v>44277</v>
      </c>
      <c r="B56" s="168">
        <f t="shared" si="7"/>
        <v>7</v>
      </c>
      <c r="C56" s="172">
        <f t="shared" si="8"/>
        <v>45048</v>
      </c>
      <c r="D56" s="173">
        <f t="shared" si="0"/>
        <v>42371.56</v>
      </c>
      <c r="E56" s="172">
        <f t="shared" si="10"/>
        <v>2676.44</v>
      </c>
      <c r="F56" s="172">
        <f t="shared" si="9"/>
        <v>697785.23539178073</v>
      </c>
      <c r="G56" s="172">
        <f t="shared" si="4"/>
        <v>655413.67539178068</v>
      </c>
    </row>
    <row r="57" spans="1:7" x14ac:dyDescent="0.25">
      <c r="A57" s="36">
        <v>44284</v>
      </c>
      <c r="B57" s="168">
        <f t="shared" si="7"/>
        <v>7</v>
      </c>
      <c r="C57" s="172">
        <f t="shared" si="8"/>
        <v>45048</v>
      </c>
      <c r="D57" s="173">
        <f t="shared" si="0"/>
        <v>42534.080000000002</v>
      </c>
      <c r="E57" s="172">
        <f t="shared" si="10"/>
        <v>2513.92</v>
      </c>
      <c r="F57" s="172">
        <f t="shared" si="9"/>
        <v>655413.67539178068</v>
      </c>
      <c r="G57" s="172">
        <f t="shared" si="4"/>
        <v>612879.59539178072</v>
      </c>
    </row>
    <row r="58" spans="1:7" x14ac:dyDescent="0.25">
      <c r="A58" s="36">
        <v>44291</v>
      </c>
      <c r="B58" s="168">
        <f t="shared" si="7"/>
        <v>7</v>
      </c>
      <c r="C58" s="172">
        <f t="shared" si="8"/>
        <v>45048</v>
      </c>
      <c r="D58" s="173">
        <f t="shared" si="0"/>
        <v>42697.23</v>
      </c>
      <c r="E58" s="172">
        <f t="shared" si="10"/>
        <v>2350.77</v>
      </c>
      <c r="F58" s="172">
        <f t="shared" si="9"/>
        <v>612879.59539178072</v>
      </c>
      <c r="G58" s="172">
        <f t="shared" si="4"/>
        <v>570182.36539178074</v>
      </c>
    </row>
    <row r="59" spans="1:7" x14ac:dyDescent="0.25">
      <c r="A59" s="36">
        <v>44298</v>
      </c>
      <c r="B59" s="168">
        <f t="shared" si="7"/>
        <v>7</v>
      </c>
      <c r="C59" s="172">
        <f t="shared" si="8"/>
        <v>45048</v>
      </c>
      <c r="D59" s="173">
        <f t="shared" si="0"/>
        <v>42861</v>
      </c>
      <c r="E59" s="172">
        <f t="shared" si="10"/>
        <v>2187</v>
      </c>
      <c r="F59" s="172">
        <f t="shared" si="9"/>
        <v>570182.36539178074</v>
      </c>
      <c r="G59" s="172">
        <f t="shared" si="4"/>
        <v>527321.36539178074</v>
      </c>
    </row>
    <row r="60" spans="1:7" x14ac:dyDescent="0.25">
      <c r="A60" s="36">
        <v>44305</v>
      </c>
      <c r="B60" s="168">
        <f t="shared" si="7"/>
        <v>7</v>
      </c>
      <c r="C60" s="172">
        <f t="shared" si="8"/>
        <v>45048</v>
      </c>
      <c r="D60" s="173">
        <f t="shared" si="0"/>
        <v>43025.4</v>
      </c>
      <c r="E60" s="172">
        <f t="shared" si="10"/>
        <v>2022.6</v>
      </c>
      <c r="F60" s="172">
        <f t="shared" si="9"/>
        <v>527321.36539178074</v>
      </c>
      <c r="G60" s="172">
        <f t="shared" si="4"/>
        <v>484295.96539178072</v>
      </c>
    </row>
    <row r="61" spans="1:7" x14ac:dyDescent="0.25">
      <c r="A61" s="36">
        <v>44312</v>
      </c>
      <c r="B61" s="168">
        <f t="shared" si="7"/>
        <v>7</v>
      </c>
      <c r="C61" s="172">
        <f t="shared" si="8"/>
        <v>45048</v>
      </c>
      <c r="D61" s="173">
        <f t="shared" si="0"/>
        <v>43190.43</v>
      </c>
      <c r="E61" s="172">
        <f t="shared" si="10"/>
        <v>1857.57</v>
      </c>
      <c r="F61" s="172">
        <f t="shared" si="9"/>
        <v>484295.96539178072</v>
      </c>
      <c r="G61" s="172">
        <f t="shared" si="4"/>
        <v>441105.53539178072</v>
      </c>
    </row>
    <row r="62" spans="1:7" x14ac:dyDescent="0.25">
      <c r="A62" s="36">
        <v>44319</v>
      </c>
      <c r="B62" s="168">
        <f t="shared" si="7"/>
        <v>7</v>
      </c>
      <c r="C62" s="172">
        <f t="shared" si="8"/>
        <v>45048</v>
      </c>
      <c r="D62" s="173">
        <f t="shared" si="0"/>
        <v>43356.09</v>
      </c>
      <c r="E62" s="172">
        <f t="shared" si="10"/>
        <v>1691.91</v>
      </c>
      <c r="F62" s="172">
        <f t="shared" si="9"/>
        <v>441105.53539178072</v>
      </c>
      <c r="G62" s="172">
        <f t="shared" si="4"/>
        <v>397749.4453917807</v>
      </c>
    </row>
    <row r="63" spans="1:7" x14ac:dyDescent="0.25">
      <c r="A63" s="36">
        <v>44326</v>
      </c>
      <c r="B63" s="168">
        <f t="shared" si="7"/>
        <v>7</v>
      </c>
      <c r="C63" s="172">
        <f t="shared" si="8"/>
        <v>45048</v>
      </c>
      <c r="D63" s="173">
        <f t="shared" si="0"/>
        <v>43522.39</v>
      </c>
      <c r="E63" s="172">
        <f t="shared" si="10"/>
        <v>1525.61</v>
      </c>
      <c r="F63" s="172">
        <f t="shared" si="9"/>
        <v>397749.4453917807</v>
      </c>
      <c r="G63" s="172">
        <f t="shared" si="4"/>
        <v>354227.05539178068</v>
      </c>
    </row>
    <row r="64" spans="1:7" x14ac:dyDescent="0.25">
      <c r="A64" s="36">
        <v>44333</v>
      </c>
      <c r="B64" s="168">
        <f t="shared" si="7"/>
        <v>7</v>
      </c>
      <c r="C64" s="172">
        <f t="shared" si="8"/>
        <v>45048</v>
      </c>
      <c r="D64" s="173">
        <f t="shared" si="0"/>
        <v>43689.32</v>
      </c>
      <c r="E64" s="172">
        <f t="shared" si="10"/>
        <v>1358.68</v>
      </c>
      <c r="F64" s="172">
        <f t="shared" si="9"/>
        <v>354227.05539178068</v>
      </c>
      <c r="G64" s="172">
        <f t="shared" si="4"/>
        <v>310537.73539178068</v>
      </c>
    </row>
    <row r="65" spans="1:7" x14ac:dyDescent="0.25">
      <c r="A65" s="36">
        <v>44340</v>
      </c>
      <c r="B65" s="168">
        <f t="shared" si="7"/>
        <v>7</v>
      </c>
      <c r="C65" s="172">
        <f t="shared" si="8"/>
        <v>45048</v>
      </c>
      <c r="D65" s="173">
        <f t="shared" si="0"/>
        <v>43856.9</v>
      </c>
      <c r="E65" s="172">
        <f t="shared" si="10"/>
        <v>1191.0999999999999</v>
      </c>
      <c r="F65" s="172">
        <f t="shared" si="9"/>
        <v>310537.73539178068</v>
      </c>
      <c r="G65" s="172">
        <f t="shared" si="4"/>
        <v>266680.83539178065</v>
      </c>
    </row>
    <row r="66" spans="1:7" x14ac:dyDescent="0.25">
      <c r="A66" s="36">
        <v>44347</v>
      </c>
      <c r="B66" s="168">
        <f t="shared" si="7"/>
        <v>7</v>
      </c>
      <c r="C66" s="172">
        <f t="shared" si="8"/>
        <v>45048</v>
      </c>
      <c r="D66" s="173">
        <f t="shared" si="0"/>
        <v>44025.11</v>
      </c>
      <c r="E66" s="172">
        <f t="shared" si="10"/>
        <v>1022.89</v>
      </c>
      <c r="F66" s="172">
        <f t="shared" si="9"/>
        <v>266680.83539178065</v>
      </c>
      <c r="G66" s="172">
        <f t="shared" si="4"/>
        <v>222655.72539178067</v>
      </c>
    </row>
    <row r="67" spans="1:7" x14ac:dyDescent="0.25">
      <c r="A67" s="36">
        <v>44354</v>
      </c>
      <c r="B67" s="168">
        <f t="shared" si="7"/>
        <v>7</v>
      </c>
      <c r="C67" s="172">
        <f t="shared" si="8"/>
        <v>45048</v>
      </c>
      <c r="D67" s="173">
        <f t="shared" si="0"/>
        <v>44193.98</v>
      </c>
      <c r="E67" s="172">
        <f t="shared" si="10"/>
        <v>854.02</v>
      </c>
      <c r="F67" s="172">
        <f t="shared" si="9"/>
        <v>222655.72539178067</v>
      </c>
      <c r="G67" s="172">
        <f t="shared" si="4"/>
        <v>178461.74539178066</v>
      </c>
    </row>
    <row r="68" spans="1:7" x14ac:dyDescent="0.25">
      <c r="A68" s="36">
        <v>44361</v>
      </c>
      <c r="B68" s="168">
        <f t="shared" si="7"/>
        <v>7</v>
      </c>
      <c r="C68" s="172">
        <f t="shared" si="8"/>
        <v>45048</v>
      </c>
      <c r="D68" s="173">
        <f t="shared" si="0"/>
        <v>44363.49</v>
      </c>
      <c r="E68" s="172">
        <f t="shared" si="10"/>
        <v>684.51</v>
      </c>
      <c r="F68" s="172">
        <f t="shared" si="9"/>
        <v>178461.74539178066</v>
      </c>
      <c r="G68" s="172">
        <f t="shared" si="4"/>
        <v>134098.25539178067</v>
      </c>
    </row>
    <row r="69" spans="1:7" x14ac:dyDescent="0.25">
      <c r="A69" s="36">
        <v>44368</v>
      </c>
      <c r="B69" s="168">
        <f t="shared" si="7"/>
        <v>7</v>
      </c>
      <c r="C69" s="172">
        <f t="shared" si="8"/>
        <v>45048</v>
      </c>
      <c r="D69" s="173">
        <f t="shared" ref="D69:D71" si="11">C69-E69</f>
        <v>44533.65</v>
      </c>
      <c r="E69" s="172">
        <f t="shared" si="10"/>
        <v>514.35</v>
      </c>
      <c r="F69" s="172">
        <f t="shared" si="9"/>
        <v>134098.25539178067</v>
      </c>
      <c r="G69" s="172">
        <f t="shared" si="4"/>
        <v>89564.605391780671</v>
      </c>
    </row>
    <row r="70" spans="1:7" x14ac:dyDescent="0.25">
      <c r="A70" s="36">
        <v>44375</v>
      </c>
      <c r="B70" s="168">
        <f t="shared" si="7"/>
        <v>7</v>
      </c>
      <c r="C70" s="172">
        <f t="shared" si="8"/>
        <v>45048</v>
      </c>
      <c r="D70" s="173">
        <f t="shared" si="11"/>
        <v>44704.46</v>
      </c>
      <c r="E70" s="172">
        <f t="shared" si="10"/>
        <v>343.54</v>
      </c>
      <c r="F70" s="172">
        <f t="shared" si="9"/>
        <v>89564.605391780671</v>
      </c>
      <c r="G70" s="172">
        <f t="shared" ref="G70:G71" si="12">F70-D70</f>
        <v>44860.145391780672</v>
      </c>
    </row>
    <row r="71" spans="1:7" x14ac:dyDescent="0.25">
      <c r="A71" s="36">
        <v>44382</v>
      </c>
      <c r="B71" s="168">
        <f t="shared" si="7"/>
        <v>7</v>
      </c>
      <c r="C71" s="172">
        <f t="shared" si="8"/>
        <v>45048</v>
      </c>
      <c r="D71" s="173">
        <f t="shared" si="11"/>
        <v>44860.145391780672</v>
      </c>
      <c r="E71" s="172">
        <v>187.85460821932821</v>
      </c>
      <c r="F71" s="172">
        <f t="shared" si="9"/>
        <v>44860.145391780672</v>
      </c>
      <c r="G71" s="172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621675-CC73-4621-A241-1457BC218B31}">
  <dimension ref="A1:J71"/>
  <sheetViews>
    <sheetView zoomScale="86" zoomScaleNormal="80" workbookViewId="0">
      <pane ySplit="3" topLeftCell="A55" activePane="bottomLeft" state="frozen"/>
      <selection activeCell="A94" sqref="A94:XFD94"/>
      <selection pane="bottomLeft" activeCell="A73" sqref="A73:XFD73"/>
    </sheetView>
  </sheetViews>
  <sheetFormatPr defaultRowHeight="15" x14ac:dyDescent="0.25"/>
  <cols>
    <col min="1" max="1" width="15.5703125" bestFit="1" customWidth="1"/>
    <col min="2" max="2" width="12.5703125" bestFit="1" customWidth="1"/>
    <col min="3" max="3" width="23.28515625" bestFit="1" customWidth="1"/>
    <col min="4" max="4" width="10.5703125" bestFit="1" customWidth="1"/>
    <col min="5" max="5" width="14.85546875" bestFit="1" customWidth="1"/>
    <col min="6" max="6" width="15.7109375" bestFit="1" customWidth="1"/>
    <col min="7" max="7" width="19.42578125" bestFit="1" customWidth="1"/>
    <col min="8" max="8" width="15.5703125" bestFit="1" customWidth="1"/>
    <col min="9" max="9" width="24.5703125" bestFit="1" customWidth="1"/>
    <col min="10" max="10" width="6" bestFit="1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ROUNDUP(45044.6329645772,0)</f>
        <v>45045</v>
      </c>
      <c r="G1" s="83" t="s">
        <v>52</v>
      </c>
      <c r="H1" s="81">
        <v>44260</v>
      </c>
      <c r="I1" t="s">
        <v>382</v>
      </c>
      <c r="J1">
        <f>DAYS360(A53,H1,TRUE)</f>
        <v>4</v>
      </c>
    </row>
    <row r="2" spans="1:10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0.2</v>
      </c>
      <c r="I2" t="s">
        <v>383</v>
      </c>
      <c r="J2">
        <f>DAYS360(H1,A54,TRUE)</f>
        <v>3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f>C2</f>
        <v>2000000</v>
      </c>
      <c r="G4" s="47">
        <f>F4-D4</f>
        <v>2000000</v>
      </c>
    </row>
    <row r="5" spans="1:10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68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10" x14ac:dyDescent="0.25">
      <c r="A6" s="36">
        <v>44060</v>
      </c>
      <c r="B6" s="46">
        <f t="shared" ref="B6:B52" si="1">DAYS360(A5,A6,TRUE)</f>
        <v>7</v>
      </c>
      <c r="C6" s="47">
        <f t="shared" ref="C6:C53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69" si="5">F6-D6</f>
        <v>1922213.3900000001</v>
      </c>
    </row>
    <row r="7" spans="1:10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10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10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10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10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10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10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10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10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10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70">
        <v>44256</v>
      </c>
      <c r="B53" s="84">
        <f>DAYS360(A33,A34,TRUE)</f>
        <v>9</v>
      </c>
      <c r="C53" s="90">
        <f t="shared" si="2"/>
        <v>44670</v>
      </c>
      <c r="D53" s="91">
        <f t="shared" si="0"/>
        <v>41579.629999999997</v>
      </c>
      <c r="E53" s="90">
        <f>ROUND(F53*$B$2*B53/360,2)</f>
        <v>3090.37</v>
      </c>
      <c r="F53" s="90">
        <f>G33</f>
        <v>824097.39000000048</v>
      </c>
      <c r="G53" s="90">
        <f t="shared" si="5"/>
        <v>782517.76000000047</v>
      </c>
    </row>
    <row r="54" spans="1:7" x14ac:dyDescent="0.25">
      <c r="A54" s="36">
        <v>44263</v>
      </c>
      <c r="B54" s="168">
        <f t="shared" ref="B54:B71" si="6">DAYS360(A53,A54,TRUE)</f>
        <v>7</v>
      </c>
      <c r="C54" s="172">
        <f t="shared" ref="C54:C71" si="7">$F$1</f>
        <v>45045</v>
      </c>
      <c r="D54" s="173">
        <f t="shared" si="0"/>
        <v>42436.607466666668</v>
      </c>
      <c r="E54" s="172">
        <f>(F54*B2*J1/360)+(F54*H2*J2/360)</f>
        <v>2608.3925333333345</v>
      </c>
      <c r="F54" s="172">
        <f t="shared" ref="F54:F71" si="8">G53</f>
        <v>782517.76000000047</v>
      </c>
      <c r="G54" s="172">
        <f t="shared" si="5"/>
        <v>740081.15253333375</v>
      </c>
    </row>
    <row r="55" spans="1:7" x14ac:dyDescent="0.25">
      <c r="A55" s="36">
        <v>44270</v>
      </c>
      <c r="B55" s="168">
        <f t="shared" si="6"/>
        <v>7</v>
      </c>
      <c r="C55" s="172">
        <f t="shared" si="7"/>
        <v>45045</v>
      </c>
      <c r="D55" s="173">
        <f t="shared" si="0"/>
        <v>42166.91</v>
      </c>
      <c r="E55" s="172">
        <f t="shared" ref="E55:E70" si="9">ROUND(F55*$H$2*B55/360,2)</f>
        <v>2878.09</v>
      </c>
      <c r="F55" s="172">
        <f t="shared" si="8"/>
        <v>740081.15253333375</v>
      </c>
      <c r="G55" s="172">
        <f t="shared" si="5"/>
        <v>697914.24253333372</v>
      </c>
    </row>
    <row r="56" spans="1:7" x14ac:dyDescent="0.25">
      <c r="A56" s="36">
        <v>44277</v>
      </c>
      <c r="B56" s="168">
        <f t="shared" si="6"/>
        <v>7</v>
      </c>
      <c r="C56" s="172">
        <f t="shared" si="7"/>
        <v>45045</v>
      </c>
      <c r="D56" s="173">
        <f t="shared" si="0"/>
        <v>42330.89</v>
      </c>
      <c r="E56" s="172">
        <f t="shared" si="9"/>
        <v>2714.11</v>
      </c>
      <c r="F56" s="172">
        <f t="shared" si="8"/>
        <v>697914.24253333372</v>
      </c>
      <c r="G56" s="172">
        <f t="shared" si="5"/>
        <v>655583.3525333337</v>
      </c>
    </row>
    <row r="57" spans="1:7" x14ac:dyDescent="0.25">
      <c r="A57" s="36">
        <v>44284</v>
      </c>
      <c r="B57" s="168">
        <f t="shared" si="6"/>
        <v>7</v>
      </c>
      <c r="C57" s="172">
        <f t="shared" si="7"/>
        <v>45045</v>
      </c>
      <c r="D57" s="173">
        <f t="shared" si="0"/>
        <v>42495.51</v>
      </c>
      <c r="E57" s="172">
        <f t="shared" si="9"/>
        <v>2549.4899999999998</v>
      </c>
      <c r="F57" s="172">
        <f t="shared" si="8"/>
        <v>655583.3525333337</v>
      </c>
      <c r="G57" s="172">
        <f t="shared" si="5"/>
        <v>613087.84253333369</v>
      </c>
    </row>
    <row r="58" spans="1:7" x14ac:dyDescent="0.25">
      <c r="A58" s="36">
        <v>44291</v>
      </c>
      <c r="B58" s="168">
        <f t="shared" si="6"/>
        <v>6</v>
      </c>
      <c r="C58" s="172">
        <f t="shared" si="7"/>
        <v>45045</v>
      </c>
      <c r="D58" s="173">
        <f t="shared" si="0"/>
        <v>43001.37</v>
      </c>
      <c r="E58" s="172">
        <f t="shared" si="9"/>
        <v>2043.63</v>
      </c>
      <c r="F58" s="172">
        <f t="shared" si="8"/>
        <v>613087.84253333369</v>
      </c>
      <c r="G58" s="172">
        <f t="shared" si="5"/>
        <v>570086.4725333337</v>
      </c>
    </row>
    <row r="59" spans="1:7" x14ac:dyDescent="0.25">
      <c r="A59" s="36">
        <v>44298</v>
      </c>
      <c r="B59" s="168">
        <f t="shared" si="6"/>
        <v>7</v>
      </c>
      <c r="C59" s="172">
        <f t="shared" si="7"/>
        <v>45045</v>
      </c>
      <c r="D59" s="173">
        <f t="shared" si="0"/>
        <v>42828</v>
      </c>
      <c r="E59" s="172">
        <f t="shared" si="9"/>
        <v>2217</v>
      </c>
      <c r="F59" s="172">
        <f t="shared" si="8"/>
        <v>570086.4725333337</v>
      </c>
      <c r="G59" s="172">
        <f t="shared" si="5"/>
        <v>527258.4725333337</v>
      </c>
    </row>
    <row r="60" spans="1:7" x14ac:dyDescent="0.25">
      <c r="A60" s="36">
        <v>44305</v>
      </c>
      <c r="B60" s="168">
        <f t="shared" si="6"/>
        <v>7</v>
      </c>
      <c r="C60" s="172">
        <f t="shared" si="7"/>
        <v>45045</v>
      </c>
      <c r="D60" s="173">
        <f t="shared" si="0"/>
        <v>42994.55</v>
      </c>
      <c r="E60" s="172">
        <f t="shared" si="9"/>
        <v>2050.4499999999998</v>
      </c>
      <c r="F60" s="172">
        <f t="shared" si="8"/>
        <v>527258.4725333337</v>
      </c>
      <c r="G60" s="172">
        <f t="shared" si="5"/>
        <v>484263.92253333371</v>
      </c>
    </row>
    <row r="61" spans="1:7" x14ac:dyDescent="0.25">
      <c r="A61" s="36">
        <v>44312</v>
      </c>
      <c r="B61" s="168">
        <f t="shared" si="6"/>
        <v>7</v>
      </c>
      <c r="C61" s="172">
        <f t="shared" si="7"/>
        <v>45045</v>
      </c>
      <c r="D61" s="173">
        <f t="shared" si="0"/>
        <v>43161.75</v>
      </c>
      <c r="E61" s="172">
        <f t="shared" si="9"/>
        <v>1883.25</v>
      </c>
      <c r="F61" s="172">
        <f t="shared" si="8"/>
        <v>484263.92253333371</v>
      </c>
      <c r="G61" s="172">
        <f t="shared" si="5"/>
        <v>441102.17253333371</v>
      </c>
    </row>
    <row r="62" spans="1:7" x14ac:dyDescent="0.25">
      <c r="A62" s="36">
        <v>44319</v>
      </c>
      <c r="B62" s="168">
        <f t="shared" si="6"/>
        <v>7</v>
      </c>
      <c r="C62" s="172">
        <f t="shared" si="7"/>
        <v>45045</v>
      </c>
      <c r="D62" s="173">
        <f t="shared" si="0"/>
        <v>43329.599999999999</v>
      </c>
      <c r="E62" s="172">
        <f t="shared" si="9"/>
        <v>1715.4</v>
      </c>
      <c r="F62" s="172">
        <f t="shared" si="8"/>
        <v>441102.17253333371</v>
      </c>
      <c r="G62" s="172">
        <f t="shared" si="5"/>
        <v>397772.57253333373</v>
      </c>
    </row>
    <row r="63" spans="1:7" x14ac:dyDescent="0.25">
      <c r="A63" s="36">
        <v>44326</v>
      </c>
      <c r="B63" s="168">
        <f t="shared" si="6"/>
        <v>7</v>
      </c>
      <c r="C63" s="172">
        <f t="shared" si="7"/>
        <v>45045</v>
      </c>
      <c r="D63" s="173">
        <f t="shared" si="0"/>
        <v>43498.11</v>
      </c>
      <c r="E63" s="172">
        <f t="shared" si="9"/>
        <v>1546.89</v>
      </c>
      <c r="F63" s="172">
        <f t="shared" si="8"/>
        <v>397772.57253333373</v>
      </c>
      <c r="G63" s="172">
        <f t="shared" si="5"/>
        <v>354274.46253333375</v>
      </c>
    </row>
    <row r="64" spans="1:7" x14ac:dyDescent="0.25">
      <c r="A64" s="36">
        <v>44333</v>
      </c>
      <c r="B64" s="168">
        <f t="shared" si="6"/>
        <v>7</v>
      </c>
      <c r="C64" s="172">
        <f t="shared" si="7"/>
        <v>45045</v>
      </c>
      <c r="D64" s="173">
        <f t="shared" si="0"/>
        <v>43667.27</v>
      </c>
      <c r="E64" s="172">
        <f t="shared" si="9"/>
        <v>1377.73</v>
      </c>
      <c r="F64" s="172">
        <f t="shared" si="8"/>
        <v>354274.46253333375</v>
      </c>
      <c r="G64" s="172">
        <f t="shared" si="5"/>
        <v>310607.19253333373</v>
      </c>
    </row>
    <row r="65" spans="1:7" x14ac:dyDescent="0.25">
      <c r="A65" s="36">
        <v>44340</v>
      </c>
      <c r="B65" s="168">
        <f t="shared" si="6"/>
        <v>7</v>
      </c>
      <c r="C65" s="172">
        <f t="shared" si="7"/>
        <v>45045</v>
      </c>
      <c r="D65" s="173">
        <f t="shared" si="0"/>
        <v>43837.08</v>
      </c>
      <c r="E65" s="172">
        <f t="shared" si="9"/>
        <v>1207.92</v>
      </c>
      <c r="F65" s="172">
        <f t="shared" si="8"/>
        <v>310607.19253333373</v>
      </c>
      <c r="G65" s="172">
        <f t="shared" si="5"/>
        <v>266770.11253333371</v>
      </c>
    </row>
    <row r="66" spans="1:7" x14ac:dyDescent="0.25">
      <c r="A66" s="36">
        <v>44347</v>
      </c>
      <c r="B66" s="168">
        <f t="shared" si="6"/>
        <v>6</v>
      </c>
      <c r="C66" s="172">
        <f t="shared" si="7"/>
        <v>45045</v>
      </c>
      <c r="D66" s="173">
        <f t="shared" si="0"/>
        <v>44155.77</v>
      </c>
      <c r="E66" s="172">
        <f t="shared" si="9"/>
        <v>889.23</v>
      </c>
      <c r="F66" s="172">
        <f t="shared" si="8"/>
        <v>266770.11253333371</v>
      </c>
      <c r="G66" s="172">
        <f t="shared" si="5"/>
        <v>222614.34253333372</v>
      </c>
    </row>
    <row r="67" spans="1:7" x14ac:dyDescent="0.25">
      <c r="A67" s="36">
        <v>44354</v>
      </c>
      <c r="B67" s="168">
        <f t="shared" si="6"/>
        <v>7</v>
      </c>
      <c r="C67" s="172">
        <f t="shared" si="7"/>
        <v>45045</v>
      </c>
      <c r="D67" s="173">
        <f t="shared" si="0"/>
        <v>44179.28</v>
      </c>
      <c r="E67" s="172">
        <f t="shared" si="9"/>
        <v>865.72</v>
      </c>
      <c r="F67" s="172">
        <f t="shared" si="8"/>
        <v>222614.34253333372</v>
      </c>
      <c r="G67" s="172">
        <f t="shared" si="5"/>
        <v>178435.06253333372</v>
      </c>
    </row>
    <row r="68" spans="1:7" x14ac:dyDescent="0.25">
      <c r="A68" s="36">
        <v>44361</v>
      </c>
      <c r="B68" s="168">
        <f t="shared" si="6"/>
        <v>7</v>
      </c>
      <c r="C68" s="172">
        <f t="shared" si="7"/>
        <v>45045</v>
      </c>
      <c r="D68" s="173">
        <f t="shared" si="0"/>
        <v>44351.09</v>
      </c>
      <c r="E68" s="172">
        <f t="shared" si="9"/>
        <v>693.91</v>
      </c>
      <c r="F68" s="172">
        <f t="shared" si="8"/>
        <v>178435.06253333372</v>
      </c>
      <c r="G68" s="172">
        <f t="shared" si="5"/>
        <v>134083.97253333373</v>
      </c>
    </row>
    <row r="69" spans="1:7" x14ac:dyDescent="0.25">
      <c r="A69" s="36">
        <v>44368</v>
      </c>
      <c r="B69" s="168">
        <f t="shared" si="6"/>
        <v>7</v>
      </c>
      <c r="C69" s="172">
        <f t="shared" si="7"/>
        <v>45045</v>
      </c>
      <c r="D69" s="173">
        <f t="shared" ref="D69:D71" si="10">C69-E69</f>
        <v>44523.56</v>
      </c>
      <c r="E69" s="172">
        <f t="shared" si="9"/>
        <v>521.44000000000005</v>
      </c>
      <c r="F69" s="172">
        <f t="shared" si="8"/>
        <v>134083.97253333373</v>
      </c>
      <c r="G69" s="172">
        <f t="shared" si="5"/>
        <v>89560.412533333729</v>
      </c>
    </row>
    <row r="70" spans="1:7" x14ac:dyDescent="0.25">
      <c r="A70" s="36">
        <v>44375</v>
      </c>
      <c r="B70" s="168">
        <f t="shared" si="6"/>
        <v>7</v>
      </c>
      <c r="C70" s="172">
        <f t="shared" si="7"/>
        <v>45045</v>
      </c>
      <c r="D70" s="173">
        <f t="shared" si="10"/>
        <v>44696.71</v>
      </c>
      <c r="E70" s="172">
        <f t="shared" si="9"/>
        <v>348.29</v>
      </c>
      <c r="F70" s="172">
        <f t="shared" si="8"/>
        <v>89560.412533333729</v>
      </c>
      <c r="G70" s="172">
        <f t="shared" ref="G70:G71" si="11">F70-D70</f>
        <v>44863.70253333373</v>
      </c>
    </row>
    <row r="71" spans="1:7" x14ac:dyDescent="0.25">
      <c r="A71" s="36">
        <v>44382</v>
      </c>
      <c r="B71" s="168">
        <f t="shared" si="6"/>
        <v>7</v>
      </c>
      <c r="C71" s="172">
        <f t="shared" si="7"/>
        <v>45045</v>
      </c>
      <c r="D71" s="173">
        <f t="shared" si="10"/>
        <v>44863.70253333373</v>
      </c>
      <c r="E71" s="172">
        <v>181.29746666626917</v>
      </c>
      <c r="F71" s="172">
        <f t="shared" si="8"/>
        <v>44863.70253333373</v>
      </c>
      <c r="G71" s="172">
        <f t="shared" si="11"/>
        <v>0</v>
      </c>
    </row>
  </sheetData>
  <pageMargins left="0.7" right="0.7" top="0.75" bottom="0.75" header="0.3" footer="0.3"/>
  <pageSetup orientation="portrait" r:id="rId1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706AEB-3D3C-43F1-92E9-DE339D69AA5A}">
  <dimension ref="A1:R5"/>
  <sheetViews>
    <sheetView workbookViewId="0">
      <selection activeCell="O1" sqref="O1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86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371</v>
      </c>
      <c r="D2" s="8" t="s">
        <v>71</v>
      </c>
      <c r="E2" s="8" t="s">
        <v>23</v>
      </c>
      <c r="F2" s="8" t="s">
        <v>274</v>
      </c>
      <c r="G2" s="8" t="s">
        <v>42</v>
      </c>
      <c r="H2" s="8" t="s">
        <v>181</v>
      </c>
      <c r="I2" s="8" t="s">
        <v>0</v>
      </c>
      <c r="J2" s="8" t="s">
        <v>42</v>
      </c>
      <c r="K2" s="8" t="s">
        <v>25</v>
      </c>
      <c r="L2" s="8" t="s">
        <v>372</v>
      </c>
      <c r="M2" s="8" t="s">
        <v>27</v>
      </c>
      <c r="N2" s="7" t="s">
        <v>29</v>
      </c>
      <c r="O2" s="7" t="s">
        <v>376</v>
      </c>
      <c r="P2" s="7" t="s">
        <v>21</v>
      </c>
      <c r="Q2" s="7" t="s">
        <v>84</v>
      </c>
      <c r="R2" s="165" t="s">
        <v>85</v>
      </c>
    </row>
    <row r="3" spans="1:18" x14ac:dyDescent="0.25">
      <c r="A3" s="12" t="s">
        <v>0</v>
      </c>
      <c r="B3" s="7" t="s">
        <v>9</v>
      </c>
      <c r="C3" s="7" t="s">
        <v>371</v>
      </c>
      <c r="D3" s="8" t="s">
        <v>71</v>
      </c>
      <c r="E3" s="8" t="s">
        <v>23</v>
      </c>
      <c r="F3" s="8" t="s">
        <v>274</v>
      </c>
      <c r="G3" s="8" t="s">
        <v>42</v>
      </c>
      <c r="H3" s="8" t="s">
        <v>181</v>
      </c>
      <c r="I3" s="8" t="s">
        <v>0</v>
      </c>
      <c r="J3" s="8" t="s">
        <v>42</v>
      </c>
      <c r="K3" s="8" t="s">
        <v>31</v>
      </c>
      <c r="L3" s="8" t="s">
        <v>372</v>
      </c>
      <c r="M3" s="8" t="s">
        <v>27</v>
      </c>
      <c r="N3" s="7" t="s">
        <v>29</v>
      </c>
      <c r="O3" s="7" t="s">
        <v>376</v>
      </c>
      <c r="P3" s="7" t="s">
        <v>21</v>
      </c>
      <c r="Q3" s="7" t="s">
        <v>84</v>
      </c>
      <c r="R3" s="165" t="s">
        <v>385</v>
      </c>
    </row>
    <row r="4" spans="1:18" x14ac:dyDescent="0.25">
      <c r="A4" s="12" t="s">
        <v>0</v>
      </c>
      <c r="B4" s="7" t="s">
        <v>9</v>
      </c>
      <c r="C4" s="7" t="s">
        <v>371</v>
      </c>
      <c r="D4" s="8" t="s">
        <v>71</v>
      </c>
      <c r="E4" s="8" t="s">
        <v>23</v>
      </c>
      <c r="F4" s="8" t="s">
        <v>274</v>
      </c>
      <c r="G4" s="8" t="s">
        <v>42</v>
      </c>
      <c r="H4" s="8" t="s">
        <v>181</v>
      </c>
      <c r="I4" s="8" t="s">
        <v>0</v>
      </c>
      <c r="J4" s="8" t="s">
        <v>42</v>
      </c>
      <c r="K4" s="8" t="s">
        <v>25</v>
      </c>
      <c r="L4" s="8" t="s">
        <v>372</v>
      </c>
      <c r="M4" s="8" t="s">
        <v>27</v>
      </c>
      <c r="N4" s="7" t="s">
        <v>29</v>
      </c>
      <c r="O4" s="7" t="s">
        <v>379</v>
      </c>
      <c r="P4" s="7" t="s">
        <v>21</v>
      </c>
      <c r="Q4" s="7" t="s">
        <v>84</v>
      </c>
      <c r="R4" s="165" t="s">
        <v>87</v>
      </c>
    </row>
    <row r="5" spans="1:18" x14ac:dyDescent="0.25">
      <c r="A5" s="12" t="s">
        <v>0</v>
      </c>
      <c r="B5" s="7" t="s">
        <v>9</v>
      </c>
      <c r="C5" s="7" t="s">
        <v>371</v>
      </c>
      <c r="D5" s="8" t="s">
        <v>71</v>
      </c>
      <c r="E5" s="8" t="s">
        <v>23</v>
      </c>
      <c r="F5" s="8" t="s">
        <v>274</v>
      </c>
      <c r="G5" s="8" t="s">
        <v>42</v>
      </c>
      <c r="H5" s="8" t="s">
        <v>181</v>
      </c>
      <c r="I5" s="8" t="s">
        <v>0</v>
      </c>
      <c r="J5" s="8" t="s">
        <v>42</v>
      </c>
      <c r="K5" s="8" t="s">
        <v>31</v>
      </c>
      <c r="L5" s="8" t="s">
        <v>372</v>
      </c>
      <c r="M5" s="8" t="s">
        <v>27</v>
      </c>
      <c r="N5" s="7" t="s">
        <v>29</v>
      </c>
      <c r="O5" s="7" t="s">
        <v>379</v>
      </c>
      <c r="P5" s="7" t="s">
        <v>21</v>
      </c>
      <c r="Q5" s="7" t="s">
        <v>84</v>
      </c>
      <c r="R5" s="165" t="s">
        <v>88</v>
      </c>
    </row>
  </sheetData>
  <phoneticPr fontId="5" type="noConversion"/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05620E-5FBB-4088-928E-494350EE192C}">
  <dimension ref="A1:H92"/>
  <sheetViews>
    <sheetView zoomScale="86" zoomScaleNormal="80" workbookViewId="0">
      <pane ySplit="3" topLeftCell="A40" activePane="bottomLeft" state="frozen"/>
      <selection activeCell="O1" sqref="O1"/>
      <selection pane="bottomLeft" activeCell="O1" sqref="O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ROUNDUP(43896.4227765005,0)</f>
        <v>43897</v>
      </c>
      <c r="G1" s="83" t="s">
        <v>52</v>
      </c>
      <c r="H1" s="81">
        <v>44130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0.1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68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8" x14ac:dyDescent="0.25">
      <c r="A6" s="36">
        <v>44060</v>
      </c>
      <c r="B6" s="46">
        <f t="shared" ref="B6:B46" si="1">A6-A5</f>
        <v>7</v>
      </c>
      <c r="C6" s="47">
        <f t="shared" ref="C6:C52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52" si="4">F6-D6</f>
        <v>1922054.89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8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92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36">
        <v>44109</v>
      </c>
      <c r="B53" s="168">
        <f t="shared" ref="B53:G56" si="8">B13</f>
        <v>7</v>
      </c>
      <c r="C53" s="172">
        <f t="shared" si="8"/>
        <v>44670</v>
      </c>
      <c r="D53" s="173">
        <f t="shared" si="8"/>
        <v>39821.26</v>
      </c>
      <c r="E53" s="172">
        <f t="shared" si="8"/>
        <v>4848.74</v>
      </c>
      <c r="F53" s="172">
        <f t="shared" si="8"/>
        <v>1685514.64</v>
      </c>
      <c r="G53" s="172">
        <f t="shared" si="8"/>
        <v>1645693.38</v>
      </c>
    </row>
    <row r="54" spans="1:7" x14ac:dyDescent="0.25">
      <c r="A54" s="36">
        <v>44116</v>
      </c>
      <c r="B54" s="168">
        <f t="shared" si="8"/>
        <v>7</v>
      </c>
      <c r="C54" s="172">
        <f t="shared" si="8"/>
        <v>44670</v>
      </c>
      <c r="D54" s="173">
        <f t="shared" si="8"/>
        <v>39935.81</v>
      </c>
      <c r="E54" s="172">
        <f t="shared" si="8"/>
        <v>4734.1899999999996</v>
      </c>
      <c r="F54" s="172">
        <f t="shared" si="8"/>
        <v>1645693.38</v>
      </c>
      <c r="G54" s="172">
        <f t="shared" si="8"/>
        <v>1605757.5699999998</v>
      </c>
    </row>
    <row r="55" spans="1:7" x14ac:dyDescent="0.25">
      <c r="A55" s="36">
        <v>44123</v>
      </c>
      <c r="B55" s="168">
        <f t="shared" si="8"/>
        <v>7</v>
      </c>
      <c r="C55" s="172">
        <f t="shared" si="8"/>
        <v>44670</v>
      </c>
      <c r="D55" s="173">
        <f t="shared" si="8"/>
        <v>40050.699999999997</v>
      </c>
      <c r="E55" s="172">
        <f t="shared" si="8"/>
        <v>4619.3</v>
      </c>
      <c r="F55" s="172">
        <f t="shared" si="8"/>
        <v>1605757.5699999998</v>
      </c>
      <c r="G55" s="172">
        <f t="shared" si="8"/>
        <v>1565706.8699999999</v>
      </c>
    </row>
    <row r="56" spans="1:7" x14ac:dyDescent="0.25">
      <c r="A56" s="36">
        <v>44130</v>
      </c>
      <c r="B56" s="168">
        <f t="shared" si="8"/>
        <v>7</v>
      </c>
      <c r="C56" s="172">
        <f t="shared" si="8"/>
        <v>44670</v>
      </c>
      <c r="D56" s="173">
        <f t="shared" si="8"/>
        <v>40165.910000000003</v>
      </c>
      <c r="E56" s="172">
        <f t="shared" si="8"/>
        <v>4504.09</v>
      </c>
      <c r="F56" s="172">
        <f t="shared" si="8"/>
        <v>1565706.8699999999</v>
      </c>
      <c r="G56" s="172">
        <f t="shared" si="8"/>
        <v>1525540.96</v>
      </c>
    </row>
    <row r="57" spans="1:7" x14ac:dyDescent="0.25">
      <c r="A57" s="179">
        <v>44137</v>
      </c>
      <c r="B57" s="169">
        <f>A57-A56</f>
        <v>7</v>
      </c>
      <c r="C57" s="170">
        <f t="shared" ref="C57:C92" si="9">$F$1</f>
        <v>43897</v>
      </c>
      <c r="D57" s="171">
        <f t="shared" si="0"/>
        <v>40971.31</v>
      </c>
      <c r="E57" s="170">
        <f>ROUND(F57*$H$2*B57/365,2)</f>
        <v>2925.69</v>
      </c>
      <c r="F57" s="170">
        <f>G16</f>
        <v>1525540.96</v>
      </c>
      <c r="G57" s="170">
        <f t="shared" ref="G57:G92" si="10">F57-D57</f>
        <v>1484569.65</v>
      </c>
    </row>
    <row r="58" spans="1:7" x14ac:dyDescent="0.25">
      <c r="A58" s="36">
        <v>44144</v>
      </c>
      <c r="B58" s="168">
        <f t="shared" si="7"/>
        <v>7</v>
      </c>
      <c r="C58" s="172">
        <f t="shared" si="9"/>
        <v>43897</v>
      </c>
      <c r="D58" s="173">
        <f t="shared" si="0"/>
        <v>41049.879999999997</v>
      </c>
      <c r="E58" s="172">
        <f>ROUND(F58*$H$2*B58/365,2)</f>
        <v>2847.12</v>
      </c>
      <c r="F58" s="172">
        <f t="shared" ref="F58:F92" si="11">G57</f>
        <v>1484569.65</v>
      </c>
      <c r="G58" s="172">
        <f t="shared" si="10"/>
        <v>1443519.77</v>
      </c>
    </row>
    <row r="59" spans="1:7" x14ac:dyDescent="0.25">
      <c r="A59" s="36">
        <v>44151</v>
      </c>
      <c r="B59" s="168">
        <f t="shared" si="7"/>
        <v>7</v>
      </c>
      <c r="C59" s="172">
        <f t="shared" si="9"/>
        <v>43897</v>
      </c>
      <c r="D59" s="173">
        <f t="shared" si="0"/>
        <v>41128.61</v>
      </c>
      <c r="E59" s="172">
        <f t="shared" ref="E59:E91" si="12">ROUND(F59*$H$2*B59/365,2)</f>
        <v>2768.39</v>
      </c>
      <c r="F59" s="172">
        <f t="shared" si="11"/>
        <v>1443519.77</v>
      </c>
      <c r="G59" s="172">
        <f t="shared" si="10"/>
        <v>1402391.16</v>
      </c>
    </row>
    <row r="60" spans="1:7" x14ac:dyDescent="0.25">
      <c r="A60" s="36">
        <v>44158</v>
      </c>
      <c r="B60" s="168">
        <f t="shared" si="7"/>
        <v>7</v>
      </c>
      <c r="C60" s="172">
        <f t="shared" si="9"/>
        <v>43897</v>
      </c>
      <c r="D60" s="173">
        <f t="shared" si="0"/>
        <v>41207.480000000003</v>
      </c>
      <c r="E60" s="172">
        <f t="shared" si="12"/>
        <v>2689.52</v>
      </c>
      <c r="F60" s="172">
        <f t="shared" si="11"/>
        <v>1402391.16</v>
      </c>
      <c r="G60" s="172">
        <f t="shared" si="10"/>
        <v>1361183.68</v>
      </c>
    </row>
    <row r="61" spans="1:7" x14ac:dyDescent="0.25">
      <c r="A61" s="36">
        <v>44165</v>
      </c>
      <c r="B61" s="168">
        <f t="shared" si="7"/>
        <v>7</v>
      </c>
      <c r="C61" s="172">
        <f t="shared" si="9"/>
        <v>43897</v>
      </c>
      <c r="D61" s="173">
        <f t="shared" si="0"/>
        <v>41286.51</v>
      </c>
      <c r="E61" s="172">
        <f t="shared" si="12"/>
        <v>2610.4899999999998</v>
      </c>
      <c r="F61" s="172">
        <f t="shared" si="11"/>
        <v>1361183.68</v>
      </c>
      <c r="G61" s="172">
        <f t="shared" si="10"/>
        <v>1319897.17</v>
      </c>
    </row>
    <row r="62" spans="1:7" x14ac:dyDescent="0.25">
      <c r="A62" s="36">
        <v>44172</v>
      </c>
      <c r="B62" s="168">
        <f t="shared" si="7"/>
        <v>7</v>
      </c>
      <c r="C62" s="172">
        <f t="shared" si="9"/>
        <v>43897</v>
      </c>
      <c r="D62" s="173">
        <f t="shared" si="0"/>
        <v>41365.69</v>
      </c>
      <c r="E62" s="172">
        <f t="shared" si="12"/>
        <v>2531.31</v>
      </c>
      <c r="F62" s="172">
        <f t="shared" si="11"/>
        <v>1319897.17</v>
      </c>
      <c r="G62" s="172">
        <f t="shared" si="10"/>
        <v>1278531.48</v>
      </c>
    </row>
    <row r="63" spans="1:7" x14ac:dyDescent="0.25">
      <c r="A63" s="36">
        <v>44179</v>
      </c>
      <c r="B63" s="168">
        <f t="shared" si="7"/>
        <v>7</v>
      </c>
      <c r="C63" s="172">
        <f t="shared" si="9"/>
        <v>43897</v>
      </c>
      <c r="D63" s="173">
        <f t="shared" si="0"/>
        <v>41445.019999999997</v>
      </c>
      <c r="E63" s="172">
        <f t="shared" si="12"/>
        <v>2451.98</v>
      </c>
      <c r="F63" s="172">
        <f t="shared" si="11"/>
        <v>1278531.48</v>
      </c>
      <c r="G63" s="172">
        <f t="shared" si="10"/>
        <v>1237086.46</v>
      </c>
    </row>
    <row r="64" spans="1:7" x14ac:dyDescent="0.25">
      <c r="A64" s="36">
        <v>44186</v>
      </c>
      <c r="B64" s="168">
        <f t="shared" si="7"/>
        <v>7</v>
      </c>
      <c r="C64" s="172">
        <f t="shared" si="9"/>
        <v>43897</v>
      </c>
      <c r="D64" s="173">
        <f t="shared" si="0"/>
        <v>41524.51</v>
      </c>
      <c r="E64" s="172">
        <f t="shared" si="12"/>
        <v>2372.4899999999998</v>
      </c>
      <c r="F64" s="172">
        <f t="shared" si="11"/>
        <v>1237086.46</v>
      </c>
      <c r="G64" s="172">
        <f t="shared" si="10"/>
        <v>1195561.95</v>
      </c>
    </row>
    <row r="65" spans="1:7" x14ac:dyDescent="0.25">
      <c r="A65" s="36">
        <v>44193</v>
      </c>
      <c r="B65" s="168">
        <f t="shared" si="7"/>
        <v>7</v>
      </c>
      <c r="C65" s="172">
        <f t="shared" si="9"/>
        <v>43897</v>
      </c>
      <c r="D65" s="173">
        <f t="shared" si="0"/>
        <v>41604.14</v>
      </c>
      <c r="E65" s="172">
        <f t="shared" si="12"/>
        <v>2292.86</v>
      </c>
      <c r="F65" s="172">
        <f t="shared" si="11"/>
        <v>1195561.95</v>
      </c>
      <c r="G65" s="172">
        <f t="shared" si="10"/>
        <v>1153957.81</v>
      </c>
    </row>
    <row r="66" spans="1:7" x14ac:dyDescent="0.25">
      <c r="A66" s="36">
        <v>44200</v>
      </c>
      <c r="B66" s="168">
        <f t="shared" si="7"/>
        <v>7</v>
      </c>
      <c r="C66" s="172">
        <f t="shared" si="9"/>
        <v>43897</v>
      </c>
      <c r="D66" s="173">
        <f t="shared" si="0"/>
        <v>41683.93</v>
      </c>
      <c r="E66" s="172">
        <f t="shared" si="12"/>
        <v>2213.0700000000002</v>
      </c>
      <c r="F66" s="172">
        <f t="shared" si="11"/>
        <v>1153957.81</v>
      </c>
      <c r="G66" s="172">
        <f t="shared" si="10"/>
        <v>1112273.8800000001</v>
      </c>
    </row>
    <row r="67" spans="1:7" x14ac:dyDescent="0.25">
      <c r="A67" s="36">
        <v>44207</v>
      </c>
      <c r="B67" s="168">
        <f t="shared" si="7"/>
        <v>7</v>
      </c>
      <c r="C67" s="172">
        <f t="shared" si="9"/>
        <v>43897</v>
      </c>
      <c r="D67" s="173">
        <f t="shared" si="0"/>
        <v>41763.870000000003</v>
      </c>
      <c r="E67" s="172">
        <f t="shared" si="12"/>
        <v>2133.13</v>
      </c>
      <c r="F67" s="172">
        <f t="shared" si="11"/>
        <v>1112273.8800000001</v>
      </c>
      <c r="G67" s="172">
        <f t="shared" si="10"/>
        <v>1070510.01</v>
      </c>
    </row>
    <row r="68" spans="1:7" x14ac:dyDescent="0.25">
      <c r="A68" s="36">
        <v>44214</v>
      </c>
      <c r="B68" s="168">
        <f t="shared" si="7"/>
        <v>7</v>
      </c>
      <c r="C68" s="172">
        <f t="shared" si="9"/>
        <v>43897</v>
      </c>
      <c r="D68" s="173">
        <f t="shared" si="0"/>
        <v>41843.97</v>
      </c>
      <c r="E68" s="172">
        <f t="shared" si="12"/>
        <v>2053.0300000000002</v>
      </c>
      <c r="F68" s="172">
        <f t="shared" si="11"/>
        <v>1070510.01</v>
      </c>
      <c r="G68" s="172">
        <f t="shared" si="10"/>
        <v>1028666.04</v>
      </c>
    </row>
    <row r="69" spans="1:7" x14ac:dyDescent="0.25">
      <c r="A69" s="36">
        <v>44221</v>
      </c>
      <c r="B69" s="168">
        <f t="shared" si="7"/>
        <v>7</v>
      </c>
      <c r="C69" s="172">
        <f t="shared" si="9"/>
        <v>43897</v>
      </c>
      <c r="D69" s="173">
        <f t="shared" ref="D69:D92" si="13">C69-E69</f>
        <v>41924.22</v>
      </c>
      <c r="E69" s="172">
        <f t="shared" si="12"/>
        <v>1972.78</v>
      </c>
      <c r="F69" s="172">
        <f t="shared" si="11"/>
        <v>1028666.04</v>
      </c>
      <c r="G69" s="172">
        <f t="shared" si="10"/>
        <v>986741.82000000007</v>
      </c>
    </row>
    <row r="70" spans="1:7" x14ac:dyDescent="0.25">
      <c r="A70" s="36">
        <v>44228</v>
      </c>
      <c r="B70" s="168">
        <f t="shared" si="7"/>
        <v>7</v>
      </c>
      <c r="C70" s="172">
        <f t="shared" si="9"/>
        <v>43897</v>
      </c>
      <c r="D70" s="173">
        <f t="shared" si="13"/>
        <v>42004.62</v>
      </c>
      <c r="E70" s="172">
        <f t="shared" si="12"/>
        <v>1892.38</v>
      </c>
      <c r="F70" s="172">
        <f t="shared" si="11"/>
        <v>986741.82000000007</v>
      </c>
      <c r="G70" s="172">
        <f t="shared" si="10"/>
        <v>944737.20000000007</v>
      </c>
    </row>
    <row r="71" spans="1:7" x14ac:dyDescent="0.25">
      <c r="A71" s="36">
        <v>44235</v>
      </c>
      <c r="B71" s="168">
        <f t="shared" si="7"/>
        <v>7</v>
      </c>
      <c r="C71" s="172">
        <f t="shared" si="9"/>
        <v>43897</v>
      </c>
      <c r="D71" s="173">
        <f t="shared" si="13"/>
        <v>42085.18</v>
      </c>
      <c r="E71" s="172">
        <f t="shared" si="12"/>
        <v>1811.82</v>
      </c>
      <c r="F71" s="172">
        <f t="shared" si="11"/>
        <v>944737.20000000007</v>
      </c>
      <c r="G71" s="172">
        <f t="shared" si="10"/>
        <v>902652.02</v>
      </c>
    </row>
    <row r="72" spans="1:7" x14ac:dyDescent="0.25">
      <c r="A72" s="36">
        <v>44242</v>
      </c>
      <c r="B72" s="168">
        <f t="shared" si="7"/>
        <v>7</v>
      </c>
      <c r="C72" s="172">
        <f t="shared" si="9"/>
        <v>43897</v>
      </c>
      <c r="D72" s="173">
        <f t="shared" si="13"/>
        <v>42165.89</v>
      </c>
      <c r="E72" s="172">
        <f t="shared" si="12"/>
        <v>1731.11</v>
      </c>
      <c r="F72" s="172">
        <f t="shared" si="11"/>
        <v>902652.02</v>
      </c>
      <c r="G72" s="172">
        <f t="shared" si="10"/>
        <v>860486.13</v>
      </c>
    </row>
    <row r="73" spans="1:7" x14ac:dyDescent="0.25">
      <c r="A73" s="36">
        <v>44249</v>
      </c>
      <c r="B73" s="168">
        <f t="shared" si="7"/>
        <v>7</v>
      </c>
      <c r="C73" s="172">
        <f t="shared" si="9"/>
        <v>43897</v>
      </c>
      <c r="D73" s="173">
        <f t="shared" si="13"/>
        <v>42246.75</v>
      </c>
      <c r="E73" s="172">
        <f t="shared" si="12"/>
        <v>1650.25</v>
      </c>
      <c r="F73" s="172">
        <f t="shared" si="11"/>
        <v>860486.13</v>
      </c>
      <c r="G73" s="172">
        <f t="shared" si="10"/>
        <v>818239.38</v>
      </c>
    </row>
    <row r="74" spans="1:7" x14ac:dyDescent="0.25">
      <c r="A74" s="36">
        <v>44256</v>
      </c>
      <c r="B74" s="168">
        <f t="shared" si="7"/>
        <v>7</v>
      </c>
      <c r="C74" s="172">
        <f t="shared" si="9"/>
        <v>43897</v>
      </c>
      <c r="D74" s="173">
        <f t="shared" si="13"/>
        <v>42327.77</v>
      </c>
      <c r="E74" s="172">
        <f t="shared" si="12"/>
        <v>1569.23</v>
      </c>
      <c r="F74" s="172">
        <f t="shared" si="11"/>
        <v>818239.38</v>
      </c>
      <c r="G74" s="172">
        <f t="shared" si="10"/>
        <v>775911.61</v>
      </c>
    </row>
    <row r="75" spans="1:7" x14ac:dyDescent="0.25">
      <c r="A75" s="36">
        <v>44263</v>
      </c>
      <c r="B75" s="168">
        <f t="shared" si="7"/>
        <v>7</v>
      </c>
      <c r="C75" s="172">
        <f t="shared" si="9"/>
        <v>43897</v>
      </c>
      <c r="D75" s="173">
        <f t="shared" si="13"/>
        <v>42408.95</v>
      </c>
      <c r="E75" s="172">
        <f t="shared" si="12"/>
        <v>1488.05</v>
      </c>
      <c r="F75" s="172">
        <f t="shared" si="11"/>
        <v>775911.61</v>
      </c>
      <c r="G75" s="172">
        <f t="shared" si="10"/>
        <v>733502.66</v>
      </c>
    </row>
    <row r="76" spans="1:7" x14ac:dyDescent="0.25">
      <c r="A76" s="36">
        <v>44270</v>
      </c>
      <c r="B76" s="168">
        <f t="shared" si="7"/>
        <v>7</v>
      </c>
      <c r="C76" s="172">
        <f t="shared" si="9"/>
        <v>43897</v>
      </c>
      <c r="D76" s="173">
        <f t="shared" si="13"/>
        <v>42490.28</v>
      </c>
      <c r="E76" s="172">
        <f t="shared" si="12"/>
        <v>1406.72</v>
      </c>
      <c r="F76" s="172">
        <f t="shared" si="11"/>
        <v>733502.66</v>
      </c>
      <c r="G76" s="172">
        <f t="shared" si="10"/>
        <v>691012.38</v>
      </c>
    </row>
    <row r="77" spans="1:7" x14ac:dyDescent="0.25">
      <c r="A77" s="36">
        <v>44277</v>
      </c>
      <c r="B77" s="168">
        <f t="shared" si="7"/>
        <v>7</v>
      </c>
      <c r="C77" s="172">
        <f t="shared" si="9"/>
        <v>43897</v>
      </c>
      <c r="D77" s="173">
        <f t="shared" si="13"/>
        <v>42571.77</v>
      </c>
      <c r="E77" s="172">
        <f t="shared" si="12"/>
        <v>1325.23</v>
      </c>
      <c r="F77" s="172">
        <f t="shared" si="11"/>
        <v>691012.38</v>
      </c>
      <c r="G77" s="172">
        <f t="shared" si="10"/>
        <v>648440.61</v>
      </c>
    </row>
    <row r="78" spans="1:7" x14ac:dyDescent="0.25">
      <c r="A78" s="36">
        <v>44284</v>
      </c>
      <c r="B78" s="168">
        <f t="shared" si="7"/>
        <v>7</v>
      </c>
      <c r="C78" s="172">
        <f t="shared" si="9"/>
        <v>43897</v>
      </c>
      <c r="D78" s="173">
        <f t="shared" si="13"/>
        <v>42653.42</v>
      </c>
      <c r="E78" s="172">
        <f t="shared" si="12"/>
        <v>1243.58</v>
      </c>
      <c r="F78" s="172">
        <f t="shared" si="11"/>
        <v>648440.61</v>
      </c>
      <c r="G78" s="172">
        <f t="shared" si="10"/>
        <v>605787.18999999994</v>
      </c>
    </row>
    <row r="79" spans="1:7" x14ac:dyDescent="0.25">
      <c r="A79" s="36">
        <v>44291</v>
      </c>
      <c r="B79" s="168">
        <f t="shared" si="7"/>
        <v>7</v>
      </c>
      <c r="C79" s="172">
        <f t="shared" si="9"/>
        <v>43897</v>
      </c>
      <c r="D79" s="173">
        <f t="shared" si="13"/>
        <v>42735.22</v>
      </c>
      <c r="E79" s="172">
        <f t="shared" si="12"/>
        <v>1161.78</v>
      </c>
      <c r="F79" s="172">
        <f t="shared" si="11"/>
        <v>605787.18999999994</v>
      </c>
      <c r="G79" s="172">
        <f t="shared" si="10"/>
        <v>563051.97</v>
      </c>
    </row>
    <row r="80" spans="1:7" x14ac:dyDescent="0.25">
      <c r="A80" s="36">
        <v>44298</v>
      </c>
      <c r="B80" s="168">
        <f t="shared" si="7"/>
        <v>7</v>
      </c>
      <c r="C80" s="172">
        <f t="shared" si="9"/>
        <v>43897</v>
      </c>
      <c r="D80" s="173">
        <f t="shared" si="13"/>
        <v>42817.17</v>
      </c>
      <c r="E80" s="172">
        <f t="shared" si="12"/>
        <v>1079.83</v>
      </c>
      <c r="F80" s="172">
        <f t="shared" si="11"/>
        <v>563051.97</v>
      </c>
      <c r="G80" s="172">
        <f t="shared" si="10"/>
        <v>520234.8</v>
      </c>
    </row>
    <row r="81" spans="1:7" x14ac:dyDescent="0.25">
      <c r="A81" s="36">
        <v>44305</v>
      </c>
      <c r="B81" s="168">
        <f t="shared" si="7"/>
        <v>7</v>
      </c>
      <c r="C81" s="172">
        <f t="shared" si="9"/>
        <v>43897</v>
      </c>
      <c r="D81" s="173">
        <f t="shared" si="13"/>
        <v>42899.29</v>
      </c>
      <c r="E81" s="172">
        <f t="shared" si="12"/>
        <v>997.71</v>
      </c>
      <c r="F81" s="172">
        <f t="shared" si="11"/>
        <v>520234.8</v>
      </c>
      <c r="G81" s="172">
        <f t="shared" si="10"/>
        <v>477335.51</v>
      </c>
    </row>
    <row r="82" spans="1:7" x14ac:dyDescent="0.25">
      <c r="A82" s="36">
        <v>44312</v>
      </c>
      <c r="B82" s="168">
        <f t="shared" si="7"/>
        <v>7</v>
      </c>
      <c r="C82" s="172">
        <f t="shared" si="9"/>
        <v>43897</v>
      </c>
      <c r="D82" s="173">
        <f t="shared" si="13"/>
        <v>42981.56</v>
      </c>
      <c r="E82" s="172">
        <f t="shared" si="12"/>
        <v>915.44</v>
      </c>
      <c r="F82" s="172">
        <f t="shared" si="11"/>
        <v>477335.51</v>
      </c>
      <c r="G82" s="172">
        <f t="shared" si="10"/>
        <v>434353.95</v>
      </c>
    </row>
    <row r="83" spans="1:7" x14ac:dyDescent="0.25">
      <c r="A83" s="36">
        <v>44319</v>
      </c>
      <c r="B83" s="168">
        <f t="shared" si="7"/>
        <v>7</v>
      </c>
      <c r="C83" s="172">
        <f t="shared" si="9"/>
        <v>43897</v>
      </c>
      <c r="D83" s="173">
        <f t="shared" si="13"/>
        <v>43063.99</v>
      </c>
      <c r="E83" s="172">
        <f t="shared" si="12"/>
        <v>833.01</v>
      </c>
      <c r="F83" s="172">
        <f t="shared" si="11"/>
        <v>434353.95</v>
      </c>
      <c r="G83" s="172">
        <f t="shared" si="10"/>
        <v>391289.96</v>
      </c>
    </row>
    <row r="84" spans="1:7" x14ac:dyDescent="0.25">
      <c r="A84" s="36">
        <v>44326</v>
      </c>
      <c r="B84" s="168">
        <f t="shared" si="7"/>
        <v>7</v>
      </c>
      <c r="C84" s="172">
        <f t="shared" si="9"/>
        <v>43897</v>
      </c>
      <c r="D84" s="173">
        <f t="shared" si="13"/>
        <v>43146.58</v>
      </c>
      <c r="E84" s="172">
        <f t="shared" si="12"/>
        <v>750.42</v>
      </c>
      <c r="F84" s="172">
        <f t="shared" si="11"/>
        <v>391289.96</v>
      </c>
      <c r="G84" s="172">
        <f t="shared" si="10"/>
        <v>348143.38</v>
      </c>
    </row>
    <row r="85" spans="1:7" x14ac:dyDescent="0.25">
      <c r="A85" s="36">
        <v>44333</v>
      </c>
      <c r="B85" s="168">
        <f t="shared" si="7"/>
        <v>7</v>
      </c>
      <c r="C85" s="172">
        <f t="shared" si="9"/>
        <v>43897</v>
      </c>
      <c r="D85" s="173">
        <f t="shared" si="13"/>
        <v>43229.33</v>
      </c>
      <c r="E85" s="172">
        <f t="shared" si="12"/>
        <v>667.67</v>
      </c>
      <c r="F85" s="172">
        <f t="shared" si="11"/>
        <v>348143.38</v>
      </c>
      <c r="G85" s="172">
        <f t="shared" si="10"/>
        <v>304914.05</v>
      </c>
    </row>
    <row r="86" spans="1:7" x14ac:dyDescent="0.25">
      <c r="A86" s="36">
        <v>44340</v>
      </c>
      <c r="B86" s="168">
        <f t="shared" si="7"/>
        <v>7</v>
      </c>
      <c r="C86" s="172">
        <f t="shared" si="9"/>
        <v>43897</v>
      </c>
      <c r="D86" s="173">
        <f t="shared" si="13"/>
        <v>43312.23</v>
      </c>
      <c r="E86" s="172">
        <f t="shared" si="12"/>
        <v>584.77</v>
      </c>
      <c r="F86" s="172">
        <f t="shared" si="11"/>
        <v>304914.05</v>
      </c>
      <c r="G86" s="172">
        <f t="shared" si="10"/>
        <v>261601.81999999998</v>
      </c>
    </row>
    <row r="87" spans="1:7" x14ac:dyDescent="0.25">
      <c r="A87" s="36">
        <v>44347</v>
      </c>
      <c r="B87" s="168">
        <f t="shared" si="7"/>
        <v>7</v>
      </c>
      <c r="C87" s="172">
        <f t="shared" si="9"/>
        <v>43897</v>
      </c>
      <c r="D87" s="173">
        <f t="shared" si="13"/>
        <v>43395.3</v>
      </c>
      <c r="E87" s="172">
        <f t="shared" si="12"/>
        <v>501.7</v>
      </c>
      <c r="F87" s="172">
        <f t="shared" si="11"/>
        <v>261601.81999999998</v>
      </c>
      <c r="G87" s="172">
        <f t="shared" si="10"/>
        <v>218206.51999999996</v>
      </c>
    </row>
    <row r="88" spans="1:7" x14ac:dyDescent="0.25">
      <c r="A88" s="36">
        <v>44354</v>
      </c>
      <c r="B88" s="168">
        <f t="shared" si="7"/>
        <v>7</v>
      </c>
      <c r="C88" s="172">
        <f t="shared" si="9"/>
        <v>43897</v>
      </c>
      <c r="D88" s="173">
        <f t="shared" si="13"/>
        <v>43478.52</v>
      </c>
      <c r="E88" s="172">
        <f t="shared" si="12"/>
        <v>418.48</v>
      </c>
      <c r="F88" s="172">
        <f t="shared" si="11"/>
        <v>218206.51999999996</v>
      </c>
      <c r="G88" s="172">
        <f t="shared" si="10"/>
        <v>174727.99999999997</v>
      </c>
    </row>
    <row r="89" spans="1:7" x14ac:dyDescent="0.25">
      <c r="A89" s="36">
        <v>44361</v>
      </c>
      <c r="B89" s="168">
        <f t="shared" si="7"/>
        <v>7</v>
      </c>
      <c r="C89" s="172">
        <f t="shared" si="9"/>
        <v>43897</v>
      </c>
      <c r="D89" s="173">
        <f t="shared" si="13"/>
        <v>43561.91</v>
      </c>
      <c r="E89" s="172">
        <f t="shared" si="12"/>
        <v>335.09</v>
      </c>
      <c r="F89" s="172">
        <f t="shared" si="11"/>
        <v>174727.99999999997</v>
      </c>
      <c r="G89" s="172">
        <f t="shared" si="10"/>
        <v>131166.08999999997</v>
      </c>
    </row>
    <row r="90" spans="1:7" x14ac:dyDescent="0.25">
      <c r="A90" s="36">
        <v>44368</v>
      </c>
      <c r="B90" s="168">
        <f t="shared" si="7"/>
        <v>7</v>
      </c>
      <c r="C90" s="172">
        <f t="shared" si="9"/>
        <v>43897</v>
      </c>
      <c r="D90" s="173">
        <f t="shared" si="13"/>
        <v>43645.45</v>
      </c>
      <c r="E90" s="172">
        <f t="shared" si="12"/>
        <v>251.55</v>
      </c>
      <c r="F90" s="172">
        <f t="shared" si="11"/>
        <v>131166.08999999997</v>
      </c>
      <c r="G90" s="172">
        <f t="shared" si="10"/>
        <v>87520.63999999997</v>
      </c>
    </row>
    <row r="91" spans="1:7" x14ac:dyDescent="0.25">
      <c r="A91" s="36">
        <v>44375</v>
      </c>
      <c r="B91" s="168">
        <f t="shared" si="7"/>
        <v>7</v>
      </c>
      <c r="C91" s="172">
        <f t="shared" si="9"/>
        <v>43897</v>
      </c>
      <c r="D91" s="173">
        <f t="shared" si="13"/>
        <v>43729.15</v>
      </c>
      <c r="E91" s="172">
        <f t="shared" si="12"/>
        <v>167.85</v>
      </c>
      <c r="F91" s="172">
        <f t="shared" si="11"/>
        <v>87520.63999999997</v>
      </c>
      <c r="G91" s="172">
        <f t="shared" si="10"/>
        <v>43791.489999999969</v>
      </c>
    </row>
    <row r="92" spans="1:7" x14ac:dyDescent="0.25">
      <c r="A92" s="36">
        <v>44382</v>
      </c>
      <c r="B92" s="168">
        <f t="shared" si="7"/>
        <v>7</v>
      </c>
      <c r="C92" s="172">
        <f t="shared" si="9"/>
        <v>43897</v>
      </c>
      <c r="D92" s="173">
        <f t="shared" si="13"/>
        <v>43791.489999999969</v>
      </c>
      <c r="E92" s="172">
        <v>105.51000000002794</v>
      </c>
      <c r="F92" s="172">
        <f t="shared" si="11"/>
        <v>43791.489999999969</v>
      </c>
      <c r="G92" s="172">
        <f t="shared" si="10"/>
        <v>0</v>
      </c>
    </row>
  </sheetData>
  <pageMargins left="0.7" right="0.7" top="0.75" bottom="0.75" header="0.3" footer="0.3"/>
  <pageSetup orientation="portrait" r:id="rId1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F9E64A-98AB-4D97-9379-AB3052C31A5A}">
  <dimension ref="A1:H92"/>
  <sheetViews>
    <sheetView zoomScale="86" zoomScaleNormal="80" workbookViewId="0">
      <pane ySplit="3" topLeftCell="A40" activePane="bottomLeft" state="frozen"/>
      <selection activeCell="O1" sqref="O1"/>
      <selection pane="bottomLeft" activeCell="O1" sqref="O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ROUNDUP(43896.8158333333,0)</f>
        <v>43897</v>
      </c>
      <c r="G1" s="83" t="s">
        <v>52</v>
      </c>
      <c r="H1" s="81">
        <v>44130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0.1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68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8" x14ac:dyDescent="0.25">
      <c r="A6" s="36">
        <v>44060</v>
      </c>
      <c r="B6" s="46">
        <f t="shared" ref="B6:B52" si="1">DAYS360(A5,A6,TRUE)</f>
        <v>7</v>
      </c>
      <c r="C6" s="47">
        <f t="shared" ref="C6:C52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52" si="5">F6-D6</f>
        <v>1922213.3900000001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8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36">
        <v>44109</v>
      </c>
      <c r="B53" s="168">
        <f t="shared" ref="B53:G56" si="6">B13</f>
        <v>7</v>
      </c>
      <c r="C53" s="172">
        <f t="shared" si="6"/>
        <v>44670</v>
      </c>
      <c r="D53" s="173">
        <f t="shared" si="6"/>
        <v>39754.479999999996</v>
      </c>
      <c r="E53" s="172">
        <f t="shared" si="6"/>
        <v>4915.5200000000004</v>
      </c>
      <c r="F53" s="172">
        <f t="shared" si="6"/>
        <v>1685322.59</v>
      </c>
      <c r="G53" s="172">
        <f t="shared" si="6"/>
        <v>1645568.11</v>
      </c>
    </row>
    <row r="54" spans="1:7" x14ac:dyDescent="0.25">
      <c r="A54" s="36">
        <v>44116</v>
      </c>
      <c r="B54" s="168">
        <f t="shared" si="6"/>
        <v>7</v>
      </c>
      <c r="C54" s="172">
        <f t="shared" si="6"/>
        <v>44670</v>
      </c>
      <c r="D54" s="173">
        <f t="shared" si="6"/>
        <v>39870.43</v>
      </c>
      <c r="E54" s="172">
        <f t="shared" si="6"/>
        <v>4799.57</v>
      </c>
      <c r="F54" s="172">
        <f t="shared" si="6"/>
        <v>1645568.11</v>
      </c>
      <c r="G54" s="172">
        <f t="shared" si="6"/>
        <v>1605697.6800000002</v>
      </c>
    </row>
    <row r="55" spans="1:7" x14ac:dyDescent="0.25">
      <c r="A55" s="36">
        <v>44123</v>
      </c>
      <c r="B55" s="168">
        <f t="shared" si="6"/>
        <v>7</v>
      </c>
      <c r="C55" s="172">
        <f t="shared" si="6"/>
        <v>44670</v>
      </c>
      <c r="D55" s="173">
        <f t="shared" si="6"/>
        <v>39986.720000000001</v>
      </c>
      <c r="E55" s="172">
        <f t="shared" si="6"/>
        <v>4683.28</v>
      </c>
      <c r="F55" s="172">
        <f t="shared" si="6"/>
        <v>1605697.6800000002</v>
      </c>
      <c r="G55" s="172">
        <f t="shared" si="6"/>
        <v>1565710.9600000002</v>
      </c>
    </row>
    <row r="56" spans="1:7" x14ac:dyDescent="0.25">
      <c r="A56" s="36">
        <v>44130</v>
      </c>
      <c r="B56" s="168">
        <f t="shared" si="6"/>
        <v>7</v>
      </c>
      <c r="C56" s="172">
        <f t="shared" si="6"/>
        <v>44670</v>
      </c>
      <c r="D56" s="173">
        <f t="shared" si="6"/>
        <v>40103.339999999997</v>
      </c>
      <c r="E56" s="172">
        <f t="shared" si="6"/>
        <v>4566.66</v>
      </c>
      <c r="F56" s="172">
        <f t="shared" si="6"/>
        <v>1565710.9600000002</v>
      </c>
      <c r="G56" s="172">
        <f t="shared" si="6"/>
        <v>1525607.62</v>
      </c>
    </row>
    <row r="57" spans="1:7" x14ac:dyDescent="0.25">
      <c r="A57" s="179">
        <v>44137</v>
      </c>
      <c r="B57" s="169">
        <f>DAYS360(A56,A57,TRUE)</f>
        <v>6</v>
      </c>
      <c r="C57" s="170">
        <f t="shared" ref="C57:C92" si="7">$F$1</f>
        <v>43897</v>
      </c>
      <c r="D57" s="171">
        <f t="shared" si="0"/>
        <v>41354.32</v>
      </c>
      <c r="E57" s="170">
        <f>ROUND(F57*$H$2*B57/360,2)</f>
        <v>2542.6799999999998</v>
      </c>
      <c r="F57" s="170">
        <f>G16</f>
        <v>1525607.62</v>
      </c>
      <c r="G57" s="170">
        <f t="shared" ref="G57:G92" si="8">F57-D57</f>
        <v>1484253.3</v>
      </c>
    </row>
    <row r="58" spans="1:7" x14ac:dyDescent="0.25">
      <c r="A58" s="36">
        <v>44144</v>
      </c>
      <c r="B58" s="168">
        <f>DAYS360(A57,A58,TRUE)</f>
        <v>7</v>
      </c>
      <c r="C58" s="172">
        <f t="shared" si="7"/>
        <v>43897</v>
      </c>
      <c r="D58" s="173">
        <f t="shared" si="0"/>
        <v>41010.949999999997</v>
      </c>
      <c r="E58" s="172">
        <f>ROUND(F58*$H$2*B58/360,2)</f>
        <v>2886.05</v>
      </c>
      <c r="F58" s="172">
        <f t="shared" ref="F58:F92" si="9">G57</f>
        <v>1484253.3</v>
      </c>
      <c r="G58" s="172">
        <f t="shared" si="8"/>
        <v>1443242.35</v>
      </c>
    </row>
    <row r="59" spans="1:7" x14ac:dyDescent="0.25">
      <c r="A59" s="36">
        <v>44151</v>
      </c>
      <c r="B59" s="168">
        <f t="shared" ref="B59:B92" si="10">DAYS360(A58,A59,TRUE)</f>
        <v>7</v>
      </c>
      <c r="C59" s="172">
        <f t="shared" si="7"/>
        <v>43897</v>
      </c>
      <c r="D59" s="173">
        <f t="shared" si="0"/>
        <v>41090.699999999997</v>
      </c>
      <c r="E59" s="172">
        <f t="shared" ref="E59:E91" si="11">ROUND(F59*$H$2*B59/360,2)</f>
        <v>2806.3</v>
      </c>
      <c r="F59" s="172">
        <f t="shared" si="9"/>
        <v>1443242.35</v>
      </c>
      <c r="G59" s="172">
        <f t="shared" si="8"/>
        <v>1402151.6500000001</v>
      </c>
    </row>
    <row r="60" spans="1:7" x14ac:dyDescent="0.25">
      <c r="A60" s="36">
        <v>44158</v>
      </c>
      <c r="B60" s="168">
        <f t="shared" si="10"/>
        <v>7</v>
      </c>
      <c r="C60" s="172">
        <f t="shared" si="7"/>
        <v>43897</v>
      </c>
      <c r="D60" s="173">
        <f t="shared" si="0"/>
        <v>41170.589999999997</v>
      </c>
      <c r="E60" s="172">
        <f t="shared" si="11"/>
        <v>2726.41</v>
      </c>
      <c r="F60" s="172">
        <f t="shared" si="9"/>
        <v>1402151.6500000001</v>
      </c>
      <c r="G60" s="172">
        <f t="shared" si="8"/>
        <v>1360981.06</v>
      </c>
    </row>
    <row r="61" spans="1:7" x14ac:dyDescent="0.25">
      <c r="A61" s="36">
        <v>44165</v>
      </c>
      <c r="B61" s="168">
        <f t="shared" si="10"/>
        <v>7</v>
      </c>
      <c r="C61" s="172">
        <f t="shared" si="7"/>
        <v>43897</v>
      </c>
      <c r="D61" s="173">
        <f t="shared" si="0"/>
        <v>41250.65</v>
      </c>
      <c r="E61" s="172">
        <f t="shared" si="11"/>
        <v>2646.35</v>
      </c>
      <c r="F61" s="172">
        <f t="shared" si="9"/>
        <v>1360981.06</v>
      </c>
      <c r="G61" s="172">
        <f t="shared" si="8"/>
        <v>1319730.4100000001</v>
      </c>
    </row>
    <row r="62" spans="1:7" x14ac:dyDescent="0.25">
      <c r="A62" s="36">
        <v>44172</v>
      </c>
      <c r="B62" s="168">
        <f t="shared" si="10"/>
        <v>7</v>
      </c>
      <c r="C62" s="172">
        <f t="shared" si="7"/>
        <v>43897</v>
      </c>
      <c r="D62" s="173">
        <f t="shared" si="0"/>
        <v>41330.86</v>
      </c>
      <c r="E62" s="172">
        <f t="shared" si="11"/>
        <v>2566.14</v>
      </c>
      <c r="F62" s="172">
        <f t="shared" si="9"/>
        <v>1319730.4100000001</v>
      </c>
      <c r="G62" s="172">
        <f t="shared" si="8"/>
        <v>1278399.55</v>
      </c>
    </row>
    <row r="63" spans="1:7" x14ac:dyDescent="0.25">
      <c r="A63" s="36">
        <v>44179</v>
      </c>
      <c r="B63" s="168">
        <f t="shared" si="10"/>
        <v>7</v>
      </c>
      <c r="C63" s="172">
        <f t="shared" si="7"/>
        <v>43897</v>
      </c>
      <c r="D63" s="173">
        <f t="shared" si="0"/>
        <v>41411.22</v>
      </c>
      <c r="E63" s="172">
        <f t="shared" si="11"/>
        <v>2485.7800000000002</v>
      </c>
      <c r="F63" s="172">
        <f t="shared" si="9"/>
        <v>1278399.55</v>
      </c>
      <c r="G63" s="172">
        <f t="shared" si="8"/>
        <v>1236988.33</v>
      </c>
    </row>
    <row r="64" spans="1:7" x14ac:dyDescent="0.25">
      <c r="A64" s="36">
        <v>44186</v>
      </c>
      <c r="B64" s="168">
        <f t="shared" si="10"/>
        <v>7</v>
      </c>
      <c r="C64" s="172">
        <f t="shared" si="7"/>
        <v>43897</v>
      </c>
      <c r="D64" s="173">
        <f t="shared" si="0"/>
        <v>41491.74</v>
      </c>
      <c r="E64" s="172">
        <f t="shared" si="11"/>
        <v>2405.2600000000002</v>
      </c>
      <c r="F64" s="172">
        <f t="shared" si="9"/>
        <v>1236988.33</v>
      </c>
      <c r="G64" s="172">
        <f t="shared" si="8"/>
        <v>1195496.5900000001</v>
      </c>
    </row>
    <row r="65" spans="1:7" x14ac:dyDescent="0.25">
      <c r="A65" s="36">
        <v>44193</v>
      </c>
      <c r="B65" s="168">
        <f t="shared" si="10"/>
        <v>7</v>
      </c>
      <c r="C65" s="172">
        <f t="shared" si="7"/>
        <v>43897</v>
      </c>
      <c r="D65" s="173">
        <f t="shared" si="0"/>
        <v>41572.42</v>
      </c>
      <c r="E65" s="172">
        <f t="shared" si="11"/>
        <v>2324.58</v>
      </c>
      <c r="F65" s="172">
        <f t="shared" si="9"/>
        <v>1195496.5900000001</v>
      </c>
      <c r="G65" s="172">
        <f t="shared" si="8"/>
        <v>1153924.1700000002</v>
      </c>
    </row>
    <row r="66" spans="1:7" x14ac:dyDescent="0.25">
      <c r="A66" s="36">
        <v>44200</v>
      </c>
      <c r="B66" s="168">
        <f t="shared" si="10"/>
        <v>6</v>
      </c>
      <c r="C66" s="172">
        <f t="shared" si="7"/>
        <v>43897</v>
      </c>
      <c r="D66" s="173">
        <f t="shared" si="0"/>
        <v>41973.79</v>
      </c>
      <c r="E66" s="172">
        <f t="shared" si="11"/>
        <v>1923.21</v>
      </c>
      <c r="F66" s="172">
        <f t="shared" si="9"/>
        <v>1153924.1700000002</v>
      </c>
      <c r="G66" s="172">
        <f t="shared" si="8"/>
        <v>1111950.3800000001</v>
      </c>
    </row>
    <row r="67" spans="1:7" x14ac:dyDescent="0.25">
      <c r="A67" s="36">
        <v>44207</v>
      </c>
      <c r="B67" s="168">
        <f t="shared" si="10"/>
        <v>7</v>
      </c>
      <c r="C67" s="172">
        <f t="shared" si="7"/>
        <v>43897</v>
      </c>
      <c r="D67" s="173">
        <f t="shared" si="0"/>
        <v>41734.870000000003</v>
      </c>
      <c r="E67" s="172">
        <f t="shared" si="11"/>
        <v>2162.13</v>
      </c>
      <c r="F67" s="172">
        <f t="shared" si="9"/>
        <v>1111950.3800000001</v>
      </c>
      <c r="G67" s="172">
        <f t="shared" si="8"/>
        <v>1070215.51</v>
      </c>
    </row>
    <row r="68" spans="1:7" x14ac:dyDescent="0.25">
      <c r="A68" s="36">
        <v>44214</v>
      </c>
      <c r="B68" s="168">
        <f t="shared" si="10"/>
        <v>7</v>
      </c>
      <c r="C68" s="172">
        <f t="shared" si="7"/>
        <v>43897</v>
      </c>
      <c r="D68" s="173">
        <f t="shared" si="0"/>
        <v>41816.03</v>
      </c>
      <c r="E68" s="172">
        <f t="shared" si="11"/>
        <v>2080.9699999999998</v>
      </c>
      <c r="F68" s="172">
        <f t="shared" si="9"/>
        <v>1070215.51</v>
      </c>
      <c r="G68" s="172">
        <f t="shared" si="8"/>
        <v>1028399.48</v>
      </c>
    </row>
    <row r="69" spans="1:7" x14ac:dyDescent="0.25">
      <c r="A69" s="36">
        <v>44221</v>
      </c>
      <c r="B69" s="168">
        <f t="shared" si="10"/>
        <v>7</v>
      </c>
      <c r="C69" s="172">
        <f t="shared" si="7"/>
        <v>43897</v>
      </c>
      <c r="D69" s="173">
        <f t="shared" ref="D69:D92" si="12">C69-E69</f>
        <v>41897.33</v>
      </c>
      <c r="E69" s="172">
        <f t="shared" si="11"/>
        <v>1999.67</v>
      </c>
      <c r="F69" s="172">
        <f t="shared" si="9"/>
        <v>1028399.48</v>
      </c>
      <c r="G69" s="172">
        <f t="shared" si="8"/>
        <v>986502.15</v>
      </c>
    </row>
    <row r="70" spans="1:7" x14ac:dyDescent="0.25">
      <c r="A70" s="36">
        <v>44228</v>
      </c>
      <c r="B70" s="168">
        <f t="shared" si="10"/>
        <v>6</v>
      </c>
      <c r="C70" s="172">
        <f t="shared" si="7"/>
        <v>43897</v>
      </c>
      <c r="D70" s="173">
        <f t="shared" si="12"/>
        <v>42252.83</v>
      </c>
      <c r="E70" s="172">
        <f t="shared" si="11"/>
        <v>1644.17</v>
      </c>
      <c r="F70" s="172">
        <f t="shared" si="9"/>
        <v>986502.15</v>
      </c>
      <c r="G70" s="172">
        <f t="shared" si="8"/>
        <v>944249.32000000007</v>
      </c>
    </row>
    <row r="71" spans="1:7" x14ac:dyDescent="0.25">
      <c r="A71" s="36">
        <v>44235</v>
      </c>
      <c r="B71" s="168">
        <f t="shared" si="10"/>
        <v>7</v>
      </c>
      <c r="C71" s="172">
        <f t="shared" si="7"/>
        <v>43897</v>
      </c>
      <c r="D71" s="173">
        <f t="shared" si="12"/>
        <v>42060.959999999999</v>
      </c>
      <c r="E71" s="172">
        <f t="shared" si="11"/>
        <v>1836.04</v>
      </c>
      <c r="F71" s="172">
        <f t="shared" si="9"/>
        <v>944249.32000000007</v>
      </c>
      <c r="G71" s="172">
        <f t="shared" si="8"/>
        <v>902188.3600000001</v>
      </c>
    </row>
    <row r="72" spans="1:7" x14ac:dyDescent="0.25">
      <c r="A72" s="36">
        <v>44242</v>
      </c>
      <c r="B72" s="168">
        <f t="shared" si="10"/>
        <v>7</v>
      </c>
      <c r="C72" s="172">
        <f t="shared" si="7"/>
        <v>43897</v>
      </c>
      <c r="D72" s="173">
        <f t="shared" si="12"/>
        <v>42142.74</v>
      </c>
      <c r="E72" s="172">
        <f t="shared" si="11"/>
        <v>1754.26</v>
      </c>
      <c r="F72" s="172">
        <f t="shared" si="9"/>
        <v>902188.3600000001</v>
      </c>
      <c r="G72" s="172">
        <f t="shared" si="8"/>
        <v>860045.62000000011</v>
      </c>
    </row>
    <row r="73" spans="1:7" x14ac:dyDescent="0.25">
      <c r="A73" s="36">
        <v>44249</v>
      </c>
      <c r="B73" s="168">
        <f t="shared" si="10"/>
        <v>7</v>
      </c>
      <c r="C73" s="172">
        <f t="shared" si="7"/>
        <v>43897</v>
      </c>
      <c r="D73" s="173">
        <f t="shared" si="12"/>
        <v>42224.69</v>
      </c>
      <c r="E73" s="172">
        <f t="shared" si="11"/>
        <v>1672.31</v>
      </c>
      <c r="F73" s="172">
        <f t="shared" si="9"/>
        <v>860045.62000000011</v>
      </c>
      <c r="G73" s="172">
        <f t="shared" si="8"/>
        <v>817820.93000000017</v>
      </c>
    </row>
    <row r="74" spans="1:7" x14ac:dyDescent="0.25">
      <c r="A74" s="36">
        <v>44256</v>
      </c>
      <c r="B74" s="168">
        <f t="shared" si="10"/>
        <v>9</v>
      </c>
      <c r="C74" s="172">
        <f t="shared" si="7"/>
        <v>43897</v>
      </c>
      <c r="D74" s="173">
        <f t="shared" si="12"/>
        <v>41852.449999999997</v>
      </c>
      <c r="E74" s="172">
        <f t="shared" si="11"/>
        <v>2044.55</v>
      </c>
      <c r="F74" s="172">
        <f t="shared" si="9"/>
        <v>817820.93000000017</v>
      </c>
      <c r="G74" s="172">
        <f t="shared" si="8"/>
        <v>775968.48000000021</v>
      </c>
    </row>
    <row r="75" spans="1:7" x14ac:dyDescent="0.25">
      <c r="A75" s="36">
        <v>44263</v>
      </c>
      <c r="B75" s="168">
        <f t="shared" si="10"/>
        <v>7</v>
      </c>
      <c r="C75" s="172">
        <f t="shared" si="7"/>
        <v>43897</v>
      </c>
      <c r="D75" s="173">
        <f t="shared" si="12"/>
        <v>42388.17</v>
      </c>
      <c r="E75" s="172">
        <f t="shared" si="11"/>
        <v>1508.83</v>
      </c>
      <c r="F75" s="172">
        <f t="shared" si="9"/>
        <v>775968.48000000021</v>
      </c>
      <c r="G75" s="172">
        <f t="shared" si="8"/>
        <v>733580.31000000017</v>
      </c>
    </row>
    <row r="76" spans="1:7" x14ac:dyDescent="0.25">
      <c r="A76" s="36">
        <v>44270</v>
      </c>
      <c r="B76" s="168">
        <f t="shared" si="10"/>
        <v>7</v>
      </c>
      <c r="C76" s="172">
        <f t="shared" si="7"/>
        <v>43897</v>
      </c>
      <c r="D76" s="173">
        <f t="shared" si="12"/>
        <v>42470.59</v>
      </c>
      <c r="E76" s="172">
        <f t="shared" si="11"/>
        <v>1426.41</v>
      </c>
      <c r="F76" s="172">
        <f t="shared" si="9"/>
        <v>733580.31000000017</v>
      </c>
      <c r="G76" s="172">
        <f t="shared" si="8"/>
        <v>691109.7200000002</v>
      </c>
    </row>
    <row r="77" spans="1:7" x14ac:dyDescent="0.25">
      <c r="A77" s="36">
        <v>44277</v>
      </c>
      <c r="B77" s="168">
        <f t="shared" si="10"/>
        <v>7</v>
      </c>
      <c r="C77" s="172">
        <f t="shared" si="7"/>
        <v>43897</v>
      </c>
      <c r="D77" s="173">
        <f t="shared" si="12"/>
        <v>42553.18</v>
      </c>
      <c r="E77" s="172">
        <f t="shared" si="11"/>
        <v>1343.82</v>
      </c>
      <c r="F77" s="172">
        <f t="shared" si="9"/>
        <v>691109.7200000002</v>
      </c>
      <c r="G77" s="172">
        <f t="shared" si="8"/>
        <v>648556.54000000015</v>
      </c>
    </row>
    <row r="78" spans="1:7" x14ac:dyDescent="0.25">
      <c r="A78" s="36">
        <v>44284</v>
      </c>
      <c r="B78" s="168">
        <f t="shared" si="10"/>
        <v>7</v>
      </c>
      <c r="C78" s="172">
        <f t="shared" si="7"/>
        <v>43897</v>
      </c>
      <c r="D78" s="173">
        <f t="shared" si="12"/>
        <v>42635.92</v>
      </c>
      <c r="E78" s="172">
        <f t="shared" si="11"/>
        <v>1261.08</v>
      </c>
      <c r="F78" s="172">
        <f t="shared" si="9"/>
        <v>648556.54000000015</v>
      </c>
      <c r="G78" s="172">
        <f t="shared" si="8"/>
        <v>605920.62000000011</v>
      </c>
    </row>
    <row r="79" spans="1:7" x14ac:dyDescent="0.25">
      <c r="A79" s="36">
        <v>44291</v>
      </c>
      <c r="B79" s="168">
        <f t="shared" si="10"/>
        <v>6</v>
      </c>
      <c r="C79" s="172">
        <f t="shared" si="7"/>
        <v>43897</v>
      </c>
      <c r="D79" s="173">
        <f t="shared" si="12"/>
        <v>42887.13</v>
      </c>
      <c r="E79" s="172">
        <f t="shared" si="11"/>
        <v>1009.87</v>
      </c>
      <c r="F79" s="172">
        <f t="shared" si="9"/>
        <v>605920.62000000011</v>
      </c>
      <c r="G79" s="172">
        <f t="shared" si="8"/>
        <v>563033.49000000011</v>
      </c>
    </row>
    <row r="80" spans="1:7" x14ac:dyDescent="0.25">
      <c r="A80" s="36">
        <v>44298</v>
      </c>
      <c r="B80" s="168">
        <f t="shared" si="10"/>
        <v>7</v>
      </c>
      <c r="C80" s="172">
        <f t="shared" si="7"/>
        <v>43897</v>
      </c>
      <c r="D80" s="173">
        <f t="shared" si="12"/>
        <v>42802.21</v>
      </c>
      <c r="E80" s="172">
        <f t="shared" si="11"/>
        <v>1094.79</v>
      </c>
      <c r="F80" s="172">
        <f t="shared" si="9"/>
        <v>563033.49000000011</v>
      </c>
      <c r="G80" s="172">
        <f t="shared" si="8"/>
        <v>520231.28000000009</v>
      </c>
    </row>
    <row r="81" spans="1:7" x14ac:dyDescent="0.25">
      <c r="A81" s="36">
        <v>44305</v>
      </c>
      <c r="B81" s="168">
        <f t="shared" si="10"/>
        <v>7</v>
      </c>
      <c r="C81" s="172">
        <f t="shared" si="7"/>
        <v>43897</v>
      </c>
      <c r="D81" s="173">
        <f t="shared" si="12"/>
        <v>42885.440000000002</v>
      </c>
      <c r="E81" s="172">
        <f t="shared" si="11"/>
        <v>1011.56</v>
      </c>
      <c r="F81" s="172">
        <f t="shared" si="9"/>
        <v>520231.28000000009</v>
      </c>
      <c r="G81" s="172">
        <f t="shared" si="8"/>
        <v>477345.84000000008</v>
      </c>
    </row>
    <row r="82" spans="1:7" x14ac:dyDescent="0.25">
      <c r="A82" s="36">
        <v>44312</v>
      </c>
      <c r="B82" s="168">
        <f t="shared" si="10"/>
        <v>7</v>
      </c>
      <c r="C82" s="172">
        <f t="shared" si="7"/>
        <v>43897</v>
      </c>
      <c r="D82" s="173">
        <f t="shared" si="12"/>
        <v>42968.83</v>
      </c>
      <c r="E82" s="172">
        <f t="shared" si="11"/>
        <v>928.17</v>
      </c>
      <c r="F82" s="172">
        <f t="shared" si="9"/>
        <v>477345.84000000008</v>
      </c>
      <c r="G82" s="172">
        <f t="shared" si="8"/>
        <v>434377.01000000007</v>
      </c>
    </row>
    <row r="83" spans="1:7" x14ac:dyDescent="0.25">
      <c r="A83" s="36">
        <v>44319</v>
      </c>
      <c r="B83" s="168">
        <f t="shared" si="10"/>
        <v>7</v>
      </c>
      <c r="C83" s="172">
        <f t="shared" si="7"/>
        <v>43897</v>
      </c>
      <c r="D83" s="173">
        <f t="shared" si="12"/>
        <v>43052.38</v>
      </c>
      <c r="E83" s="172">
        <f t="shared" si="11"/>
        <v>844.62</v>
      </c>
      <c r="F83" s="172">
        <f t="shared" si="9"/>
        <v>434377.01000000007</v>
      </c>
      <c r="G83" s="172">
        <f t="shared" si="8"/>
        <v>391324.63000000006</v>
      </c>
    </row>
    <row r="84" spans="1:7" x14ac:dyDescent="0.25">
      <c r="A84" s="36">
        <v>44326</v>
      </c>
      <c r="B84" s="168">
        <f t="shared" si="10"/>
        <v>7</v>
      </c>
      <c r="C84" s="172">
        <f t="shared" si="7"/>
        <v>43897</v>
      </c>
      <c r="D84" s="173">
        <f t="shared" si="12"/>
        <v>43136.09</v>
      </c>
      <c r="E84" s="172">
        <f t="shared" si="11"/>
        <v>760.91</v>
      </c>
      <c r="F84" s="172">
        <f t="shared" si="9"/>
        <v>391324.63000000006</v>
      </c>
      <c r="G84" s="172">
        <f t="shared" si="8"/>
        <v>348188.54000000004</v>
      </c>
    </row>
    <row r="85" spans="1:7" x14ac:dyDescent="0.25">
      <c r="A85" s="36">
        <v>44333</v>
      </c>
      <c r="B85" s="168">
        <f t="shared" si="10"/>
        <v>7</v>
      </c>
      <c r="C85" s="172">
        <f t="shared" si="7"/>
        <v>43897</v>
      </c>
      <c r="D85" s="173">
        <f t="shared" si="12"/>
        <v>43219.97</v>
      </c>
      <c r="E85" s="172">
        <f t="shared" si="11"/>
        <v>677.03</v>
      </c>
      <c r="F85" s="172">
        <f t="shared" si="9"/>
        <v>348188.54000000004</v>
      </c>
      <c r="G85" s="172">
        <f t="shared" si="8"/>
        <v>304968.57000000007</v>
      </c>
    </row>
    <row r="86" spans="1:7" x14ac:dyDescent="0.25">
      <c r="A86" s="36">
        <v>44340</v>
      </c>
      <c r="B86" s="168">
        <f t="shared" si="10"/>
        <v>7</v>
      </c>
      <c r="C86" s="172">
        <f t="shared" si="7"/>
        <v>43897</v>
      </c>
      <c r="D86" s="173">
        <f t="shared" si="12"/>
        <v>43304.01</v>
      </c>
      <c r="E86" s="172">
        <f t="shared" si="11"/>
        <v>592.99</v>
      </c>
      <c r="F86" s="172">
        <f t="shared" si="9"/>
        <v>304968.57000000007</v>
      </c>
      <c r="G86" s="172">
        <f t="shared" si="8"/>
        <v>261664.56000000006</v>
      </c>
    </row>
    <row r="87" spans="1:7" x14ac:dyDescent="0.25">
      <c r="A87" s="36">
        <v>44347</v>
      </c>
      <c r="B87" s="168">
        <f t="shared" si="10"/>
        <v>6</v>
      </c>
      <c r="C87" s="172">
        <f t="shared" si="7"/>
        <v>43897</v>
      </c>
      <c r="D87" s="173">
        <f t="shared" si="12"/>
        <v>43460.89</v>
      </c>
      <c r="E87" s="172">
        <f t="shared" si="11"/>
        <v>436.11</v>
      </c>
      <c r="F87" s="172">
        <f t="shared" si="9"/>
        <v>261664.56000000006</v>
      </c>
      <c r="G87" s="172">
        <f t="shared" si="8"/>
        <v>218203.67000000004</v>
      </c>
    </row>
    <row r="88" spans="1:7" x14ac:dyDescent="0.25">
      <c r="A88" s="36">
        <v>44354</v>
      </c>
      <c r="B88" s="168">
        <f t="shared" si="10"/>
        <v>7</v>
      </c>
      <c r="C88" s="172">
        <f t="shared" si="7"/>
        <v>43897</v>
      </c>
      <c r="D88" s="173">
        <f t="shared" si="12"/>
        <v>43472.72</v>
      </c>
      <c r="E88" s="172">
        <f t="shared" si="11"/>
        <v>424.28</v>
      </c>
      <c r="F88" s="172">
        <f t="shared" si="9"/>
        <v>218203.67000000004</v>
      </c>
      <c r="G88" s="172">
        <f t="shared" si="8"/>
        <v>174730.95000000004</v>
      </c>
    </row>
    <row r="89" spans="1:7" x14ac:dyDescent="0.25">
      <c r="A89" s="36">
        <v>44361</v>
      </c>
      <c r="B89" s="168">
        <f t="shared" si="10"/>
        <v>7</v>
      </c>
      <c r="C89" s="172">
        <f t="shared" si="7"/>
        <v>43897</v>
      </c>
      <c r="D89" s="173">
        <f t="shared" si="12"/>
        <v>43557.25</v>
      </c>
      <c r="E89" s="172">
        <f t="shared" si="11"/>
        <v>339.75</v>
      </c>
      <c r="F89" s="172">
        <f t="shared" si="9"/>
        <v>174730.95000000004</v>
      </c>
      <c r="G89" s="172">
        <f t="shared" si="8"/>
        <v>131173.70000000004</v>
      </c>
    </row>
    <row r="90" spans="1:7" x14ac:dyDescent="0.25">
      <c r="A90" s="36">
        <v>44368</v>
      </c>
      <c r="B90" s="168">
        <f t="shared" si="10"/>
        <v>7</v>
      </c>
      <c r="C90" s="172">
        <f t="shared" si="7"/>
        <v>43897</v>
      </c>
      <c r="D90" s="173">
        <f t="shared" si="12"/>
        <v>43641.94</v>
      </c>
      <c r="E90" s="172">
        <f t="shared" si="11"/>
        <v>255.06</v>
      </c>
      <c r="F90" s="172">
        <f t="shared" si="9"/>
        <v>131173.70000000004</v>
      </c>
      <c r="G90" s="172">
        <f t="shared" si="8"/>
        <v>87531.760000000038</v>
      </c>
    </row>
    <row r="91" spans="1:7" x14ac:dyDescent="0.25">
      <c r="A91" s="36">
        <v>44375</v>
      </c>
      <c r="B91" s="168">
        <f t="shared" si="10"/>
        <v>7</v>
      </c>
      <c r="C91" s="172">
        <f t="shared" si="7"/>
        <v>43897</v>
      </c>
      <c r="D91" s="173">
        <f t="shared" si="12"/>
        <v>43726.8</v>
      </c>
      <c r="E91" s="172">
        <f t="shared" si="11"/>
        <v>170.2</v>
      </c>
      <c r="F91" s="172">
        <f t="shared" si="9"/>
        <v>87531.760000000038</v>
      </c>
      <c r="G91" s="172">
        <f t="shared" si="8"/>
        <v>43804.960000000036</v>
      </c>
    </row>
    <row r="92" spans="1:7" x14ac:dyDescent="0.25">
      <c r="A92" s="36">
        <v>44382</v>
      </c>
      <c r="B92" s="168">
        <f t="shared" si="10"/>
        <v>7</v>
      </c>
      <c r="C92" s="172">
        <f t="shared" si="7"/>
        <v>43897</v>
      </c>
      <c r="D92" s="173">
        <f t="shared" si="12"/>
        <v>43804.960000000036</v>
      </c>
      <c r="E92" s="172">
        <v>92.039999999964209</v>
      </c>
      <c r="F92" s="172">
        <f t="shared" si="9"/>
        <v>43804.960000000036</v>
      </c>
      <c r="G92" s="172">
        <f t="shared" si="8"/>
        <v>0</v>
      </c>
    </row>
  </sheetData>
  <pageMargins left="0.7" right="0.7" top="0.75" bottom="0.75" header="0.3" footer="0.3"/>
  <pageSetup orientation="portrait" r:id="rId1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3D9AA-126A-472C-B00C-4C60EFB87A38}">
  <dimension ref="A1:J71"/>
  <sheetViews>
    <sheetView zoomScale="86" zoomScaleNormal="80" workbookViewId="0">
      <pane ySplit="3" topLeftCell="A63" activePane="bottomLeft" state="frozen"/>
      <selection activeCell="O1" sqref="O1"/>
      <selection pane="bottomLeft" activeCell="O1" sqref="O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4.5703125" bestFit="1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ROUNDUP(44291.0854715462,0)</f>
        <v>44292</v>
      </c>
      <c r="G1" s="83" t="s">
        <v>52</v>
      </c>
      <c r="H1" s="81">
        <v>44260</v>
      </c>
      <c r="I1" t="s">
        <v>382</v>
      </c>
      <c r="J1">
        <f>_xlfn.DAYS(A54,H1)</f>
        <v>3</v>
      </c>
    </row>
    <row r="2" spans="1:10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0.1</v>
      </c>
      <c r="I2" t="s">
        <v>383</v>
      </c>
      <c r="J2">
        <f>_xlfn.DAYS(H1,A53)</f>
        <v>4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10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52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10" x14ac:dyDescent="0.25">
      <c r="A6" s="36">
        <v>44060</v>
      </c>
      <c r="B6" s="46">
        <f t="shared" ref="B6:B46" si="1">A6-A5</f>
        <v>7</v>
      </c>
      <c r="C6" s="47">
        <f t="shared" ref="C6:C53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52" si="4">F6-D6</f>
        <v>1922054.89</v>
      </c>
    </row>
    <row r="7" spans="1:10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10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10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10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10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10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10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10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10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10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71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70">
        <v>44256</v>
      </c>
      <c r="B53" s="84">
        <f>A34-A33</f>
        <v>7</v>
      </c>
      <c r="C53" s="47">
        <f t="shared" si="2"/>
        <v>44670</v>
      </c>
      <c r="D53" s="91">
        <f t="shared" ref="D53:D71" si="8">C53-E53</f>
        <v>42297.38</v>
      </c>
      <c r="E53" s="90">
        <f>ROUND(F53*$B$2*B53/365,2)</f>
        <v>2372.62</v>
      </c>
      <c r="F53" s="90">
        <f>G33</f>
        <v>824767.7699999999</v>
      </c>
      <c r="G53" s="90">
        <f t="shared" ref="G53:G71" si="9">F53-D53</f>
        <v>782470.3899999999</v>
      </c>
    </row>
    <row r="54" spans="1:7" x14ac:dyDescent="0.25">
      <c r="A54" s="36">
        <v>44263</v>
      </c>
      <c r="B54" s="168">
        <f t="shared" si="7"/>
        <v>7</v>
      </c>
      <c r="C54" s="172">
        <f t="shared" ref="C54:C71" si="10">$F$1</f>
        <v>44292</v>
      </c>
      <c r="D54" s="173">
        <f t="shared" si="8"/>
        <v>42362.620956164385</v>
      </c>
      <c r="E54" s="172">
        <f>(F54*B2*J2/365)+(F54*H2*J1/365)</f>
        <v>1929.3790438356159</v>
      </c>
      <c r="F54" s="172">
        <f t="shared" ref="F54:F71" si="11">G53</f>
        <v>782470.3899999999</v>
      </c>
      <c r="G54" s="172">
        <f t="shared" si="9"/>
        <v>740107.76904383546</v>
      </c>
    </row>
    <row r="55" spans="1:7" x14ac:dyDescent="0.25">
      <c r="A55" s="36">
        <v>44270</v>
      </c>
      <c r="B55" s="168">
        <f t="shared" si="7"/>
        <v>7</v>
      </c>
      <c r="C55" s="172">
        <f t="shared" si="10"/>
        <v>44292</v>
      </c>
      <c r="D55" s="173">
        <f t="shared" si="8"/>
        <v>42872.62</v>
      </c>
      <c r="E55" s="172">
        <f t="shared" ref="E55:E70" si="12">ROUND(F55*$H$2*B55/365,2)</f>
        <v>1419.38</v>
      </c>
      <c r="F55" s="172">
        <f t="shared" si="11"/>
        <v>740107.76904383546</v>
      </c>
      <c r="G55" s="172">
        <f t="shared" si="9"/>
        <v>697235.14904383547</v>
      </c>
    </row>
    <row r="56" spans="1:7" x14ac:dyDescent="0.25">
      <c r="A56" s="36">
        <v>44277</v>
      </c>
      <c r="B56" s="168">
        <f t="shared" si="7"/>
        <v>7</v>
      </c>
      <c r="C56" s="172">
        <f t="shared" si="10"/>
        <v>44292</v>
      </c>
      <c r="D56" s="173">
        <f t="shared" si="8"/>
        <v>42954.84</v>
      </c>
      <c r="E56" s="172">
        <f t="shared" si="12"/>
        <v>1337.16</v>
      </c>
      <c r="F56" s="172">
        <f t="shared" si="11"/>
        <v>697235.14904383547</v>
      </c>
      <c r="G56" s="172">
        <f t="shared" si="9"/>
        <v>654280.3090438355</v>
      </c>
    </row>
    <row r="57" spans="1:7" x14ac:dyDescent="0.25">
      <c r="A57" s="36">
        <v>44284</v>
      </c>
      <c r="B57" s="168">
        <f t="shared" si="7"/>
        <v>7</v>
      </c>
      <c r="C57" s="172">
        <f t="shared" si="10"/>
        <v>44292</v>
      </c>
      <c r="D57" s="173">
        <f t="shared" si="8"/>
        <v>43037.22</v>
      </c>
      <c r="E57" s="172">
        <f t="shared" si="12"/>
        <v>1254.78</v>
      </c>
      <c r="F57" s="172">
        <f t="shared" si="11"/>
        <v>654280.3090438355</v>
      </c>
      <c r="G57" s="172">
        <f t="shared" si="9"/>
        <v>611243.08904383553</v>
      </c>
    </row>
    <row r="58" spans="1:7" x14ac:dyDescent="0.25">
      <c r="A58" s="36">
        <v>44291</v>
      </c>
      <c r="B58" s="168">
        <f t="shared" si="7"/>
        <v>7</v>
      </c>
      <c r="C58" s="172">
        <f t="shared" si="10"/>
        <v>44292</v>
      </c>
      <c r="D58" s="173">
        <f t="shared" si="8"/>
        <v>43119.75</v>
      </c>
      <c r="E58" s="172">
        <f t="shared" si="12"/>
        <v>1172.25</v>
      </c>
      <c r="F58" s="172">
        <f t="shared" si="11"/>
        <v>611243.08904383553</v>
      </c>
      <c r="G58" s="172">
        <f t="shared" si="9"/>
        <v>568123.33904383553</v>
      </c>
    </row>
    <row r="59" spans="1:7" x14ac:dyDescent="0.25">
      <c r="A59" s="36">
        <v>44298</v>
      </c>
      <c r="B59" s="168">
        <f t="shared" si="7"/>
        <v>7</v>
      </c>
      <c r="C59" s="172">
        <f t="shared" si="10"/>
        <v>44292</v>
      </c>
      <c r="D59" s="173">
        <f t="shared" si="8"/>
        <v>43202.45</v>
      </c>
      <c r="E59" s="172">
        <f t="shared" si="12"/>
        <v>1089.55</v>
      </c>
      <c r="F59" s="172">
        <f t="shared" si="11"/>
        <v>568123.33904383553</v>
      </c>
      <c r="G59" s="172">
        <f t="shared" si="9"/>
        <v>524920.88904383557</v>
      </c>
    </row>
    <row r="60" spans="1:7" x14ac:dyDescent="0.25">
      <c r="A60" s="36">
        <v>44305</v>
      </c>
      <c r="B60" s="168">
        <f t="shared" si="7"/>
        <v>7</v>
      </c>
      <c r="C60" s="172">
        <f t="shared" si="10"/>
        <v>44292</v>
      </c>
      <c r="D60" s="173">
        <f t="shared" si="8"/>
        <v>43285.3</v>
      </c>
      <c r="E60" s="172">
        <f t="shared" si="12"/>
        <v>1006.7</v>
      </c>
      <c r="F60" s="172">
        <f t="shared" si="11"/>
        <v>524920.88904383557</v>
      </c>
      <c r="G60" s="172">
        <f t="shared" si="9"/>
        <v>481635.58904383559</v>
      </c>
    </row>
    <row r="61" spans="1:7" x14ac:dyDescent="0.25">
      <c r="A61" s="36">
        <v>44312</v>
      </c>
      <c r="B61" s="168">
        <f t="shared" si="7"/>
        <v>7</v>
      </c>
      <c r="C61" s="172">
        <f t="shared" si="10"/>
        <v>44292</v>
      </c>
      <c r="D61" s="173">
        <f t="shared" si="8"/>
        <v>43368.32</v>
      </c>
      <c r="E61" s="172">
        <f t="shared" si="12"/>
        <v>923.68</v>
      </c>
      <c r="F61" s="172">
        <f t="shared" si="11"/>
        <v>481635.58904383559</v>
      </c>
      <c r="G61" s="172">
        <f t="shared" si="9"/>
        <v>438267.26904383558</v>
      </c>
    </row>
    <row r="62" spans="1:7" x14ac:dyDescent="0.25">
      <c r="A62" s="36">
        <v>44319</v>
      </c>
      <c r="B62" s="168">
        <f t="shared" si="7"/>
        <v>7</v>
      </c>
      <c r="C62" s="172">
        <f t="shared" si="10"/>
        <v>44292</v>
      </c>
      <c r="D62" s="173">
        <f t="shared" si="8"/>
        <v>43451.49</v>
      </c>
      <c r="E62" s="172">
        <f t="shared" si="12"/>
        <v>840.51</v>
      </c>
      <c r="F62" s="172">
        <f t="shared" si="11"/>
        <v>438267.26904383558</v>
      </c>
      <c r="G62" s="172">
        <f t="shared" si="9"/>
        <v>394815.77904383559</v>
      </c>
    </row>
    <row r="63" spans="1:7" x14ac:dyDescent="0.25">
      <c r="A63" s="36">
        <v>44326</v>
      </c>
      <c r="B63" s="168">
        <f t="shared" si="7"/>
        <v>7</v>
      </c>
      <c r="C63" s="172">
        <f t="shared" si="10"/>
        <v>44292</v>
      </c>
      <c r="D63" s="173">
        <f t="shared" si="8"/>
        <v>43534.82</v>
      </c>
      <c r="E63" s="172">
        <f t="shared" si="12"/>
        <v>757.18</v>
      </c>
      <c r="F63" s="172">
        <f t="shared" si="11"/>
        <v>394815.77904383559</v>
      </c>
      <c r="G63" s="172">
        <f t="shared" si="9"/>
        <v>351280.95904383558</v>
      </c>
    </row>
    <row r="64" spans="1:7" x14ac:dyDescent="0.25">
      <c r="A64" s="36">
        <v>44333</v>
      </c>
      <c r="B64" s="168">
        <f t="shared" si="7"/>
        <v>7</v>
      </c>
      <c r="C64" s="172">
        <f t="shared" si="10"/>
        <v>44292</v>
      </c>
      <c r="D64" s="173">
        <f t="shared" si="8"/>
        <v>43618.31</v>
      </c>
      <c r="E64" s="172">
        <f t="shared" si="12"/>
        <v>673.69</v>
      </c>
      <c r="F64" s="172">
        <f t="shared" si="11"/>
        <v>351280.95904383558</v>
      </c>
      <c r="G64" s="172">
        <f t="shared" si="9"/>
        <v>307662.64904383558</v>
      </c>
    </row>
    <row r="65" spans="1:7" x14ac:dyDescent="0.25">
      <c r="A65" s="36">
        <v>44340</v>
      </c>
      <c r="B65" s="168">
        <f t="shared" si="7"/>
        <v>7</v>
      </c>
      <c r="C65" s="172">
        <f t="shared" si="10"/>
        <v>44292</v>
      </c>
      <c r="D65" s="173">
        <f t="shared" si="8"/>
        <v>43701.96</v>
      </c>
      <c r="E65" s="172">
        <f t="shared" si="12"/>
        <v>590.04</v>
      </c>
      <c r="F65" s="172">
        <f t="shared" si="11"/>
        <v>307662.64904383558</v>
      </c>
      <c r="G65" s="172">
        <f t="shared" si="9"/>
        <v>263960.68904383556</v>
      </c>
    </row>
    <row r="66" spans="1:7" x14ac:dyDescent="0.25">
      <c r="A66" s="36">
        <v>44347</v>
      </c>
      <c r="B66" s="168">
        <f t="shared" si="7"/>
        <v>7</v>
      </c>
      <c r="C66" s="172">
        <f t="shared" si="10"/>
        <v>44292</v>
      </c>
      <c r="D66" s="173">
        <f t="shared" si="8"/>
        <v>43785.77</v>
      </c>
      <c r="E66" s="172">
        <f t="shared" si="12"/>
        <v>506.23</v>
      </c>
      <c r="F66" s="172">
        <f t="shared" si="11"/>
        <v>263960.68904383556</v>
      </c>
      <c r="G66" s="172">
        <f t="shared" si="9"/>
        <v>220174.91904383557</v>
      </c>
    </row>
    <row r="67" spans="1:7" x14ac:dyDescent="0.25">
      <c r="A67" s="36">
        <v>44354</v>
      </c>
      <c r="B67" s="168">
        <f t="shared" si="7"/>
        <v>7</v>
      </c>
      <c r="C67" s="172">
        <f t="shared" si="10"/>
        <v>44292</v>
      </c>
      <c r="D67" s="173">
        <f t="shared" si="8"/>
        <v>43869.75</v>
      </c>
      <c r="E67" s="172">
        <f t="shared" si="12"/>
        <v>422.25</v>
      </c>
      <c r="F67" s="172">
        <f t="shared" si="11"/>
        <v>220174.91904383557</v>
      </c>
      <c r="G67" s="172">
        <f t="shared" si="9"/>
        <v>176305.16904383557</v>
      </c>
    </row>
    <row r="68" spans="1:7" x14ac:dyDescent="0.25">
      <c r="A68" s="36">
        <v>44361</v>
      </c>
      <c r="B68" s="168">
        <f t="shared" si="7"/>
        <v>7</v>
      </c>
      <c r="C68" s="172">
        <f t="shared" si="10"/>
        <v>44292</v>
      </c>
      <c r="D68" s="173">
        <f t="shared" si="8"/>
        <v>43953.88</v>
      </c>
      <c r="E68" s="172">
        <f t="shared" si="12"/>
        <v>338.12</v>
      </c>
      <c r="F68" s="172">
        <f t="shared" si="11"/>
        <v>176305.16904383557</v>
      </c>
      <c r="G68" s="172">
        <f t="shared" si="9"/>
        <v>132351.28904383557</v>
      </c>
    </row>
    <row r="69" spans="1:7" x14ac:dyDescent="0.25">
      <c r="A69" s="36">
        <v>44368</v>
      </c>
      <c r="B69" s="168">
        <f t="shared" si="7"/>
        <v>7</v>
      </c>
      <c r="C69" s="172">
        <f t="shared" si="10"/>
        <v>44292</v>
      </c>
      <c r="D69" s="173">
        <f t="shared" si="8"/>
        <v>44038.18</v>
      </c>
      <c r="E69" s="172">
        <f t="shared" si="12"/>
        <v>253.82</v>
      </c>
      <c r="F69" s="172">
        <f t="shared" si="11"/>
        <v>132351.28904383557</v>
      </c>
      <c r="G69" s="172">
        <f t="shared" si="9"/>
        <v>88313.109043835575</v>
      </c>
    </row>
    <row r="70" spans="1:7" x14ac:dyDescent="0.25">
      <c r="A70" s="36">
        <v>44375</v>
      </c>
      <c r="B70" s="168">
        <f t="shared" si="7"/>
        <v>7</v>
      </c>
      <c r="C70" s="172">
        <f t="shared" si="10"/>
        <v>44292</v>
      </c>
      <c r="D70" s="173">
        <f t="shared" si="8"/>
        <v>44122.63</v>
      </c>
      <c r="E70" s="172">
        <f t="shared" si="12"/>
        <v>169.37</v>
      </c>
      <c r="F70" s="172">
        <f t="shared" si="11"/>
        <v>88313.109043835575</v>
      </c>
      <c r="G70" s="172">
        <f t="shared" si="9"/>
        <v>44190.479043835578</v>
      </c>
    </row>
    <row r="71" spans="1:7" x14ac:dyDescent="0.25">
      <c r="A71" s="36">
        <v>44382</v>
      </c>
      <c r="B71" s="168">
        <f t="shared" si="7"/>
        <v>7</v>
      </c>
      <c r="C71" s="172">
        <f t="shared" si="10"/>
        <v>44292</v>
      </c>
      <c r="D71" s="173">
        <f t="shared" si="8"/>
        <v>44190.479043835578</v>
      </c>
      <c r="E71" s="172">
        <v>101.52095616442239</v>
      </c>
      <c r="F71" s="172">
        <f t="shared" si="11"/>
        <v>44190.479043835578</v>
      </c>
      <c r="G71" s="172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8F0B51-1A89-45FB-8824-2C2E39B9D7AF}">
  <dimension ref="A1:J71"/>
  <sheetViews>
    <sheetView zoomScale="86" zoomScaleNormal="80" workbookViewId="0">
      <pane ySplit="3" topLeftCell="A43" activePane="bottomLeft" state="frozen"/>
      <selection activeCell="O1" sqref="O1"/>
      <selection pane="bottomLeft" activeCell="O1" sqref="O1"/>
    </sheetView>
  </sheetViews>
  <sheetFormatPr defaultRowHeight="15" x14ac:dyDescent="0.25"/>
  <cols>
    <col min="1" max="1" width="15.5703125" bestFit="1" customWidth="1"/>
    <col min="2" max="2" width="12.5703125" bestFit="1" customWidth="1"/>
    <col min="3" max="3" width="23.28515625" bestFit="1" customWidth="1"/>
    <col min="4" max="4" width="10.5703125" bestFit="1" customWidth="1"/>
    <col min="5" max="5" width="14.85546875" bestFit="1" customWidth="1"/>
    <col min="6" max="6" width="15.7109375" bestFit="1" customWidth="1"/>
    <col min="7" max="7" width="19.42578125" bestFit="1" customWidth="1"/>
    <col min="8" max="8" width="15.5703125" bestFit="1" customWidth="1"/>
    <col min="9" max="9" width="24.5703125" bestFit="1" customWidth="1"/>
    <col min="10" max="10" width="6" bestFit="1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ROUNDUP(44291.6636063048,0)</f>
        <v>44292</v>
      </c>
      <c r="G1" s="83" t="s">
        <v>52</v>
      </c>
      <c r="H1" s="81">
        <v>44260</v>
      </c>
      <c r="I1" t="s">
        <v>382</v>
      </c>
      <c r="J1">
        <f>DAYS360(A53,H1,TRUE)</f>
        <v>4</v>
      </c>
    </row>
    <row r="2" spans="1:10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0.1</v>
      </c>
      <c r="I2" t="s">
        <v>383</v>
      </c>
      <c r="J2">
        <f>DAYS360(H1,A54,TRUE)</f>
        <v>3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f>C2</f>
        <v>2000000</v>
      </c>
      <c r="G4" s="47">
        <f>F4-D4</f>
        <v>2000000</v>
      </c>
    </row>
    <row r="5" spans="1:10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52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10" x14ac:dyDescent="0.25">
      <c r="A6" s="36">
        <v>44060</v>
      </c>
      <c r="B6" s="46">
        <f t="shared" ref="B6:B52" si="1">DAYS360(A5,A6,TRUE)</f>
        <v>7</v>
      </c>
      <c r="C6" s="47">
        <f t="shared" ref="C6:C53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52" si="5">F6-D6</f>
        <v>1922213.3900000001</v>
      </c>
    </row>
    <row r="7" spans="1:10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10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10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10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10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10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10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10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10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10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70">
        <v>44256</v>
      </c>
      <c r="B53" s="84">
        <f>DAYS360(A33,A34,TRUE)</f>
        <v>9</v>
      </c>
      <c r="C53" s="90">
        <f t="shared" si="2"/>
        <v>44670</v>
      </c>
      <c r="D53" s="91">
        <f t="shared" ref="D53:D71" si="6">C53-E53</f>
        <v>41579.629999999997</v>
      </c>
      <c r="E53" s="90">
        <f>ROUND(F53*$B$2*B53/360,2)</f>
        <v>3090.37</v>
      </c>
      <c r="F53" s="90">
        <f>G33</f>
        <v>824097.39000000048</v>
      </c>
      <c r="G53" s="90">
        <f t="shared" ref="G53:G71" si="7">F53-D53</f>
        <v>782517.76000000047</v>
      </c>
    </row>
    <row r="54" spans="1:7" x14ac:dyDescent="0.25">
      <c r="A54" s="36">
        <v>44263</v>
      </c>
      <c r="B54" s="168">
        <f t="shared" ref="B54:B71" si="8">DAYS360(A53,A54,TRUE)</f>
        <v>7</v>
      </c>
      <c r="C54" s="172">
        <f t="shared" ref="C54:C71" si="9">$F$1</f>
        <v>44292</v>
      </c>
      <c r="D54" s="173">
        <f t="shared" si="6"/>
        <v>42335.705600000001</v>
      </c>
      <c r="E54" s="172">
        <f>(F54*B2*J1/360)+(F54*H2*J2/360)</f>
        <v>1956.2944000000011</v>
      </c>
      <c r="F54" s="172">
        <f t="shared" ref="F54:F71" si="10">G53</f>
        <v>782517.76000000047</v>
      </c>
      <c r="G54" s="172">
        <f t="shared" si="7"/>
        <v>740182.05440000049</v>
      </c>
    </row>
    <row r="55" spans="1:7" x14ac:dyDescent="0.25">
      <c r="A55" s="36">
        <v>44270</v>
      </c>
      <c r="B55" s="168">
        <f t="shared" si="8"/>
        <v>7</v>
      </c>
      <c r="C55" s="172">
        <f t="shared" si="9"/>
        <v>44292</v>
      </c>
      <c r="D55" s="173">
        <f t="shared" si="6"/>
        <v>42852.76</v>
      </c>
      <c r="E55" s="172">
        <f t="shared" ref="E55:E70" si="11">ROUND(F55*$H$2*B55/360,2)</f>
        <v>1439.24</v>
      </c>
      <c r="F55" s="172">
        <f t="shared" si="10"/>
        <v>740182.05440000049</v>
      </c>
      <c r="G55" s="172">
        <f t="shared" si="7"/>
        <v>697329.29440000048</v>
      </c>
    </row>
    <row r="56" spans="1:7" x14ac:dyDescent="0.25">
      <c r="A56" s="36">
        <v>44277</v>
      </c>
      <c r="B56" s="168">
        <f t="shared" si="8"/>
        <v>7</v>
      </c>
      <c r="C56" s="172">
        <f t="shared" si="9"/>
        <v>44292</v>
      </c>
      <c r="D56" s="173">
        <f t="shared" si="6"/>
        <v>42936.08</v>
      </c>
      <c r="E56" s="172">
        <f t="shared" si="11"/>
        <v>1355.92</v>
      </c>
      <c r="F56" s="172">
        <f t="shared" si="10"/>
        <v>697329.29440000048</v>
      </c>
      <c r="G56" s="172">
        <f t="shared" si="7"/>
        <v>654393.21440000052</v>
      </c>
    </row>
    <row r="57" spans="1:7" x14ac:dyDescent="0.25">
      <c r="A57" s="36">
        <v>44284</v>
      </c>
      <c r="B57" s="168">
        <f t="shared" si="8"/>
        <v>7</v>
      </c>
      <c r="C57" s="172">
        <f t="shared" si="9"/>
        <v>44292</v>
      </c>
      <c r="D57" s="173">
        <f t="shared" si="6"/>
        <v>43019.57</v>
      </c>
      <c r="E57" s="172">
        <f t="shared" si="11"/>
        <v>1272.43</v>
      </c>
      <c r="F57" s="172">
        <f t="shared" si="10"/>
        <v>654393.21440000052</v>
      </c>
      <c r="G57" s="172">
        <f t="shared" si="7"/>
        <v>611373.64440000057</v>
      </c>
    </row>
    <row r="58" spans="1:7" x14ac:dyDescent="0.25">
      <c r="A58" s="36">
        <v>44291</v>
      </c>
      <c r="B58" s="168">
        <f t="shared" si="8"/>
        <v>6</v>
      </c>
      <c r="C58" s="172">
        <f t="shared" si="9"/>
        <v>44292</v>
      </c>
      <c r="D58" s="173">
        <f t="shared" si="6"/>
        <v>43273.04</v>
      </c>
      <c r="E58" s="172">
        <f t="shared" si="11"/>
        <v>1018.96</v>
      </c>
      <c r="F58" s="172">
        <f t="shared" si="10"/>
        <v>611373.64440000057</v>
      </c>
      <c r="G58" s="172">
        <f t="shared" si="7"/>
        <v>568100.60440000053</v>
      </c>
    </row>
    <row r="59" spans="1:7" x14ac:dyDescent="0.25">
      <c r="A59" s="36">
        <v>44298</v>
      </c>
      <c r="B59" s="168">
        <f t="shared" si="8"/>
        <v>7</v>
      </c>
      <c r="C59" s="172">
        <f t="shared" si="9"/>
        <v>44292</v>
      </c>
      <c r="D59" s="173">
        <f t="shared" si="6"/>
        <v>43187.360000000001</v>
      </c>
      <c r="E59" s="172">
        <f t="shared" si="11"/>
        <v>1104.6400000000001</v>
      </c>
      <c r="F59" s="172">
        <f t="shared" si="10"/>
        <v>568100.60440000053</v>
      </c>
      <c r="G59" s="172">
        <f t="shared" si="7"/>
        <v>524913.24440000055</v>
      </c>
    </row>
    <row r="60" spans="1:7" x14ac:dyDescent="0.25">
      <c r="A60" s="36">
        <v>44305</v>
      </c>
      <c r="B60" s="168">
        <f t="shared" si="8"/>
        <v>7</v>
      </c>
      <c r="C60" s="172">
        <f t="shared" si="9"/>
        <v>44292</v>
      </c>
      <c r="D60" s="173">
        <f t="shared" si="6"/>
        <v>43271.34</v>
      </c>
      <c r="E60" s="172">
        <f t="shared" si="11"/>
        <v>1020.66</v>
      </c>
      <c r="F60" s="172">
        <f t="shared" si="10"/>
        <v>524913.24440000055</v>
      </c>
      <c r="G60" s="172">
        <f t="shared" si="7"/>
        <v>481641.90440000058</v>
      </c>
    </row>
    <row r="61" spans="1:7" x14ac:dyDescent="0.25">
      <c r="A61" s="36">
        <v>44312</v>
      </c>
      <c r="B61" s="168">
        <f t="shared" si="8"/>
        <v>7</v>
      </c>
      <c r="C61" s="172">
        <f t="shared" si="9"/>
        <v>44292</v>
      </c>
      <c r="D61" s="173">
        <f t="shared" si="6"/>
        <v>43355.47</v>
      </c>
      <c r="E61" s="172">
        <f t="shared" si="11"/>
        <v>936.53</v>
      </c>
      <c r="F61" s="172">
        <f t="shared" si="10"/>
        <v>481641.90440000058</v>
      </c>
      <c r="G61" s="172">
        <f t="shared" si="7"/>
        <v>438286.43440000061</v>
      </c>
    </row>
    <row r="62" spans="1:7" x14ac:dyDescent="0.25">
      <c r="A62" s="36">
        <v>44319</v>
      </c>
      <c r="B62" s="168">
        <f t="shared" si="8"/>
        <v>7</v>
      </c>
      <c r="C62" s="172">
        <f t="shared" si="9"/>
        <v>44292</v>
      </c>
      <c r="D62" s="173">
        <f t="shared" si="6"/>
        <v>43439.78</v>
      </c>
      <c r="E62" s="172">
        <f t="shared" si="11"/>
        <v>852.22</v>
      </c>
      <c r="F62" s="172">
        <f t="shared" si="10"/>
        <v>438286.43440000061</v>
      </c>
      <c r="G62" s="172">
        <f t="shared" si="7"/>
        <v>394846.65440000058</v>
      </c>
    </row>
    <row r="63" spans="1:7" x14ac:dyDescent="0.25">
      <c r="A63" s="36">
        <v>44326</v>
      </c>
      <c r="B63" s="168">
        <f t="shared" si="8"/>
        <v>7</v>
      </c>
      <c r="C63" s="172">
        <f t="shared" si="9"/>
        <v>44292</v>
      </c>
      <c r="D63" s="173">
        <f t="shared" si="6"/>
        <v>43524.24</v>
      </c>
      <c r="E63" s="172">
        <f t="shared" si="11"/>
        <v>767.76</v>
      </c>
      <c r="F63" s="172">
        <f t="shared" si="10"/>
        <v>394846.65440000058</v>
      </c>
      <c r="G63" s="172">
        <f t="shared" si="7"/>
        <v>351322.41440000059</v>
      </c>
    </row>
    <row r="64" spans="1:7" x14ac:dyDescent="0.25">
      <c r="A64" s="36">
        <v>44333</v>
      </c>
      <c r="B64" s="168">
        <f t="shared" si="8"/>
        <v>7</v>
      </c>
      <c r="C64" s="172">
        <f t="shared" si="9"/>
        <v>44292</v>
      </c>
      <c r="D64" s="173">
        <f t="shared" si="6"/>
        <v>43608.87</v>
      </c>
      <c r="E64" s="172">
        <f t="shared" si="11"/>
        <v>683.13</v>
      </c>
      <c r="F64" s="172">
        <f t="shared" si="10"/>
        <v>351322.41440000059</v>
      </c>
      <c r="G64" s="172">
        <f t="shared" si="7"/>
        <v>307713.5444000006</v>
      </c>
    </row>
    <row r="65" spans="1:7" x14ac:dyDescent="0.25">
      <c r="A65" s="36">
        <v>44340</v>
      </c>
      <c r="B65" s="168">
        <f t="shared" si="8"/>
        <v>7</v>
      </c>
      <c r="C65" s="172">
        <f t="shared" si="9"/>
        <v>44292</v>
      </c>
      <c r="D65" s="173">
        <f t="shared" si="6"/>
        <v>43693.67</v>
      </c>
      <c r="E65" s="172">
        <f t="shared" si="11"/>
        <v>598.33000000000004</v>
      </c>
      <c r="F65" s="172">
        <f t="shared" si="10"/>
        <v>307713.5444000006</v>
      </c>
      <c r="G65" s="172">
        <f t="shared" si="7"/>
        <v>264019.87440000061</v>
      </c>
    </row>
    <row r="66" spans="1:7" x14ac:dyDescent="0.25">
      <c r="A66" s="36">
        <v>44347</v>
      </c>
      <c r="B66" s="168">
        <f t="shared" si="8"/>
        <v>6</v>
      </c>
      <c r="C66" s="172">
        <f t="shared" si="9"/>
        <v>44292</v>
      </c>
      <c r="D66" s="173">
        <f t="shared" si="6"/>
        <v>43851.97</v>
      </c>
      <c r="E66" s="172">
        <f t="shared" si="11"/>
        <v>440.03</v>
      </c>
      <c r="F66" s="172">
        <f t="shared" si="10"/>
        <v>264019.87440000061</v>
      </c>
      <c r="G66" s="172">
        <f t="shared" si="7"/>
        <v>220167.90440000061</v>
      </c>
    </row>
    <row r="67" spans="1:7" x14ac:dyDescent="0.25">
      <c r="A67" s="36">
        <v>44354</v>
      </c>
      <c r="B67" s="168">
        <f t="shared" si="8"/>
        <v>7</v>
      </c>
      <c r="C67" s="172">
        <f t="shared" si="9"/>
        <v>44292</v>
      </c>
      <c r="D67" s="173">
        <f t="shared" si="6"/>
        <v>43863.9</v>
      </c>
      <c r="E67" s="172">
        <f t="shared" si="11"/>
        <v>428.1</v>
      </c>
      <c r="F67" s="172">
        <f t="shared" si="10"/>
        <v>220167.90440000061</v>
      </c>
      <c r="G67" s="172">
        <f t="shared" si="7"/>
        <v>176304.00440000062</v>
      </c>
    </row>
    <row r="68" spans="1:7" x14ac:dyDescent="0.25">
      <c r="A68" s="36">
        <v>44361</v>
      </c>
      <c r="B68" s="168">
        <f t="shared" si="8"/>
        <v>7</v>
      </c>
      <c r="C68" s="172">
        <f t="shared" si="9"/>
        <v>44292</v>
      </c>
      <c r="D68" s="173">
        <f t="shared" si="6"/>
        <v>43949.19</v>
      </c>
      <c r="E68" s="172">
        <f t="shared" si="11"/>
        <v>342.81</v>
      </c>
      <c r="F68" s="172">
        <f t="shared" si="10"/>
        <v>176304.00440000062</v>
      </c>
      <c r="G68" s="172">
        <f t="shared" si="7"/>
        <v>132354.81440000061</v>
      </c>
    </row>
    <row r="69" spans="1:7" x14ac:dyDescent="0.25">
      <c r="A69" s="36">
        <v>44368</v>
      </c>
      <c r="B69" s="168">
        <f t="shared" si="8"/>
        <v>7</v>
      </c>
      <c r="C69" s="172">
        <f t="shared" si="9"/>
        <v>44292</v>
      </c>
      <c r="D69" s="173">
        <f t="shared" si="6"/>
        <v>44034.64</v>
      </c>
      <c r="E69" s="172">
        <f t="shared" si="11"/>
        <v>257.36</v>
      </c>
      <c r="F69" s="172">
        <f t="shared" si="10"/>
        <v>132354.81440000061</v>
      </c>
      <c r="G69" s="172">
        <f t="shared" si="7"/>
        <v>88320.174400000615</v>
      </c>
    </row>
    <row r="70" spans="1:7" x14ac:dyDescent="0.25">
      <c r="A70" s="36">
        <v>44375</v>
      </c>
      <c r="B70" s="168">
        <f t="shared" si="8"/>
        <v>7</v>
      </c>
      <c r="C70" s="172">
        <f t="shared" si="9"/>
        <v>44292</v>
      </c>
      <c r="D70" s="173">
        <f t="shared" si="6"/>
        <v>44120.27</v>
      </c>
      <c r="E70" s="172">
        <f t="shared" si="11"/>
        <v>171.73</v>
      </c>
      <c r="F70" s="172">
        <f t="shared" si="10"/>
        <v>88320.174400000615</v>
      </c>
      <c r="G70" s="172">
        <f t="shared" si="7"/>
        <v>44199.904400000618</v>
      </c>
    </row>
    <row r="71" spans="1:7" x14ac:dyDescent="0.25">
      <c r="A71" s="36">
        <v>44382</v>
      </c>
      <c r="B71" s="168">
        <f t="shared" si="8"/>
        <v>7</v>
      </c>
      <c r="C71" s="172">
        <f t="shared" si="9"/>
        <v>44292</v>
      </c>
      <c r="D71" s="173">
        <f t="shared" si="6"/>
        <v>44199.904400000618</v>
      </c>
      <c r="E71" s="172">
        <v>92.095599999379772</v>
      </c>
      <c r="F71" s="172">
        <f t="shared" si="10"/>
        <v>44199.904400000618</v>
      </c>
      <c r="G71" s="172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FD1F1F-B533-4665-AF18-B24B01619A56}">
  <dimension ref="A1:U5"/>
  <sheetViews>
    <sheetView workbookViewId="0">
      <selection activeCell="U4" sqref="U4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20" width="16.85546875" customWidth="1"/>
    <col min="21" max="21" width="109.57031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371</v>
      </c>
      <c r="D2" s="8" t="s">
        <v>71</v>
      </c>
      <c r="E2" s="8" t="s">
        <v>23</v>
      </c>
      <c r="F2" s="8" t="s">
        <v>274</v>
      </c>
      <c r="G2" s="8" t="s">
        <v>42</v>
      </c>
      <c r="H2" s="8" t="s">
        <v>181</v>
      </c>
      <c r="I2" s="8" t="s">
        <v>0</v>
      </c>
      <c r="J2" s="8" t="s">
        <v>42</v>
      </c>
      <c r="K2" s="8" t="s">
        <v>25</v>
      </c>
      <c r="L2" s="8" t="s">
        <v>372</v>
      </c>
      <c r="M2" s="8" t="s">
        <v>27</v>
      </c>
      <c r="N2" s="7" t="s">
        <v>29</v>
      </c>
      <c r="O2" s="7" t="s">
        <v>373</v>
      </c>
      <c r="P2" s="7" t="s">
        <v>104</v>
      </c>
      <c r="Q2" s="7" t="s">
        <v>107</v>
      </c>
      <c r="R2" s="7" t="s">
        <v>373</v>
      </c>
      <c r="S2" s="7" t="s">
        <v>45</v>
      </c>
      <c r="T2" s="7" t="s">
        <v>374</v>
      </c>
      <c r="U2" s="165" t="s">
        <v>389</v>
      </c>
    </row>
    <row r="3" spans="1:21" x14ac:dyDescent="0.25">
      <c r="A3" s="12" t="s">
        <v>0</v>
      </c>
      <c r="B3" s="7" t="s">
        <v>9</v>
      </c>
      <c r="C3" s="7" t="s">
        <v>371</v>
      </c>
      <c r="D3" s="8" t="s">
        <v>71</v>
      </c>
      <c r="E3" s="8" t="s">
        <v>23</v>
      </c>
      <c r="F3" s="8" t="s">
        <v>274</v>
      </c>
      <c r="G3" s="8" t="s">
        <v>42</v>
      </c>
      <c r="H3" s="8" t="s">
        <v>181</v>
      </c>
      <c r="I3" s="8" t="s">
        <v>0</v>
      </c>
      <c r="J3" s="8" t="s">
        <v>42</v>
      </c>
      <c r="K3" s="8" t="s">
        <v>31</v>
      </c>
      <c r="L3" s="8" t="s">
        <v>372</v>
      </c>
      <c r="M3" s="8" t="s">
        <v>27</v>
      </c>
      <c r="N3" s="7" t="s">
        <v>29</v>
      </c>
      <c r="O3" s="7" t="s">
        <v>373</v>
      </c>
      <c r="P3" s="7" t="s">
        <v>104</v>
      </c>
      <c r="Q3" s="7" t="s">
        <v>107</v>
      </c>
      <c r="R3" s="7" t="s">
        <v>373</v>
      </c>
      <c r="S3" s="7" t="s">
        <v>21</v>
      </c>
      <c r="T3" s="7" t="s">
        <v>55</v>
      </c>
      <c r="U3" s="165" t="s">
        <v>388</v>
      </c>
    </row>
    <row r="4" spans="1:21" x14ac:dyDescent="0.25">
      <c r="A4" s="12" t="s">
        <v>0</v>
      </c>
      <c r="B4" s="7" t="s">
        <v>9</v>
      </c>
      <c r="C4" s="7" t="s">
        <v>371</v>
      </c>
      <c r="D4" s="8" t="s">
        <v>71</v>
      </c>
      <c r="E4" s="8" t="s">
        <v>23</v>
      </c>
      <c r="F4" s="8" t="s">
        <v>274</v>
      </c>
      <c r="G4" s="8" t="s">
        <v>42</v>
      </c>
      <c r="H4" s="8" t="s">
        <v>181</v>
      </c>
      <c r="I4" s="8" t="s">
        <v>0</v>
      </c>
      <c r="J4" s="8" t="s">
        <v>42</v>
      </c>
      <c r="K4" s="8" t="s">
        <v>25</v>
      </c>
      <c r="L4" s="8" t="s">
        <v>372</v>
      </c>
      <c r="M4" s="8" t="s">
        <v>27</v>
      </c>
      <c r="N4" s="7" t="s">
        <v>29</v>
      </c>
      <c r="O4" s="7" t="s">
        <v>375</v>
      </c>
      <c r="P4" s="7" t="s">
        <v>104</v>
      </c>
      <c r="Q4" s="7" t="s">
        <v>390</v>
      </c>
      <c r="R4" s="7" t="s">
        <v>391</v>
      </c>
      <c r="S4" s="7" t="s">
        <v>21</v>
      </c>
      <c r="T4" s="7" t="s">
        <v>55</v>
      </c>
      <c r="U4" s="165" t="s">
        <v>387</v>
      </c>
    </row>
    <row r="5" spans="1:21" x14ac:dyDescent="0.25">
      <c r="A5" s="12" t="s">
        <v>0</v>
      </c>
      <c r="B5" s="7" t="s">
        <v>9</v>
      </c>
      <c r="C5" s="7" t="s">
        <v>371</v>
      </c>
      <c r="D5" s="8" t="s">
        <v>71</v>
      </c>
      <c r="E5" s="8" t="s">
        <v>23</v>
      </c>
      <c r="F5" s="8" t="s">
        <v>274</v>
      </c>
      <c r="G5" s="8" t="s">
        <v>42</v>
      </c>
      <c r="H5" s="8" t="s">
        <v>181</v>
      </c>
      <c r="I5" s="8" t="s">
        <v>0</v>
      </c>
      <c r="J5" s="8" t="s">
        <v>42</v>
      </c>
      <c r="K5" s="8" t="s">
        <v>31</v>
      </c>
      <c r="L5" s="8" t="s">
        <v>372</v>
      </c>
      <c r="M5" s="8" t="s">
        <v>27</v>
      </c>
      <c r="N5" s="7" t="s">
        <v>29</v>
      </c>
      <c r="O5" s="7" t="s">
        <v>375</v>
      </c>
      <c r="P5" s="7" t="s">
        <v>104</v>
      </c>
      <c r="Q5" s="7" t="s">
        <v>390</v>
      </c>
      <c r="R5" s="7" t="s">
        <v>391</v>
      </c>
      <c r="S5" s="7" t="s">
        <v>21</v>
      </c>
      <c r="T5" s="7" t="s">
        <v>55</v>
      </c>
      <c r="U5" s="165" t="s">
        <v>386</v>
      </c>
    </row>
  </sheetData>
  <pageMargins left="0.7" right="0.7" top="0.75" bottom="0.75" header="0.3" footer="0.3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A2095E-67A5-4737-A6EE-4C684A72B6EF}">
  <dimension ref="A1:H84"/>
  <sheetViews>
    <sheetView zoomScale="89" zoomScaleNormal="80" workbookViewId="0">
      <pane ySplit="3" topLeftCell="A4" activePane="bottomLeft" state="frozen"/>
      <selection activeCell="O1" sqref="O1"/>
      <selection pane="bottomLeft" activeCell="F1" sqref="F1:F3"/>
    </sheetView>
  </sheetViews>
  <sheetFormatPr defaultRowHeight="15" x14ac:dyDescent="0.25"/>
  <cols>
    <col min="1" max="1" width="15.5703125" bestFit="1" customWidth="1"/>
    <col min="2" max="2" width="13.140625" bestFit="1" customWidth="1"/>
    <col min="3" max="3" width="23.28515625" bestFit="1" customWidth="1"/>
    <col min="4" max="4" width="12.7109375" bestFit="1" customWidth="1"/>
    <col min="5" max="5" width="14.85546875" bestFit="1" customWidth="1"/>
    <col min="6" max="6" width="15.7109375" bestFit="1" customWidth="1"/>
    <col min="7" max="7" width="14.5703125" bestFit="1" customWidth="1"/>
    <col min="8" max="8" width="15.5703125" bestFit="1" customWidth="1"/>
    <col min="9" max="9" width="14.570312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83" t="s">
        <v>106</v>
      </c>
      <c r="F1" s="124" t="s">
        <v>331</v>
      </c>
      <c r="G1" s="132" t="s">
        <v>346</v>
      </c>
      <c r="H1" s="132" t="s">
        <v>344</v>
      </c>
    </row>
    <row r="2" spans="1:8" x14ac:dyDescent="0.25">
      <c r="A2" s="75" t="s">
        <v>34</v>
      </c>
      <c r="B2" s="76">
        <v>0.15</v>
      </c>
      <c r="C2" s="17">
        <f>ROUNDUP(44669.369619267,0)</f>
        <v>44670</v>
      </c>
      <c r="D2" s="125">
        <v>44109</v>
      </c>
      <c r="E2" s="166">
        <f>ROUNDUP(53674.6322580645,0)</f>
        <v>53675</v>
      </c>
      <c r="F2" s="127">
        <v>40</v>
      </c>
      <c r="G2" s="134">
        <v>44109</v>
      </c>
      <c r="H2" s="136">
        <v>56000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>F4-D4</f>
        <v>2000000</v>
      </c>
    </row>
    <row r="5" spans="1:8" x14ac:dyDescent="0.25">
      <c r="A5" s="36">
        <v>44053</v>
      </c>
      <c r="B5" s="46">
        <f>A5-A4</f>
        <v>7</v>
      </c>
      <c r="C5" s="47">
        <f t="shared" ref="C5:C36" si="0">$C$2</f>
        <v>44670</v>
      </c>
      <c r="D5" s="48">
        <f t="shared" ref="D5:D53" si="1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8" x14ac:dyDescent="0.25">
      <c r="A6" s="36">
        <v>44060</v>
      </c>
      <c r="B6" s="46">
        <f t="shared" ref="B6:B46" si="2">A6-A5</f>
        <v>7</v>
      </c>
      <c r="C6" s="47">
        <f t="shared" si="0"/>
        <v>44670</v>
      </c>
      <c r="D6" s="48">
        <f t="shared" si="1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69" si="4">F6-D6</f>
        <v>1922054.89</v>
      </c>
    </row>
    <row r="7" spans="1:8" x14ac:dyDescent="0.25">
      <c r="A7" s="36">
        <v>44067</v>
      </c>
      <c r="B7" s="46">
        <f t="shared" si="2"/>
        <v>7</v>
      </c>
      <c r="C7" s="47">
        <f t="shared" si="0"/>
        <v>44670</v>
      </c>
      <c r="D7" s="48">
        <f t="shared" si="1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8" x14ac:dyDescent="0.25">
      <c r="A8" s="36">
        <v>44074</v>
      </c>
      <c r="B8" s="46">
        <f t="shared" si="2"/>
        <v>7</v>
      </c>
      <c r="C8" s="47">
        <f t="shared" si="0"/>
        <v>44670</v>
      </c>
      <c r="D8" s="48">
        <f t="shared" si="1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8" x14ac:dyDescent="0.25">
      <c r="A9" s="36">
        <v>44081</v>
      </c>
      <c r="B9" s="46">
        <f t="shared" si="2"/>
        <v>7</v>
      </c>
      <c r="C9" s="47">
        <f t="shared" si="0"/>
        <v>44670</v>
      </c>
      <c r="D9" s="48">
        <f t="shared" si="1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8" x14ac:dyDescent="0.25">
      <c r="A10" s="36">
        <v>44088</v>
      </c>
      <c r="B10" s="46">
        <f t="shared" si="2"/>
        <v>7</v>
      </c>
      <c r="C10" s="47">
        <f t="shared" si="0"/>
        <v>44670</v>
      </c>
      <c r="D10" s="48">
        <f t="shared" si="1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8" x14ac:dyDescent="0.25">
      <c r="A11" s="36">
        <v>44095</v>
      </c>
      <c r="B11" s="46">
        <f t="shared" si="2"/>
        <v>7</v>
      </c>
      <c r="C11" s="47">
        <f t="shared" si="0"/>
        <v>44670</v>
      </c>
      <c r="D11" s="48">
        <f t="shared" si="1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8" x14ac:dyDescent="0.25">
      <c r="A12" s="36">
        <v>44102</v>
      </c>
      <c r="B12" s="46">
        <f t="shared" si="2"/>
        <v>7</v>
      </c>
      <c r="C12" s="47">
        <f t="shared" si="0"/>
        <v>44670</v>
      </c>
      <c r="D12" s="48">
        <f t="shared" si="1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8" x14ac:dyDescent="0.25">
      <c r="A13" s="36">
        <v>44109</v>
      </c>
      <c r="B13" s="46">
        <f t="shared" si="2"/>
        <v>7</v>
      </c>
      <c r="C13" s="47">
        <f t="shared" si="0"/>
        <v>44670</v>
      </c>
      <c r="D13" s="48">
        <f t="shared" si="1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8" x14ac:dyDescent="0.25">
      <c r="A14" s="36">
        <v>44116</v>
      </c>
      <c r="B14" s="46">
        <f t="shared" si="2"/>
        <v>7</v>
      </c>
      <c r="C14" s="47">
        <f t="shared" si="0"/>
        <v>44670</v>
      </c>
      <c r="D14" s="48">
        <f t="shared" si="1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8" x14ac:dyDescent="0.25">
      <c r="A15" s="36">
        <v>44123</v>
      </c>
      <c r="B15" s="46">
        <f t="shared" si="2"/>
        <v>7</v>
      </c>
      <c r="C15" s="47">
        <f t="shared" si="0"/>
        <v>44670</v>
      </c>
      <c r="D15" s="48">
        <f t="shared" si="1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8" x14ac:dyDescent="0.25">
      <c r="A16" s="36">
        <v>44130</v>
      </c>
      <c r="B16" s="46">
        <f t="shared" si="2"/>
        <v>7</v>
      </c>
      <c r="C16" s="47">
        <f t="shared" si="0"/>
        <v>44670</v>
      </c>
      <c r="D16" s="48">
        <f t="shared" si="1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2"/>
        <v>7</v>
      </c>
      <c r="C17" s="47">
        <f t="shared" si="0"/>
        <v>44670</v>
      </c>
      <c r="D17" s="48">
        <f t="shared" si="1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2"/>
        <v>7</v>
      </c>
      <c r="C18" s="47">
        <f t="shared" si="0"/>
        <v>44670</v>
      </c>
      <c r="D18" s="48">
        <f t="shared" si="1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2"/>
        <v>7</v>
      </c>
      <c r="C19" s="47">
        <f t="shared" si="0"/>
        <v>44670</v>
      </c>
      <c r="D19" s="48">
        <f t="shared" si="1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2"/>
        <v>7</v>
      </c>
      <c r="C20" s="47">
        <f t="shared" si="0"/>
        <v>44670</v>
      </c>
      <c r="D20" s="48">
        <f t="shared" si="1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2"/>
        <v>7</v>
      </c>
      <c r="C21" s="47">
        <f t="shared" si="0"/>
        <v>44670</v>
      </c>
      <c r="D21" s="48">
        <f t="shared" si="1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2"/>
        <v>7</v>
      </c>
      <c r="C22" s="47">
        <f t="shared" si="0"/>
        <v>44670</v>
      </c>
      <c r="D22" s="48">
        <f t="shared" si="1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2"/>
        <v>7</v>
      </c>
      <c r="C23" s="47">
        <f t="shared" si="0"/>
        <v>44670</v>
      </c>
      <c r="D23" s="48">
        <f t="shared" si="1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2"/>
        <v>7</v>
      </c>
      <c r="C24" s="47">
        <f t="shared" si="0"/>
        <v>44670</v>
      </c>
      <c r="D24" s="48">
        <f t="shared" si="1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2"/>
        <v>7</v>
      </c>
      <c r="C25" s="47">
        <f t="shared" si="0"/>
        <v>44670</v>
      </c>
      <c r="D25" s="48">
        <f t="shared" si="1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2"/>
        <v>7</v>
      </c>
      <c r="C26" s="47">
        <f t="shared" si="0"/>
        <v>44670</v>
      </c>
      <c r="D26" s="48">
        <f t="shared" si="1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2"/>
        <v>7</v>
      </c>
      <c r="C27" s="47">
        <f t="shared" si="0"/>
        <v>44670</v>
      </c>
      <c r="D27" s="48">
        <f t="shared" si="1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2"/>
        <v>7</v>
      </c>
      <c r="C28" s="47">
        <f t="shared" si="0"/>
        <v>44670</v>
      </c>
      <c r="D28" s="48">
        <f t="shared" si="1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2"/>
        <v>7</v>
      </c>
      <c r="C29" s="47">
        <f t="shared" si="0"/>
        <v>44670</v>
      </c>
      <c r="D29" s="48">
        <f t="shared" si="1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2"/>
        <v>7</v>
      </c>
      <c r="C30" s="47">
        <f t="shared" si="0"/>
        <v>44670</v>
      </c>
      <c r="D30" s="48">
        <f t="shared" si="1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2"/>
        <v>7</v>
      </c>
      <c r="C31" s="47">
        <f t="shared" si="0"/>
        <v>44670</v>
      </c>
      <c r="D31" s="48">
        <f t="shared" si="1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2"/>
        <v>7</v>
      </c>
      <c r="C32" s="47">
        <f t="shared" si="0"/>
        <v>44670</v>
      </c>
      <c r="D32" s="48">
        <f t="shared" si="1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2"/>
        <v>7</v>
      </c>
      <c r="C33" s="47">
        <f t="shared" si="0"/>
        <v>44670</v>
      </c>
      <c r="D33" s="48">
        <f t="shared" si="1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2"/>
        <v>7</v>
      </c>
      <c r="C34" s="47">
        <f t="shared" si="0"/>
        <v>44670</v>
      </c>
      <c r="D34" s="48">
        <f t="shared" si="1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2"/>
        <v>7</v>
      </c>
      <c r="C35" s="47">
        <f t="shared" si="0"/>
        <v>44670</v>
      </c>
      <c r="D35" s="48">
        <f t="shared" si="1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2"/>
        <v>7</v>
      </c>
      <c r="C36" s="47">
        <f t="shared" si="0"/>
        <v>44670</v>
      </c>
      <c r="D36" s="48">
        <f t="shared" si="1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2"/>
        <v>7</v>
      </c>
      <c r="C37" s="47">
        <f t="shared" ref="C37:C53" si="6">$C$2</f>
        <v>44670</v>
      </c>
      <c r="D37" s="48">
        <f t="shared" si="1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2"/>
        <v>7</v>
      </c>
      <c r="C38" s="47">
        <f t="shared" si="6"/>
        <v>44670</v>
      </c>
      <c r="D38" s="48">
        <f t="shared" si="1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2"/>
        <v>7</v>
      </c>
      <c r="C39" s="47">
        <f t="shared" si="6"/>
        <v>44670</v>
      </c>
      <c r="D39" s="48">
        <f t="shared" si="1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2"/>
        <v>7</v>
      </c>
      <c r="C40" s="47">
        <f t="shared" si="6"/>
        <v>44670</v>
      </c>
      <c r="D40" s="48">
        <f t="shared" si="1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2"/>
        <v>7</v>
      </c>
      <c r="C41" s="47">
        <f t="shared" si="6"/>
        <v>44670</v>
      </c>
      <c r="D41" s="48">
        <f t="shared" si="1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2"/>
        <v>7</v>
      </c>
      <c r="C42" s="47">
        <f t="shared" si="6"/>
        <v>44670</v>
      </c>
      <c r="D42" s="48">
        <f t="shared" si="1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2"/>
        <v>7</v>
      </c>
      <c r="C43" s="47">
        <f t="shared" si="6"/>
        <v>44670</v>
      </c>
      <c r="D43" s="48">
        <f t="shared" si="1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2"/>
        <v>7</v>
      </c>
      <c r="C44" s="47">
        <f t="shared" si="6"/>
        <v>44670</v>
      </c>
      <c r="D44" s="48">
        <f t="shared" si="1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2"/>
        <v>7</v>
      </c>
      <c r="C45" s="47">
        <f t="shared" si="6"/>
        <v>44670</v>
      </c>
      <c r="D45" s="48">
        <f t="shared" si="1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2"/>
        <v>7</v>
      </c>
      <c r="C46" s="47">
        <f t="shared" si="6"/>
        <v>44670</v>
      </c>
      <c r="D46" s="48">
        <f t="shared" si="1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7">B5</f>
        <v>7</v>
      </c>
      <c r="C47" s="47">
        <f t="shared" si="6"/>
        <v>44670</v>
      </c>
      <c r="D47" s="48">
        <f t="shared" si="1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84" si="8">A48-A47</f>
        <v>7</v>
      </c>
      <c r="C48" s="47">
        <f t="shared" si="6"/>
        <v>44670</v>
      </c>
      <c r="D48" s="48">
        <f t="shared" si="1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8"/>
        <v>7</v>
      </c>
      <c r="C49" s="47">
        <f t="shared" si="6"/>
        <v>44670</v>
      </c>
      <c r="D49" s="48">
        <f t="shared" si="1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8"/>
        <v>7</v>
      </c>
      <c r="C50" s="47">
        <f t="shared" si="6"/>
        <v>44670</v>
      </c>
      <c r="D50" s="48">
        <f t="shared" si="1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8"/>
        <v>7</v>
      </c>
      <c r="C51" s="47">
        <f t="shared" si="6"/>
        <v>44670</v>
      </c>
      <c r="D51" s="48">
        <f t="shared" si="1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8"/>
        <v>7</v>
      </c>
      <c r="C52" s="47">
        <f t="shared" si="6"/>
        <v>44670</v>
      </c>
      <c r="D52" s="48">
        <f t="shared" si="1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70">
        <v>44109</v>
      </c>
      <c r="B53" s="84">
        <f t="shared" ref="B53:B56" si="9">B13</f>
        <v>7</v>
      </c>
      <c r="C53" s="90">
        <f t="shared" si="6"/>
        <v>44670</v>
      </c>
      <c r="D53" s="91">
        <f t="shared" si="1"/>
        <v>39821.26</v>
      </c>
      <c r="E53" s="90">
        <f>ROUND(F53*$B$2*B53/365,2)</f>
        <v>4848.74</v>
      </c>
      <c r="F53" s="90">
        <f>F13</f>
        <v>1685514.64</v>
      </c>
      <c r="G53" s="90">
        <f t="shared" si="4"/>
        <v>1645693.38</v>
      </c>
    </row>
    <row r="54" spans="1:7" x14ac:dyDescent="0.25">
      <c r="A54" s="36">
        <v>44116</v>
      </c>
      <c r="B54" s="168">
        <f t="shared" si="9"/>
        <v>7</v>
      </c>
      <c r="C54" s="68">
        <f t="shared" ref="C54:C84" si="10">$E$2</f>
        <v>53675</v>
      </c>
      <c r="D54" s="92">
        <f t="shared" ref="D54:D84" si="11">C54-E54</f>
        <v>49101.91</v>
      </c>
      <c r="E54" s="68">
        <f t="shared" ref="E54:E83" si="12">ROUND(F54*$B$2*B54/365,2)</f>
        <v>4573.09</v>
      </c>
      <c r="F54" s="68">
        <f>G53-H2</f>
        <v>1589693.38</v>
      </c>
      <c r="G54" s="68">
        <f t="shared" si="4"/>
        <v>1540591.47</v>
      </c>
    </row>
    <row r="55" spans="1:7" x14ac:dyDescent="0.25">
      <c r="A55" s="36">
        <v>44123</v>
      </c>
      <c r="B55" s="168">
        <f t="shared" si="9"/>
        <v>7</v>
      </c>
      <c r="C55" s="68">
        <f t="shared" si="10"/>
        <v>53675</v>
      </c>
      <c r="D55" s="92">
        <f t="shared" si="11"/>
        <v>49243.16</v>
      </c>
      <c r="E55" s="68">
        <f t="shared" si="12"/>
        <v>4431.84</v>
      </c>
      <c r="F55" s="172">
        <f>G54</f>
        <v>1540591.47</v>
      </c>
      <c r="G55" s="68">
        <f t="shared" si="4"/>
        <v>1491348.31</v>
      </c>
    </row>
    <row r="56" spans="1:7" x14ac:dyDescent="0.25">
      <c r="A56" s="36">
        <v>44130</v>
      </c>
      <c r="B56" s="168">
        <f t="shared" si="9"/>
        <v>7</v>
      </c>
      <c r="C56" s="68">
        <f t="shared" si="10"/>
        <v>53675</v>
      </c>
      <c r="D56" s="92">
        <f t="shared" si="11"/>
        <v>49384.82</v>
      </c>
      <c r="E56" s="68">
        <f t="shared" si="12"/>
        <v>4290.18</v>
      </c>
      <c r="F56" s="172">
        <f t="shared" ref="F56:F84" si="13">G55</f>
        <v>1491348.31</v>
      </c>
      <c r="G56" s="68">
        <f t="shared" si="4"/>
        <v>1441963.49</v>
      </c>
    </row>
    <row r="57" spans="1:7" x14ac:dyDescent="0.25">
      <c r="A57" s="54">
        <v>44137</v>
      </c>
      <c r="B57" s="85">
        <f>A57-A56</f>
        <v>7</v>
      </c>
      <c r="C57" s="68">
        <f t="shared" si="10"/>
        <v>53675</v>
      </c>
      <c r="D57" s="92">
        <f t="shared" si="11"/>
        <v>49526.89</v>
      </c>
      <c r="E57" s="68">
        <f t="shared" si="12"/>
        <v>4148.1099999999997</v>
      </c>
      <c r="F57" s="172">
        <f t="shared" si="13"/>
        <v>1441963.49</v>
      </c>
      <c r="G57" s="68">
        <f t="shared" si="4"/>
        <v>1392436.6</v>
      </c>
    </row>
    <row r="58" spans="1:7" x14ac:dyDescent="0.25">
      <c r="A58" s="36">
        <v>44144</v>
      </c>
      <c r="B58" s="168">
        <f t="shared" si="8"/>
        <v>7</v>
      </c>
      <c r="C58" s="68">
        <f t="shared" si="10"/>
        <v>53675</v>
      </c>
      <c r="D58" s="92">
        <f t="shared" si="11"/>
        <v>49669.36</v>
      </c>
      <c r="E58" s="68">
        <f t="shared" si="12"/>
        <v>4005.64</v>
      </c>
      <c r="F58" s="172">
        <f t="shared" si="13"/>
        <v>1392436.6</v>
      </c>
      <c r="G58" s="68">
        <f t="shared" si="4"/>
        <v>1342767.24</v>
      </c>
    </row>
    <row r="59" spans="1:7" x14ac:dyDescent="0.25">
      <c r="A59" s="36">
        <v>44151</v>
      </c>
      <c r="B59" s="168">
        <f t="shared" si="8"/>
        <v>7</v>
      </c>
      <c r="C59" s="68">
        <f t="shared" si="10"/>
        <v>53675</v>
      </c>
      <c r="D59" s="92">
        <f t="shared" si="11"/>
        <v>49812.24</v>
      </c>
      <c r="E59" s="68">
        <f t="shared" si="12"/>
        <v>3862.76</v>
      </c>
      <c r="F59" s="172">
        <f t="shared" si="13"/>
        <v>1342767.24</v>
      </c>
      <c r="G59" s="68">
        <f t="shared" si="4"/>
        <v>1292955</v>
      </c>
    </row>
    <row r="60" spans="1:7" x14ac:dyDescent="0.25">
      <c r="A60" s="36">
        <v>44158</v>
      </c>
      <c r="B60" s="168">
        <f t="shared" si="8"/>
        <v>7</v>
      </c>
      <c r="C60" s="68">
        <f t="shared" si="10"/>
        <v>53675</v>
      </c>
      <c r="D60" s="92">
        <f t="shared" si="11"/>
        <v>49955.54</v>
      </c>
      <c r="E60" s="68">
        <f t="shared" si="12"/>
        <v>3719.46</v>
      </c>
      <c r="F60" s="172">
        <f t="shared" si="13"/>
        <v>1292955</v>
      </c>
      <c r="G60" s="68">
        <f t="shared" si="4"/>
        <v>1242999.46</v>
      </c>
    </row>
    <row r="61" spans="1:7" x14ac:dyDescent="0.25">
      <c r="A61" s="36">
        <v>44165</v>
      </c>
      <c r="B61" s="168">
        <f t="shared" si="8"/>
        <v>7</v>
      </c>
      <c r="C61" s="68">
        <f t="shared" si="10"/>
        <v>53675</v>
      </c>
      <c r="D61" s="92">
        <f t="shared" si="11"/>
        <v>50099.25</v>
      </c>
      <c r="E61" s="68">
        <f t="shared" si="12"/>
        <v>3575.75</v>
      </c>
      <c r="F61" s="172">
        <f t="shared" si="13"/>
        <v>1242999.46</v>
      </c>
      <c r="G61" s="68">
        <f t="shared" si="4"/>
        <v>1192900.21</v>
      </c>
    </row>
    <row r="62" spans="1:7" x14ac:dyDescent="0.25">
      <c r="A62" s="36">
        <v>44172</v>
      </c>
      <c r="B62" s="168">
        <f t="shared" si="8"/>
        <v>7</v>
      </c>
      <c r="C62" s="68">
        <f t="shared" si="10"/>
        <v>53675</v>
      </c>
      <c r="D62" s="92">
        <f t="shared" si="11"/>
        <v>50243.37</v>
      </c>
      <c r="E62" s="68">
        <f t="shared" si="12"/>
        <v>3431.63</v>
      </c>
      <c r="F62" s="172">
        <f t="shared" si="13"/>
        <v>1192900.21</v>
      </c>
      <c r="G62" s="68">
        <f t="shared" si="4"/>
        <v>1142656.8399999999</v>
      </c>
    </row>
    <row r="63" spans="1:7" x14ac:dyDescent="0.25">
      <c r="A63" s="36">
        <v>44179</v>
      </c>
      <c r="B63" s="168">
        <f t="shared" si="8"/>
        <v>7</v>
      </c>
      <c r="C63" s="68">
        <f t="shared" si="10"/>
        <v>53675</v>
      </c>
      <c r="D63" s="92">
        <f t="shared" si="11"/>
        <v>50387.9</v>
      </c>
      <c r="E63" s="68">
        <f t="shared" si="12"/>
        <v>3287.1</v>
      </c>
      <c r="F63" s="172">
        <f t="shared" si="13"/>
        <v>1142656.8399999999</v>
      </c>
      <c r="G63" s="68">
        <f t="shared" si="4"/>
        <v>1092268.94</v>
      </c>
    </row>
    <row r="64" spans="1:7" x14ac:dyDescent="0.25">
      <c r="A64" s="36">
        <v>44186</v>
      </c>
      <c r="B64" s="168">
        <f t="shared" si="8"/>
        <v>7</v>
      </c>
      <c r="C64" s="68">
        <f t="shared" si="10"/>
        <v>53675</v>
      </c>
      <c r="D64" s="92">
        <f t="shared" si="11"/>
        <v>50532.86</v>
      </c>
      <c r="E64" s="68">
        <f t="shared" si="12"/>
        <v>3142.14</v>
      </c>
      <c r="F64" s="172">
        <f t="shared" si="13"/>
        <v>1092268.94</v>
      </c>
      <c r="G64" s="68">
        <f t="shared" si="4"/>
        <v>1041736.08</v>
      </c>
    </row>
    <row r="65" spans="1:7" x14ac:dyDescent="0.25">
      <c r="A65" s="36">
        <v>44193</v>
      </c>
      <c r="B65" s="168">
        <f t="shared" si="8"/>
        <v>7</v>
      </c>
      <c r="C65" s="68">
        <f t="shared" si="10"/>
        <v>53675</v>
      </c>
      <c r="D65" s="92">
        <f t="shared" si="11"/>
        <v>50678.22</v>
      </c>
      <c r="E65" s="68">
        <f t="shared" si="12"/>
        <v>2996.78</v>
      </c>
      <c r="F65" s="172">
        <f t="shared" si="13"/>
        <v>1041736.08</v>
      </c>
      <c r="G65" s="68">
        <f t="shared" si="4"/>
        <v>991057.86</v>
      </c>
    </row>
    <row r="66" spans="1:7" x14ac:dyDescent="0.25">
      <c r="A66" s="36">
        <v>44200</v>
      </c>
      <c r="B66" s="168">
        <f t="shared" si="8"/>
        <v>7</v>
      </c>
      <c r="C66" s="68">
        <f t="shared" si="10"/>
        <v>53675</v>
      </c>
      <c r="D66" s="92">
        <f t="shared" si="11"/>
        <v>50824.01</v>
      </c>
      <c r="E66" s="68">
        <f t="shared" si="12"/>
        <v>2850.99</v>
      </c>
      <c r="F66" s="172">
        <f t="shared" si="13"/>
        <v>991057.86</v>
      </c>
      <c r="G66" s="68">
        <f t="shared" si="4"/>
        <v>940233.85</v>
      </c>
    </row>
    <row r="67" spans="1:7" x14ac:dyDescent="0.25">
      <c r="A67" s="36">
        <v>44207</v>
      </c>
      <c r="B67" s="168">
        <f t="shared" si="8"/>
        <v>7</v>
      </c>
      <c r="C67" s="68">
        <f t="shared" si="10"/>
        <v>53675</v>
      </c>
      <c r="D67" s="92">
        <f t="shared" si="11"/>
        <v>50970.22</v>
      </c>
      <c r="E67" s="68">
        <f t="shared" si="12"/>
        <v>2704.78</v>
      </c>
      <c r="F67" s="172">
        <f t="shared" si="13"/>
        <v>940233.85</v>
      </c>
      <c r="G67" s="68">
        <f t="shared" si="4"/>
        <v>889263.63</v>
      </c>
    </row>
    <row r="68" spans="1:7" x14ac:dyDescent="0.25">
      <c r="A68" s="36">
        <v>44214</v>
      </c>
      <c r="B68" s="168">
        <f t="shared" si="8"/>
        <v>7</v>
      </c>
      <c r="C68" s="68">
        <f t="shared" si="10"/>
        <v>53675</v>
      </c>
      <c r="D68" s="92">
        <f t="shared" si="11"/>
        <v>51116.84</v>
      </c>
      <c r="E68" s="68">
        <f t="shared" si="12"/>
        <v>2558.16</v>
      </c>
      <c r="F68" s="172">
        <f t="shared" si="13"/>
        <v>889263.63</v>
      </c>
      <c r="G68" s="68">
        <f t="shared" si="4"/>
        <v>838146.79</v>
      </c>
    </row>
    <row r="69" spans="1:7" x14ac:dyDescent="0.25">
      <c r="A69" s="36">
        <v>44221</v>
      </c>
      <c r="B69" s="168">
        <f t="shared" si="8"/>
        <v>7</v>
      </c>
      <c r="C69" s="68">
        <f t="shared" si="10"/>
        <v>53675</v>
      </c>
      <c r="D69" s="92">
        <f t="shared" si="11"/>
        <v>51263.89</v>
      </c>
      <c r="E69" s="68">
        <f t="shared" si="12"/>
        <v>2411.11</v>
      </c>
      <c r="F69" s="172">
        <f t="shared" si="13"/>
        <v>838146.79</v>
      </c>
      <c r="G69" s="68">
        <f t="shared" si="4"/>
        <v>786882.9</v>
      </c>
    </row>
    <row r="70" spans="1:7" x14ac:dyDescent="0.25">
      <c r="A70" s="36">
        <v>44228</v>
      </c>
      <c r="B70" s="168">
        <f t="shared" si="8"/>
        <v>7</v>
      </c>
      <c r="C70" s="68">
        <f t="shared" si="10"/>
        <v>53675</v>
      </c>
      <c r="D70" s="92">
        <f t="shared" si="11"/>
        <v>51411.360000000001</v>
      </c>
      <c r="E70" s="68">
        <f t="shared" si="12"/>
        <v>2263.64</v>
      </c>
      <c r="F70" s="172">
        <f t="shared" si="13"/>
        <v>786882.9</v>
      </c>
      <c r="G70" s="68">
        <f t="shared" ref="G70:G84" si="14">F70-D70</f>
        <v>735471.54</v>
      </c>
    </row>
    <row r="71" spans="1:7" x14ac:dyDescent="0.25">
      <c r="A71" s="36">
        <v>44235</v>
      </c>
      <c r="B71" s="168">
        <f t="shared" si="8"/>
        <v>7</v>
      </c>
      <c r="C71" s="68">
        <f t="shared" si="10"/>
        <v>53675</v>
      </c>
      <c r="D71" s="92">
        <f t="shared" si="11"/>
        <v>51559.26</v>
      </c>
      <c r="E71" s="68">
        <f t="shared" si="12"/>
        <v>2115.7399999999998</v>
      </c>
      <c r="F71" s="172">
        <f t="shared" si="13"/>
        <v>735471.54</v>
      </c>
      <c r="G71" s="68">
        <f t="shared" si="14"/>
        <v>683912.28</v>
      </c>
    </row>
    <row r="72" spans="1:7" x14ac:dyDescent="0.25">
      <c r="A72" s="36">
        <v>44242</v>
      </c>
      <c r="B72" s="168">
        <f t="shared" si="8"/>
        <v>7</v>
      </c>
      <c r="C72" s="68">
        <f t="shared" si="10"/>
        <v>53675</v>
      </c>
      <c r="D72" s="92">
        <f t="shared" si="11"/>
        <v>51707.58</v>
      </c>
      <c r="E72" s="68">
        <f t="shared" si="12"/>
        <v>1967.42</v>
      </c>
      <c r="F72" s="172">
        <f t="shared" si="13"/>
        <v>683912.28</v>
      </c>
      <c r="G72" s="68">
        <f t="shared" si="14"/>
        <v>632204.70000000007</v>
      </c>
    </row>
    <row r="73" spans="1:7" x14ac:dyDescent="0.25">
      <c r="A73" s="36">
        <v>44249</v>
      </c>
      <c r="B73" s="168">
        <f t="shared" si="8"/>
        <v>7</v>
      </c>
      <c r="C73" s="68">
        <f t="shared" si="10"/>
        <v>53675</v>
      </c>
      <c r="D73" s="92">
        <f t="shared" si="11"/>
        <v>51856.33</v>
      </c>
      <c r="E73" s="68">
        <f t="shared" si="12"/>
        <v>1818.67</v>
      </c>
      <c r="F73" s="172">
        <f t="shared" si="13"/>
        <v>632204.70000000007</v>
      </c>
      <c r="G73" s="68">
        <f t="shared" si="14"/>
        <v>580348.37000000011</v>
      </c>
    </row>
    <row r="74" spans="1:7" x14ac:dyDescent="0.25">
      <c r="A74" s="36">
        <v>44256</v>
      </c>
      <c r="B74" s="168">
        <f t="shared" si="8"/>
        <v>7</v>
      </c>
      <c r="C74" s="68">
        <f t="shared" si="10"/>
        <v>53675</v>
      </c>
      <c r="D74" s="92">
        <f t="shared" si="11"/>
        <v>52005.5</v>
      </c>
      <c r="E74" s="68">
        <f t="shared" si="12"/>
        <v>1669.5</v>
      </c>
      <c r="F74" s="172">
        <f t="shared" si="13"/>
        <v>580348.37000000011</v>
      </c>
      <c r="G74" s="68">
        <f t="shared" si="14"/>
        <v>528342.87000000011</v>
      </c>
    </row>
    <row r="75" spans="1:7" x14ac:dyDescent="0.25">
      <c r="A75" s="36">
        <v>44263</v>
      </c>
      <c r="B75" s="168">
        <f t="shared" si="8"/>
        <v>7</v>
      </c>
      <c r="C75" s="68">
        <f t="shared" si="10"/>
        <v>53675</v>
      </c>
      <c r="D75" s="92">
        <f t="shared" si="11"/>
        <v>52155.11</v>
      </c>
      <c r="E75" s="68">
        <f t="shared" si="12"/>
        <v>1519.89</v>
      </c>
      <c r="F75" s="172">
        <f t="shared" si="13"/>
        <v>528342.87000000011</v>
      </c>
      <c r="G75" s="68">
        <f t="shared" si="14"/>
        <v>476187.76000000013</v>
      </c>
    </row>
    <row r="76" spans="1:7" x14ac:dyDescent="0.25">
      <c r="A76" s="36">
        <v>44270</v>
      </c>
      <c r="B76" s="168">
        <f t="shared" si="8"/>
        <v>7</v>
      </c>
      <c r="C76" s="68">
        <f t="shared" si="10"/>
        <v>53675</v>
      </c>
      <c r="D76" s="92">
        <f t="shared" si="11"/>
        <v>52305.14</v>
      </c>
      <c r="E76" s="68">
        <f t="shared" si="12"/>
        <v>1369.86</v>
      </c>
      <c r="F76" s="172">
        <f t="shared" si="13"/>
        <v>476187.76000000013</v>
      </c>
      <c r="G76" s="68">
        <f t="shared" si="14"/>
        <v>423882.62000000011</v>
      </c>
    </row>
    <row r="77" spans="1:7" x14ac:dyDescent="0.25">
      <c r="A77" s="36">
        <v>44277</v>
      </c>
      <c r="B77" s="168">
        <f t="shared" si="8"/>
        <v>7</v>
      </c>
      <c r="C77" s="68">
        <f t="shared" si="10"/>
        <v>53675</v>
      </c>
      <c r="D77" s="92">
        <f t="shared" si="11"/>
        <v>52455.61</v>
      </c>
      <c r="E77" s="68">
        <f t="shared" si="12"/>
        <v>1219.3900000000001</v>
      </c>
      <c r="F77" s="172">
        <f t="shared" si="13"/>
        <v>423882.62000000011</v>
      </c>
      <c r="G77" s="68">
        <f t="shared" si="14"/>
        <v>371427.01000000013</v>
      </c>
    </row>
    <row r="78" spans="1:7" x14ac:dyDescent="0.25">
      <c r="A78" s="36">
        <v>44284</v>
      </c>
      <c r="B78" s="168">
        <f t="shared" si="8"/>
        <v>7</v>
      </c>
      <c r="C78" s="68">
        <f t="shared" si="10"/>
        <v>53675</v>
      </c>
      <c r="D78" s="92">
        <f t="shared" si="11"/>
        <v>52606.51</v>
      </c>
      <c r="E78" s="68">
        <f t="shared" si="12"/>
        <v>1068.49</v>
      </c>
      <c r="F78" s="172">
        <f t="shared" si="13"/>
        <v>371427.01000000013</v>
      </c>
      <c r="G78" s="68">
        <f t="shared" si="14"/>
        <v>318820.50000000012</v>
      </c>
    </row>
    <row r="79" spans="1:7" x14ac:dyDescent="0.25">
      <c r="A79" s="36">
        <v>44291</v>
      </c>
      <c r="B79" s="168">
        <f t="shared" si="8"/>
        <v>7</v>
      </c>
      <c r="C79" s="68">
        <f t="shared" si="10"/>
        <v>53675</v>
      </c>
      <c r="D79" s="92">
        <f t="shared" si="11"/>
        <v>52757.85</v>
      </c>
      <c r="E79" s="68">
        <f t="shared" si="12"/>
        <v>917.15</v>
      </c>
      <c r="F79" s="172">
        <f t="shared" si="13"/>
        <v>318820.50000000012</v>
      </c>
      <c r="G79" s="68">
        <f t="shared" si="14"/>
        <v>266062.65000000014</v>
      </c>
    </row>
    <row r="80" spans="1:7" x14ac:dyDescent="0.25">
      <c r="A80" s="36">
        <v>44298</v>
      </c>
      <c r="B80" s="168">
        <f t="shared" si="8"/>
        <v>7</v>
      </c>
      <c r="C80" s="68">
        <f t="shared" si="10"/>
        <v>53675</v>
      </c>
      <c r="D80" s="92">
        <f t="shared" si="11"/>
        <v>52909.61</v>
      </c>
      <c r="E80" s="68">
        <f t="shared" si="12"/>
        <v>765.39</v>
      </c>
      <c r="F80" s="172">
        <f t="shared" si="13"/>
        <v>266062.65000000014</v>
      </c>
      <c r="G80" s="68">
        <f t="shared" si="14"/>
        <v>213153.04000000015</v>
      </c>
    </row>
    <row r="81" spans="1:7" x14ac:dyDescent="0.25">
      <c r="A81" s="36">
        <v>44305</v>
      </c>
      <c r="B81" s="168">
        <f t="shared" si="8"/>
        <v>7</v>
      </c>
      <c r="C81" s="68">
        <f t="shared" si="10"/>
        <v>53675</v>
      </c>
      <c r="D81" s="92">
        <f t="shared" si="11"/>
        <v>53061.82</v>
      </c>
      <c r="E81" s="68">
        <f t="shared" si="12"/>
        <v>613.17999999999995</v>
      </c>
      <c r="F81" s="172">
        <f t="shared" si="13"/>
        <v>213153.04000000015</v>
      </c>
      <c r="G81" s="68">
        <f t="shared" si="14"/>
        <v>160091.22000000015</v>
      </c>
    </row>
    <row r="82" spans="1:7" x14ac:dyDescent="0.25">
      <c r="A82" s="36">
        <v>44312</v>
      </c>
      <c r="B82" s="168">
        <f t="shared" si="8"/>
        <v>7</v>
      </c>
      <c r="C82" s="68">
        <f t="shared" si="10"/>
        <v>53675</v>
      </c>
      <c r="D82" s="92">
        <f t="shared" si="11"/>
        <v>53214.46</v>
      </c>
      <c r="E82" s="68">
        <f t="shared" si="12"/>
        <v>460.54</v>
      </c>
      <c r="F82" s="172">
        <f t="shared" si="13"/>
        <v>160091.22000000015</v>
      </c>
      <c r="G82" s="68">
        <f t="shared" si="14"/>
        <v>106876.76000000015</v>
      </c>
    </row>
    <row r="83" spans="1:7" x14ac:dyDescent="0.25">
      <c r="A83" s="36">
        <v>44319</v>
      </c>
      <c r="B83" s="168">
        <f t="shared" si="8"/>
        <v>7</v>
      </c>
      <c r="C83" s="68">
        <f t="shared" si="10"/>
        <v>53675</v>
      </c>
      <c r="D83" s="92">
        <f t="shared" si="11"/>
        <v>53367.55</v>
      </c>
      <c r="E83" s="68">
        <f t="shared" si="12"/>
        <v>307.45</v>
      </c>
      <c r="F83" s="172">
        <f t="shared" si="13"/>
        <v>106876.76000000015</v>
      </c>
      <c r="G83" s="68">
        <f t="shared" si="14"/>
        <v>53509.210000000152</v>
      </c>
    </row>
    <row r="84" spans="1:7" x14ac:dyDescent="0.25">
      <c r="A84" s="36">
        <v>44326</v>
      </c>
      <c r="B84" s="168">
        <f t="shared" si="8"/>
        <v>7</v>
      </c>
      <c r="C84" s="68">
        <f t="shared" si="10"/>
        <v>53675</v>
      </c>
      <c r="D84" s="92">
        <f t="shared" si="11"/>
        <v>53509.210000000152</v>
      </c>
      <c r="E84" s="68">
        <v>165.78999999984779</v>
      </c>
      <c r="F84" s="172">
        <f t="shared" si="13"/>
        <v>53509.210000000152</v>
      </c>
      <c r="G84" s="68">
        <f t="shared" si="14"/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54290-23C6-4003-A9E4-9B8A9799F25A}">
  <dimension ref="A1:H84"/>
  <sheetViews>
    <sheetView zoomScale="86" zoomScaleNormal="80" workbookViewId="0">
      <pane ySplit="3" topLeftCell="A67" activePane="bottomLeft" state="frozen"/>
      <selection activeCell="O1" sqref="O1"/>
      <selection pane="bottomLeft" sqref="A1:H84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14.5703125" bestFit="1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83" t="s">
        <v>106</v>
      </c>
      <c r="F1" s="124" t="s">
        <v>331</v>
      </c>
      <c r="G1" s="132" t="s">
        <v>346</v>
      </c>
      <c r="H1" s="132" t="s">
        <v>359</v>
      </c>
    </row>
    <row r="2" spans="1:8" x14ac:dyDescent="0.25">
      <c r="A2" s="75" t="s">
        <v>34</v>
      </c>
      <c r="B2" s="76">
        <v>0.15</v>
      </c>
      <c r="C2" s="79">
        <f>ROUNDUP(44669.369619267,0)</f>
        <v>44670</v>
      </c>
      <c r="D2" s="125">
        <v>44109</v>
      </c>
      <c r="E2" s="166">
        <f>ROUNDUP(58110.8822728989,0)</f>
        <v>58111</v>
      </c>
      <c r="F2" s="127">
        <v>40</v>
      </c>
      <c r="G2" s="134">
        <v>44109</v>
      </c>
      <c r="H2" s="180">
        <v>0.3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>F4-D4</f>
        <v>2000000</v>
      </c>
    </row>
    <row r="5" spans="1:8" x14ac:dyDescent="0.25">
      <c r="A5" s="36">
        <v>44053</v>
      </c>
      <c r="B5" s="46">
        <f>DAYS360(A4,A5,TRUE)</f>
        <v>7</v>
      </c>
      <c r="C5" s="47">
        <f t="shared" ref="C5:C52" si="0">$C$2</f>
        <v>44670</v>
      </c>
      <c r="D5" s="48">
        <f t="shared" ref="D5:D52" si="1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8" x14ac:dyDescent="0.25">
      <c r="A6" s="36">
        <v>44060</v>
      </c>
      <c r="B6" s="46">
        <f t="shared" ref="B6:B52" si="2">DAYS360(A5,A6,TRUE)</f>
        <v>7</v>
      </c>
      <c r="C6" s="47">
        <f t="shared" si="0"/>
        <v>44670</v>
      </c>
      <c r="D6" s="48">
        <f t="shared" si="1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52" si="5">F6-D6</f>
        <v>1922213.3900000001</v>
      </c>
    </row>
    <row r="7" spans="1:8" x14ac:dyDescent="0.25">
      <c r="A7" s="36">
        <v>44067</v>
      </c>
      <c r="B7" s="46">
        <f t="shared" si="2"/>
        <v>7</v>
      </c>
      <c r="C7" s="47">
        <f t="shared" si="0"/>
        <v>44670</v>
      </c>
      <c r="D7" s="48">
        <f t="shared" si="1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8" x14ac:dyDescent="0.25">
      <c r="A8" s="36">
        <v>44074</v>
      </c>
      <c r="B8" s="46">
        <f t="shared" si="2"/>
        <v>6</v>
      </c>
      <c r="C8" s="47">
        <f t="shared" si="0"/>
        <v>44670</v>
      </c>
      <c r="D8" s="48">
        <f t="shared" si="1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8" x14ac:dyDescent="0.25">
      <c r="A9" s="36">
        <v>44081</v>
      </c>
      <c r="B9" s="46">
        <f t="shared" si="2"/>
        <v>7</v>
      </c>
      <c r="C9" s="47">
        <f t="shared" si="0"/>
        <v>44670</v>
      </c>
      <c r="D9" s="48">
        <f t="shared" si="1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8" x14ac:dyDescent="0.25">
      <c r="A10" s="36">
        <v>44088</v>
      </c>
      <c r="B10" s="46">
        <f t="shared" si="2"/>
        <v>7</v>
      </c>
      <c r="C10" s="47">
        <f t="shared" si="0"/>
        <v>44670</v>
      </c>
      <c r="D10" s="48">
        <f t="shared" si="1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8" x14ac:dyDescent="0.25">
      <c r="A11" s="36">
        <v>44095</v>
      </c>
      <c r="B11" s="46">
        <f t="shared" si="2"/>
        <v>7</v>
      </c>
      <c r="C11" s="47">
        <f t="shared" si="0"/>
        <v>44670</v>
      </c>
      <c r="D11" s="48">
        <f t="shared" si="1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8" x14ac:dyDescent="0.25">
      <c r="A12" s="36">
        <v>44102</v>
      </c>
      <c r="B12" s="46">
        <f t="shared" si="2"/>
        <v>7</v>
      </c>
      <c r="C12" s="47">
        <f t="shared" si="0"/>
        <v>44670</v>
      </c>
      <c r="D12" s="48">
        <f t="shared" si="1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8" x14ac:dyDescent="0.25">
      <c r="A13" s="36">
        <v>44109</v>
      </c>
      <c r="B13" s="46">
        <f t="shared" si="2"/>
        <v>7</v>
      </c>
      <c r="C13" s="47">
        <f t="shared" si="0"/>
        <v>44670</v>
      </c>
      <c r="D13" s="48">
        <f t="shared" si="1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8" x14ac:dyDescent="0.25">
      <c r="A14" s="36">
        <v>44116</v>
      </c>
      <c r="B14" s="46">
        <f t="shared" si="2"/>
        <v>7</v>
      </c>
      <c r="C14" s="47">
        <f t="shared" si="0"/>
        <v>44670</v>
      </c>
      <c r="D14" s="48">
        <f t="shared" si="1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8" x14ac:dyDescent="0.25">
      <c r="A15" s="36">
        <v>44123</v>
      </c>
      <c r="B15" s="46">
        <f t="shared" si="2"/>
        <v>7</v>
      </c>
      <c r="C15" s="47">
        <f t="shared" si="0"/>
        <v>44670</v>
      </c>
      <c r="D15" s="48">
        <f t="shared" si="1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8" x14ac:dyDescent="0.25">
      <c r="A16" s="36">
        <v>44130</v>
      </c>
      <c r="B16" s="46">
        <f t="shared" si="2"/>
        <v>7</v>
      </c>
      <c r="C16" s="47">
        <f t="shared" si="0"/>
        <v>44670</v>
      </c>
      <c r="D16" s="48">
        <f t="shared" si="1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2"/>
        <v>6</v>
      </c>
      <c r="C17" s="47">
        <f t="shared" si="0"/>
        <v>44670</v>
      </c>
      <c r="D17" s="48">
        <f t="shared" si="1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2"/>
        <v>7</v>
      </c>
      <c r="C18" s="47">
        <f t="shared" si="0"/>
        <v>44670</v>
      </c>
      <c r="D18" s="48">
        <f t="shared" si="1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2"/>
        <v>7</v>
      </c>
      <c r="C19" s="47">
        <f t="shared" si="0"/>
        <v>44670</v>
      </c>
      <c r="D19" s="48">
        <f t="shared" si="1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2"/>
        <v>7</v>
      </c>
      <c r="C20" s="47">
        <f t="shared" si="0"/>
        <v>44670</v>
      </c>
      <c r="D20" s="48">
        <f t="shared" si="1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2"/>
        <v>7</v>
      </c>
      <c r="C21" s="47">
        <f t="shared" si="0"/>
        <v>44670</v>
      </c>
      <c r="D21" s="48">
        <f t="shared" si="1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2"/>
        <v>7</v>
      </c>
      <c r="C22" s="47">
        <f t="shared" si="0"/>
        <v>44670</v>
      </c>
      <c r="D22" s="48">
        <f t="shared" si="1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2"/>
        <v>7</v>
      </c>
      <c r="C23" s="47">
        <f t="shared" si="0"/>
        <v>44670</v>
      </c>
      <c r="D23" s="48">
        <f t="shared" si="1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2"/>
        <v>7</v>
      </c>
      <c r="C24" s="47">
        <f t="shared" si="0"/>
        <v>44670</v>
      </c>
      <c r="D24" s="48">
        <f t="shared" si="1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2"/>
        <v>7</v>
      </c>
      <c r="C25" s="47">
        <f t="shared" si="0"/>
        <v>44670</v>
      </c>
      <c r="D25" s="48">
        <f t="shared" si="1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2"/>
        <v>6</v>
      </c>
      <c r="C26" s="47">
        <f t="shared" si="0"/>
        <v>44670</v>
      </c>
      <c r="D26" s="48">
        <f t="shared" si="1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2"/>
        <v>7</v>
      </c>
      <c r="C27" s="47">
        <f t="shared" si="0"/>
        <v>44670</v>
      </c>
      <c r="D27" s="48">
        <f t="shared" si="1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2"/>
        <v>7</v>
      </c>
      <c r="C28" s="47">
        <f t="shared" si="0"/>
        <v>44670</v>
      </c>
      <c r="D28" s="48">
        <f t="shared" si="1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2"/>
        <v>7</v>
      </c>
      <c r="C29" s="47">
        <f t="shared" si="0"/>
        <v>44670</v>
      </c>
      <c r="D29" s="48">
        <f t="shared" si="1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2"/>
        <v>6</v>
      </c>
      <c r="C30" s="47">
        <f t="shared" si="0"/>
        <v>44670</v>
      </c>
      <c r="D30" s="48">
        <f t="shared" si="1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2"/>
        <v>7</v>
      </c>
      <c r="C31" s="47">
        <f t="shared" si="0"/>
        <v>44670</v>
      </c>
      <c r="D31" s="48">
        <f t="shared" si="1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2"/>
        <v>7</v>
      </c>
      <c r="C32" s="47">
        <f t="shared" si="0"/>
        <v>44670</v>
      </c>
      <c r="D32" s="48">
        <f t="shared" si="1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2"/>
        <v>7</v>
      </c>
      <c r="C33" s="47">
        <f t="shared" si="0"/>
        <v>44670</v>
      </c>
      <c r="D33" s="48">
        <f t="shared" si="1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2"/>
        <v>9</v>
      </c>
      <c r="C34" s="47">
        <f t="shared" si="0"/>
        <v>44670</v>
      </c>
      <c r="D34" s="48">
        <f t="shared" si="1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2"/>
        <v>7</v>
      </c>
      <c r="C35" s="47">
        <f t="shared" si="0"/>
        <v>44670</v>
      </c>
      <c r="D35" s="48">
        <f t="shared" si="1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2"/>
        <v>7</v>
      </c>
      <c r="C36" s="47">
        <f t="shared" si="0"/>
        <v>44670</v>
      </c>
      <c r="D36" s="48">
        <f t="shared" si="1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2"/>
        <v>7</v>
      </c>
      <c r="C37" s="47">
        <f t="shared" si="0"/>
        <v>44670</v>
      </c>
      <c r="D37" s="48">
        <f t="shared" si="1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2"/>
        <v>7</v>
      </c>
      <c r="C38" s="47">
        <f t="shared" si="0"/>
        <v>44670</v>
      </c>
      <c r="D38" s="48">
        <f t="shared" si="1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2"/>
        <v>6</v>
      </c>
      <c r="C39" s="47">
        <f t="shared" si="0"/>
        <v>44670</v>
      </c>
      <c r="D39" s="48">
        <f t="shared" si="1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2"/>
        <v>7</v>
      </c>
      <c r="C40" s="47">
        <f t="shared" si="0"/>
        <v>44670</v>
      </c>
      <c r="D40" s="48">
        <f t="shared" si="1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2"/>
        <v>7</v>
      </c>
      <c r="C41" s="47">
        <f t="shared" si="0"/>
        <v>44670</v>
      </c>
      <c r="D41" s="48">
        <f t="shared" si="1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2"/>
        <v>7</v>
      </c>
      <c r="C42" s="47">
        <f t="shared" si="0"/>
        <v>44670</v>
      </c>
      <c r="D42" s="48">
        <f t="shared" si="1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2"/>
        <v>7</v>
      </c>
      <c r="C43" s="47">
        <f t="shared" si="0"/>
        <v>44670</v>
      </c>
      <c r="D43" s="48">
        <f t="shared" si="1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2"/>
        <v>7</v>
      </c>
      <c r="C44" s="47">
        <f t="shared" si="0"/>
        <v>44670</v>
      </c>
      <c r="D44" s="48">
        <f t="shared" si="1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2"/>
        <v>7</v>
      </c>
      <c r="C45" s="47">
        <f t="shared" si="0"/>
        <v>44670</v>
      </c>
      <c r="D45" s="48">
        <f t="shared" si="1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2"/>
        <v>7</v>
      </c>
      <c r="C46" s="47">
        <f t="shared" si="0"/>
        <v>44670</v>
      </c>
      <c r="D46" s="48">
        <f t="shared" si="1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2"/>
        <v>6</v>
      </c>
      <c r="C47" s="47">
        <f t="shared" si="0"/>
        <v>44670</v>
      </c>
      <c r="D47" s="48">
        <f t="shared" si="1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2"/>
        <v>7</v>
      </c>
      <c r="C48" s="47">
        <f t="shared" si="0"/>
        <v>44670</v>
      </c>
      <c r="D48" s="48">
        <f t="shared" si="1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2"/>
        <v>7</v>
      </c>
      <c r="C49" s="47">
        <f t="shared" si="0"/>
        <v>44670</v>
      </c>
      <c r="D49" s="48">
        <f t="shared" si="1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2"/>
        <v>7</v>
      </c>
      <c r="C50" s="47">
        <f t="shared" si="0"/>
        <v>44670</v>
      </c>
      <c r="D50" s="48">
        <f t="shared" si="1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2"/>
        <v>7</v>
      </c>
      <c r="C51" s="47">
        <f t="shared" si="0"/>
        <v>44670</v>
      </c>
      <c r="D51" s="48">
        <f t="shared" si="1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2"/>
        <v>7</v>
      </c>
      <c r="C52" s="47">
        <f t="shared" si="0"/>
        <v>44670</v>
      </c>
      <c r="D52" s="48">
        <f t="shared" si="1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70">
        <v>44109</v>
      </c>
      <c r="B53" s="84">
        <f t="shared" ref="B53:G53" si="6">B13</f>
        <v>7</v>
      </c>
      <c r="C53" s="90">
        <f t="shared" si="6"/>
        <v>44670</v>
      </c>
      <c r="D53" s="91">
        <f t="shared" si="6"/>
        <v>39754.479999999996</v>
      </c>
      <c r="E53" s="90">
        <f t="shared" si="6"/>
        <v>4915.5200000000004</v>
      </c>
      <c r="F53" s="90">
        <f t="shared" si="6"/>
        <v>1685322.59</v>
      </c>
      <c r="G53" s="90">
        <f t="shared" si="6"/>
        <v>1645568.11</v>
      </c>
    </row>
    <row r="54" spans="1:7" x14ac:dyDescent="0.25">
      <c r="A54" s="36">
        <v>44116</v>
      </c>
      <c r="B54" s="85">
        <f>DAYS360(A53,A54,TRUE)</f>
        <v>7</v>
      </c>
      <c r="C54" s="172">
        <f>$E$2</f>
        <v>58111</v>
      </c>
      <c r="D54" s="173">
        <f t="shared" ref="D54" si="7">C54-E54</f>
        <v>48511.85</v>
      </c>
      <c r="E54" s="172">
        <f t="shared" ref="E54:E83" si="8">ROUND(F54*$H$2*B54/360,2)</f>
        <v>9599.15</v>
      </c>
      <c r="F54" s="172">
        <f t="shared" ref="F54" si="9">G53</f>
        <v>1645568.11</v>
      </c>
      <c r="G54" s="172">
        <f t="shared" ref="G54" si="10">F54-D54</f>
        <v>1597056.26</v>
      </c>
    </row>
    <row r="55" spans="1:7" x14ac:dyDescent="0.25">
      <c r="A55" s="36">
        <v>44123</v>
      </c>
      <c r="B55" s="85">
        <f t="shared" ref="B55:B84" si="11">DAYS360(A54,A55,TRUE)</f>
        <v>7</v>
      </c>
      <c r="C55" s="172">
        <f t="shared" ref="C55:C84" si="12">$E$2</f>
        <v>58111</v>
      </c>
      <c r="D55" s="173">
        <f t="shared" ref="D55:D84" si="13">C55-E55</f>
        <v>48794.84</v>
      </c>
      <c r="E55" s="172">
        <f t="shared" si="8"/>
        <v>9316.16</v>
      </c>
      <c r="F55" s="172">
        <f t="shared" ref="F55:F84" si="14">G54</f>
        <v>1597056.26</v>
      </c>
      <c r="G55" s="172">
        <f t="shared" ref="G55:G84" si="15">F55-D55</f>
        <v>1548261.42</v>
      </c>
    </row>
    <row r="56" spans="1:7" x14ac:dyDescent="0.25">
      <c r="A56" s="36">
        <v>44130</v>
      </c>
      <c r="B56" s="85">
        <f t="shared" si="11"/>
        <v>7</v>
      </c>
      <c r="C56" s="172">
        <f t="shared" si="12"/>
        <v>58111</v>
      </c>
      <c r="D56" s="173">
        <f t="shared" si="13"/>
        <v>49079.479999999996</v>
      </c>
      <c r="E56" s="172">
        <f t="shared" si="8"/>
        <v>9031.52</v>
      </c>
      <c r="F56" s="172">
        <f t="shared" si="14"/>
        <v>1548261.42</v>
      </c>
      <c r="G56" s="172">
        <f t="shared" si="15"/>
        <v>1499181.94</v>
      </c>
    </row>
    <row r="57" spans="1:7" x14ac:dyDescent="0.25">
      <c r="A57" s="54">
        <v>44137</v>
      </c>
      <c r="B57" s="85">
        <f t="shared" si="11"/>
        <v>6</v>
      </c>
      <c r="C57" s="172">
        <f t="shared" si="12"/>
        <v>58111</v>
      </c>
      <c r="D57" s="173">
        <f t="shared" si="13"/>
        <v>50615.09</v>
      </c>
      <c r="E57" s="172">
        <f t="shared" si="8"/>
        <v>7495.91</v>
      </c>
      <c r="F57" s="172">
        <f t="shared" si="14"/>
        <v>1499181.94</v>
      </c>
      <c r="G57" s="172">
        <f t="shared" si="15"/>
        <v>1448566.8499999999</v>
      </c>
    </row>
    <row r="58" spans="1:7" x14ac:dyDescent="0.25">
      <c r="A58" s="36">
        <v>44144</v>
      </c>
      <c r="B58" s="85">
        <f t="shared" si="11"/>
        <v>7</v>
      </c>
      <c r="C58" s="172">
        <f t="shared" si="12"/>
        <v>58111</v>
      </c>
      <c r="D58" s="173">
        <f t="shared" si="13"/>
        <v>49661.03</v>
      </c>
      <c r="E58" s="172">
        <f t="shared" si="8"/>
        <v>8449.9699999999993</v>
      </c>
      <c r="F58" s="172">
        <f t="shared" si="14"/>
        <v>1448566.8499999999</v>
      </c>
      <c r="G58" s="172">
        <f t="shared" si="15"/>
        <v>1398905.8199999998</v>
      </c>
    </row>
    <row r="59" spans="1:7" x14ac:dyDescent="0.25">
      <c r="A59" s="36">
        <v>44151</v>
      </c>
      <c r="B59" s="85">
        <f t="shared" si="11"/>
        <v>7</v>
      </c>
      <c r="C59" s="172">
        <f t="shared" si="12"/>
        <v>58111</v>
      </c>
      <c r="D59" s="173">
        <f t="shared" si="13"/>
        <v>49950.720000000001</v>
      </c>
      <c r="E59" s="172">
        <f t="shared" si="8"/>
        <v>8160.28</v>
      </c>
      <c r="F59" s="172">
        <f t="shared" si="14"/>
        <v>1398905.8199999998</v>
      </c>
      <c r="G59" s="172">
        <f t="shared" si="15"/>
        <v>1348955.0999999999</v>
      </c>
    </row>
    <row r="60" spans="1:7" x14ac:dyDescent="0.25">
      <c r="A60" s="36">
        <v>44158</v>
      </c>
      <c r="B60" s="85">
        <f t="shared" si="11"/>
        <v>7</v>
      </c>
      <c r="C60" s="172">
        <f t="shared" si="12"/>
        <v>58111</v>
      </c>
      <c r="D60" s="173">
        <f t="shared" si="13"/>
        <v>50242.1</v>
      </c>
      <c r="E60" s="172">
        <f t="shared" si="8"/>
        <v>7868.9</v>
      </c>
      <c r="F60" s="172">
        <f t="shared" si="14"/>
        <v>1348955.0999999999</v>
      </c>
      <c r="G60" s="172">
        <f t="shared" si="15"/>
        <v>1298712.9999999998</v>
      </c>
    </row>
    <row r="61" spans="1:7" x14ac:dyDescent="0.25">
      <c r="A61" s="36">
        <v>44165</v>
      </c>
      <c r="B61" s="85">
        <f t="shared" si="11"/>
        <v>7</v>
      </c>
      <c r="C61" s="172">
        <f t="shared" si="12"/>
        <v>58111</v>
      </c>
      <c r="D61" s="173">
        <f t="shared" si="13"/>
        <v>50535.17</v>
      </c>
      <c r="E61" s="172">
        <f t="shared" si="8"/>
        <v>7575.83</v>
      </c>
      <c r="F61" s="172">
        <f t="shared" si="14"/>
        <v>1298712.9999999998</v>
      </c>
      <c r="G61" s="172">
        <f t="shared" si="15"/>
        <v>1248177.8299999998</v>
      </c>
    </row>
    <row r="62" spans="1:7" x14ac:dyDescent="0.25">
      <c r="A62" s="36">
        <v>44172</v>
      </c>
      <c r="B62" s="85">
        <f t="shared" si="11"/>
        <v>7</v>
      </c>
      <c r="C62" s="172">
        <f t="shared" si="12"/>
        <v>58111</v>
      </c>
      <c r="D62" s="173">
        <f t="shared" si="13"/>
        <v>50829.96</v>
      </c>
      <c r="E62" s="172">
        <f t="shared" si="8"/>
        <v>7281.04</v>
      </c>
      <c r="F62" s="172">
        <f t="shared" si="14"/>
        <v>1248177.8299999998</v>
      </c>
      <c r="G62" s="172">
        <f t="shared" si="15"/>
        <v>1197347.8699999999</v>
      </c>
    </row>
    <row r="63" spans="1:7" x14ac:dyDescent="0.25">
      <c r="A63" s="36">
        <v>44179</v>
      </c>
      <c r="B63" s="85">
        <f t="shared" si="11"/>
        <v>7</v>
      </c>
      <c r="C63" s="172">
        <f t="shared" si="12"/>
        <v>58111</v>
      </c>
      <c r="D63" s="173">
        <f t="shared" si="13"/>
        <v>51126.47</v>
      </c>
      <c r="E63" s="172">
        <f t="shared" si="8"/>
        <v>6984.53</v>
      </c>
      <c r="F63" s="172">
        <f t="shared" si="14"/>
        <v>1197347.8699999999</v>
      </c>
      <c r="G63" s="172">
        <f t="shared" si="15"/>
        <v>1146221.3999999999</v>
      </c>
    </row>
    <row r="64" spans="1:7" x14ac:dyDescent="0.25">
      <c r="A64" s="36">
        <v>44186</v>
      </c>
      <c r="B64" s="85">
        <f t="shared" si="11"/>
        <v>7</v>
      </c>
      <c r="C64" s="172">
        <f t="shared" si="12"/>
        <v>58111</v>
      </c>
      <c r="D64" s="173">
        <f t="shared" si="13"/>
        <v>51424.71</v>
      </c>
      <c r="E64" s="172">
        <f t="shared" si="8"/>
        <v>6686.29</v>
      </c>
      <c r="F64" s="172">
        <f t="shared" si="14"/>
        <v>1146221.3999999999</v>
      </c>
      <c r="G64" s="172">
        <f t="shared" si="15"/>
        <v>1094796.69</v>
      </c>
    </row>
    <row r="65" spans="1:7" x14ac:dyDescent="0.25">
      <c r="A65" s="36">
        <v>44193</v>
      </c>
      <c r="B65" s="85">
        <f t="shared" si="11"/>
        <v>7</v>
      </c>
      <c r="C65" s="172">
        <f t="shared" si="12"/>
        <v>58111</v>
      </c>
      <c r="D65" s="173">
        <f t="shared" si="13"/>
        <v>51724.69</v>
      </c>
      <c r="E65" s="172">
        <f t="shared" si="8"/>
        <v>6386.31</v>
      </c>
      <c r="F65" s="172">
        <f t="shared" si="14"/>
        <v>1094796.69</v>
      </c>
      <c r="G65" s="172">
        <f t="shared" si="15"/>
        <v>1043072</v>
      </c>
    </row>
    <row r="66" spans="1:7" x14ac:dyDescent="0.25">
      <c r="A66" s="36">
        <v>44200</v>
      </c>
      <c r="B66" s="85">
        <f t="shared" si="11"/>
        <v>6</v>
      </c>
      <c r="C66" s="172">
        <f t="shared" si="12"/>
        <v>58111</v>
      </c>
      <c r="D66" s="173">
        <f t="shared" si="13"/>
        <v>52895.64</v>
      </c>
      <c r="E66" s="172">
        <f t="shared" si="8"/>
        <v>5215.3599999999997</v>
      </c>
      <c r="F66" s="172">
        <f t="shared" si="14"/>
        <v>1043072</v>
      </c>
      <c r="G66" s="172">
        <f t="shared" si="15"/>
        <v>990176.36</v>
      </c>
    </row>
    <row r="67" spans="1:7" x14ac:dyDescent="0.25">
      <c r="A67" s="36">
        <v>44207</v>
      </c>
      <c r="B67" s="85">
        <f t="shared" si="11"/>
        <v>7</v>
      </c>
      <c r="C67" s="172">
        <f t="shared" si="12"/>
        <v>58111</v>
      </c>
      <c r="D67" s="173">
        <f t="shared" si="13"/>
        <v>52334.97</v>
      </c>
      <c r="E67" s="172">
        <f t="shared" si="8"/>
        <v>5776.03</v>
      </c>
      <c r="F67" s="172">
        <f t="shared" si="14"/>
        <v>990176.36</v>
      </c>
      <c r="G67" s="172">
        <f t="shared" si="15"/>
        <v>937841.39</v>
      </c>
    </row>
    <row r="68" spans="1:7" x14ac:dyDescent="0.25">
      <c r="A68" s="36">
        <v>44214</v>
      </c>
      <c r="B68" s="85">
        <f t="shared" si="11"/>
        <v>7</v>
      </c>
      <c r="C68" s="172">
        <f t="shared" si="12"/>
        <v>58111</v>
      </c>
      <c r="D68" s="173">
        <f t="shared" si="13"/>
        <v>52640.26</v>
      </c>
      <c r="E68" s="172">
        <f t="shared" si="8"/>
        <v>5470.74</v>
      </c>
      <c r="F68" s="172">
        <f t="shared" si="14"/>
        <v>937841.39</v>
      </c>
      <c r="G68" s="172">
        <f t="shared" si="15"/>
        <v>885201.13</v>
      </c>
    </row>
    <row r="69" spans="1:7" x14ac:dyDescent="0.25">
      <c r="A69" s="36">
        <v>44221</v>
      </c>
      <c r="B69" s="85">
        <f t="shared" si="11"/>
        <v>7</v>
      </c>
      <c r="C69" s="172">
        <f t="shared" si="12"/>
        <v>58111</v>
      </c>
      <c r="D69" s="173">
        <f t="shared" si="13"/>
        <v>52947.33</v>
      </c>
      <c r="E69" s="172">
        <f t="shared" si="8"/>
        <v>5163.67</v>
      </c>
      <c r="F69" s="172">
        <f t="shared" si="14"/>
        <v>885201.13</v>
      </c>
      <c r="G69" s="172">
        <f t="shared" si="15"/>
        <v>832253.8</v>
      </c>
    </row>
    <row r="70" spans="1:7" x14ac:dyDescent="0.25">
      <c r="A70" s="36">
        <v>44228</v>
      </c>
      <c r="B70" s="85">
        <f t="shared" si="11"/>
        <v>6</v>
      </c>
      <c r="C70" s="172">
        <f t="shared" si="12"/>
        <v>58111</v>
      </c>
      <c r="D70" s="173">
        <f t="shared" si="13"/>
        <v>53949.729999999996</v>
      </c>
      <c r="E70" s="172">
        <f t="shared" si="8"/>
        <v>4161.2700000000004</v>
      </c>
      <c r="F70" s="172">
        <f t="shared" si="14"/>
        <v>832253.8</v>
      </c>
      <c r="G70" s="172">
        <f t="shared" si="15"/>
        <v>778304.07000000007</v>
      </c>
    </row>
    <row r="71" spans="1:7" x14ac:dyDescent="0.25">
      <c r="A71" s="36">
        <v>44235</v>
      </c>
      <c r="B71" s="85">
        <f t="shared" si="11"/>
        <v>7</v>
      </c>
      <c r="C71" s="172">
        <f t="shared" si="12"/>
        <v>58111</v>
      </c>
      <c r="D71" s="173">
        <f t="shared" si="13"/>
        <v>53570.89</v>
      </c>
      <c r="E71" s="172">
        <f t="shared" si="8"/>
        <v>4540.1099999999997</v>
      </c>
      <c r="F71" s="172">
        <f t="shared" si="14"/>
        <v>778304.07000000007</v>
      </c>
      <c r="G71" s="172">
        <f t="shared" si="15"/>
        <v>724733.18</v>
      </c>
    </row>
    <row r="72" spans="1:7" x14ac:dyDescent="0.25">
      <c r="A72" s="36">
        <v>44242</v>
      </c>
      <c r="B72" s="85">
        <f t="shared" si="11"/>
        <v>7</v>
      </c>
      <c r="C72" s="172">
        <f t="shared" si="12"/>
        <v>58111</v>
      </c>
      <c r="D72" s="173">
        <f t="shared" si="13"/>
        <v>53883.39</v>
      </c>
      <c r="E72" s="172">
        <f t="shared" si="8"/>
        <v>4227.6099999999997</v>
      </c>
      <c r="F72" s="172">
        <f t="shared" si="14"/>
        <v>724733.18</v>
      </c>
      <c r="G72" s="172">
        <f t="shared" si="15"/>
        <v>670849.79</v>
      </c>
    </row>
    <row r="73" spans="1:7" x14ac:dyDescent="0.25">
      <c r="A73" s="36">
        <v>44249</v>
      </c>
      <c r="B73" s="85">
        <f t="shared" si="11"/>
        <v>7</v>
      </c>
      <c r="C73" s="172">
        <f t="shared" si="12"/>
        <v>58111</v>
      </c>
      <c r="D73" s="173">
        <f t="shared" si="13"/>
        <v>54197.71</v>
      </c>
      <c r="E73" s="172">
        <f t="shared" si="8"/>
        <v>3913.29</v>
      </c>
      <c r="F73" s="172">
        <f t="shared" si="14"/>
        <v>670849.79</v>
      </c>
      <c r="G73" s="172">
        <f t="shared" si="15"/>
        <v>616652.08000000007</v>
      </c>
    </row>
    <row r="74" spans="1:7" x14ac:dyDescent="0.25">
      <c r="A74" s="36">
        <v>44256</v>
      </c>
      <c r="B74" s="85">
        <f t="shared" si="11"/>
        <v>9</v>
      </c>
      <c r="C74" s="172">
        <f t="shared" si="12"/>
        <v>58111</v>
      </c>
      <c r="D74" s="173">
        <f t="shared" si="13"/>
        <v>53486.11</v>
      </c>
      <c r="E74" s="172">
        <f t="shared" si="8"/>
        <v>4624.8900000000003</v>
      </c>
      <c r="F74" s="172">
        <f t="shared" si="14"/>
        <v>616652.08000000007</v>
      </c>
      <c r="G74" s="172">
        <f t="shared" si="15"/>
        <v>563165.97000000009</v>
      </c>
    </row>
    <row r="75" spans="1:7" x14ac:dyDescent="0.25">
      <c r="A75" s="36">
        <v>44263</v>
      </c>
      <c r="B75" s="85">
        <f t="shared" si="11"/>
        <v>7</v>
      </c>
      <c r="C75" s="172">
        <f t="shared" si="12"/>
        <v>58111</v>
      </c>
      <c r="D75" s="173">
        <f t="shared" si="13"/>
        <v>54825.87</v>
      </c>
      <c r="E75" s="172">
        <f t="shared" si="8"/>
        <v>3285.13</v>
      </c>
      <c r="F75" s="172">
        <f t="shared" si="14"/>
        <v>563165.97000000009</v>
      </c>
      <c r="G75" s="172">
        <f t="shared" si="15"/>
        <v>508340.10000000009</v>
      </c>
    </row>
    <row r="76" spans="1:7" x14ac:dyDescent="0.25">
      <c r="A76" s="36">
        <v>44270</v>
      </c>
      <c r="B76" s="85">
        <f t="shared" si="11"/>
        <v>7</v>
      </c>
      <c r="C76" s="172">
        <f t="shared" si="12"/>
        <v>58111</v>
      </c>
      <c r="D76" s="173">
        <f t="shared" si="13"/>
        <v>55145.68</v>
      </c>
      <c r="E76" s="172">
        <f t="shared" si="8"/>
        <v>2965.32</v>
      </c>
      <c r="F76" s="172">
        <f t="shared" si="14"/>
        <v>508340.10000000009</v>
      </c>
      <c r="G76" s="172">
        <f t="shared" si="15"/>
        <v>453194.4200000001</v>
      </c>
    </row>
    <row r="77" spans="1:7" x14ac:dyDescent="0.25">
      <c r="A77" s="36">
        <v>44277</v>
      </c>
      <c r="B77" s="85">
        <f t="shared" si="11"/>
        <v>7</v>
      </c>
      <c r="C77" s="172">
        <f t="shared" si="12"/>
        <v>58111</v>
      </c>
      <c r="D77" s="173">
        <f t="shared" si="13"/>
        <v>55467.37</v>
      </c>
      <c r="E77" s="172">
        <f t="shared" si="8"/>
        <v>2643.63</v>
      </c>
      <c r="F77" s="172">
        <f t="shared" si="14"/>
        <v>453194.4200000001</v>
      </c>
      <c r="G77" s="172">
        <f t="shared" si="15"/>
        <v>397727.0500000001</v>
      </c>
    </row>
    <row r="78" spans="1:7" x14ac:dyDescent="0.25">
      <c r="A78" s="36">
        <v>44284</v>
      </c>
      <c r="B78" s="85">
        <f t="shared" si="11"/>
        <v>7</v>
      </c>
      <c r="C78" s="172">
        <f t="shared" si="12"/>
        <v>58111</v>
      </c>
      <c r="D78" s="173">
        <f t="shared" si="13"/>
        <v>55790.93</v>
      </c>
      <c r="E78" s="172">
        <f t="shared" si="8"/>
        <v>2320.0700000000002</v>
      </c>
      <c r="F78" s="172">
        <f t="shared" si="14"/>
        <v>397727.0500000001</v>
      </c>
      <c r="G78" s="172">
        <f t="shared" si="15"/>
        <v>341936.12000000011</v>
      </c>
    </row>
    <row r="79" spans="1:7" x14ac:dyDescent="0.25">
      <c r="A79" s="36">
        <v>44291</v>
      </c>
      <c r="B79" s="85">
        <f t="shared" si="11"/>
        <v>6</v>
      </c>
      <c r="C79" s="172">
        <f t="shared" si="12"/>
        <v>58111</v>
      </c>
      <c r="D79" s="173">
        <f t="shared" si="13"/>
        <v>56401.32</v>
      </c>
      <c r="E79" s="172">
        <f t="shared" si="8"/>
        <v>1709.68</v>
      </c>
      <c r="F79" s="172">
        <f t="shared" si="14"/>
        <v>341936.12000000011</v>
      </c>
      <c r="G79" s="172">
        <f t="shared" si="15"/>
        <v>285534.8000000001</v>
      </c>
    </row>
    <row r="80" spans="1:7" x14ac:dyDescent="0.25">
      <c r="A80" s="36">
        <v>44298</v>
      </c>
      <c r="B80" s="85">
        <f t="shared" si="11"/>
        <v>7</v>
      </c>
      <c r="C80" s="172">
        <f t="shared" si="12"/>
        <v>58111</v>
      </c>
      <c r="D80" s="173">
        <f t="shared" si="13"/>
        <v>56445.38</v>
      </c>
      <c r="E80" s="172">
        <f t="shared" si="8"/>
        <v>1665.62</v>
      </c>
      <c r="F80" s="172">
        <f t="shared" si="14"/>
        <v>285534.8000000001</v>
      </c>
      <c r="G80" s="172">
        <f t="shared" si="15"/>
        <v>229089.4200000001</v>
      </c>
    </row>
    <row r="81" spans="1:7" x14ac:dyDescent="0.25">
      <c r="A81" s="36">
        <v>44305</v>
      </c>
      <c r="B81" s="85">
        <f t="shared" si="11"/>
        <v>7</v>
      </c>
      <c r="C81" s="172">
        <f t="shared" si="12"/>
        <v>58111</v>
      </c>
      <c r="D81" s="173">
        <f t="shared" si="13"/>
        <v>56774.65</v>
      </c>
      <c r="E81" s="172">
        <f t="shared" si="8"/>
        <v>1336.35</v>
      </c>
      <c r="F81" s="172">
        <f t="shared" si="14"/>
        <v>229089.4200000001</v>
      </c>
      <c r="G81" s="172">
        <f t="shared" si="15"/>
        <v>172314.77000000011</v>
      </c>
    </row>
    <row r="82" spans="1:7" x14ac:dyDescent="0.25">
      <c r="A82" s="36">
        <v>44312</v>
      </c>
      <c r="B82" s="85">
        <f t="shared" si="11"/>
        <v>7</v>
      </c>
      <c r="C82" s="172">
        <f t="shared" si="12"/>
        <v>58111</v>
      </c>
      <c r="D82" s="173">
        <f t="shared" si="13"/>
        <v>57105.83</v>
      </c>
      <c r="E82" s="172">
        <f t="shared" si="8"/>
        <v>1005.17</v>
      </c>
      <c r="F82" s="172">
        <f t="shared" si="14"/>
        <v>172314.77000000011</v>
      </c>
      <c r="G82" s="172">
        <f t="shared" si="15"/>
        <v>115208.9400000001</v>
      </c>
    </row>
    <row r="83" spans="1:7" x14ac:dyDescent="0.25">
      <c r="A83" s="36">
        <v>44319</v>
      </c>
      <c r="B83" s="85">
        <f t="shared" si="11"/>
        <v>7</v>
      </c>
      <c r="C83" s="172">
        <f t="shared" si="12"/>
        <v>58111</v>
      </c>
      <c r="D83" s="173">
        <f t="shared" si="13"/>
        <v>57438.95</v>
      </c>
      <c r="E83" s="172">
        <f t="shared" si="8"/>
        <v>672.05</v>
      </c>
      <c r="F83" s="172">
        <f t="shared" si="14"/>
        <v>115208.9400000001</v>
      </c>
      <c r="G83" s="172">
        <f t="shared" si="15"/>
        <v>57769.990000000107</v>
      </c>
    </row>
    <row r="84" spans="1:7" x14ac:dyDescent="0.25">
      <c r="A84" s="36">
        <v>44326</v>
      </c>
      <c r="B84" s="85">
        <f t="shared" si="11"/>
        <v>7</v>
      </c>
      <c r="C84" s="172">
        <f t="shared" si="12"/>
        <v>58111</v>
      </c>
      <c r="D84" s="173">
        <f t="shared" si="13"/>
        <v>57769.990000000107</v>
      </c>
      <c r="E84" s="172">
        <v>341.00999999989494</v>
      </c>
      <c r="F84" s="172">
        <f t="shared" si="14"/>
        <v>57769.990000000107</v>
      </c>
      <c r="G84" s="172">
        <f t="shared" si="15"/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3A1021E-393B-4732-A995-2B16D2533DA5}">
  <dimension ref="A1:J98"/>
  <sheetViews>
    <sheetView zoomScale="86" zoomScaleNormal="80" workbookViewId="0">
      <pane ySplit="3" topLeftCell="A75" activePane="bottomLeft" state="frozen"/>
      <selection activeCell="O1" sqref="O1"/>
      <selection pane="bottomLeft" activeCell="D1" sqref="D1:J2"/>
    </sheetView>
  </sheetViews>
  <sheetFormatPr defaultRowHeight="15" x14ac:dyDescent="0.25"/>
  <cols>
    <col min="1" max="1" width="15.5703125" bestFit="1" customWidth="1"/>
    <col min="2" max="2" width="12.5703125" bestFit="1" customWidth="1"/>
    <col min="3" max="3" width="23.28515625" bestFit="1" customWidth="1"/>
    <col min="4" max="4" width="10.5703125" bestFit="1" customWidth="1"/>
    <col min="5" max="5" width="14.85546875" bestFit="1" customWidth="1"/>
    <col min="6" max="6" width="15.7109375" bestFit="1" customWidth="1"/>
    <col min="7" max="7" width="14.5703125" bestFit="1" customWidth="1"/>
    <col min="8" max="8" width="15.5703125" bestFit="1" customWidth="1"/>
    <col min="9" max="9" width="9.5703125" bestFit="1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83" t="s">
        <v>106</v>
      </c>
      <c r="F1" s="124" t="s">
        <v>331</v>
      </c>
      <c r="G1" s="132" t="s">
        <v>346</v>
      </c>
      <c r="H1" s="132" t="s">
        <v>106</v>
      </c>
      <c r="I1" s="132" t="s">
        <v>359</v>
      </c>
      <c r="J1">
        <f>_xlfn.DAYS(G2,A65)</f>
        <v>4</v>
      </c>
    </row>
    <row r="2" spans="1:10" x14ac:dyDescent="0.25">
      <c r="A2" s="75" t="s">
        <v>34</v>
      </c>
      <c r="B2" s="76">
        <v>0.15</v>
      </c>
      <c r="C2" s="17">
        <f>ROUNDUP(44669.369619267,0)</f>
        <v>44670</v>
      </c>
      <c r="D2" s="125">
        <v>44105</v>
      </c>
      <c r="E2" s="166">
        <f>ROUNDUP(39172.0476086957,0)</f>
        <v>39173</v>
      </c>
      <c r="F2" s="127">
        <v>54</v>
      </c>
      <c r="G2" s="134">
        <v>44197</v>
      </c>
      <c r="H2" s="132">
        <f>ROUNDUP(41013.8687878788,0)</f>
        <v>41014</v>
      </c>
      <c r="I2" s="180">
        <v>0.3</v>
      </c>
      <c r="J2">
        <f>_xlfn.DAYS(A66,G2)</f>
        <v>3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>F4-D4</f>
        <v>2000000</v>
      </c>
    </row>
    <row r="5" spans="1:10" x14ac:dyDescent="0.25">
      <c r="A5" s="36">
        <v>44053</v>
      </c>
      <c r="B5" s="46">
        <f>A5-A4</f>
        <v>7</v>
      </c>
      <c r="C5" s="47">
        <f t="shared" ref="C5:C52" si="0">$C$2</f>
        <v>44670</v>
      </c>
      <c r="D5" s="48">
        <f t="shared" ref="D5:D55" si="1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10" x14ac:dyDescent="0.25">
      <c r="A6" s="36">
        <v>44060</v>
      </c>
      <c r="B6" s="46">
        <f t="shared" ref="B6:B46" si="2">A6-A5</f>
        <v>7</v>
      </c>
      <c r="C6" s="47">
        <f t="shared" si="0"/>
        <v>44670</v>
      </c>
      <c r="D6" s="48">
        <f t="shared" si="1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55" si="4">F6-D6</f>
        <v>1922054.89</v>
      </c>
    </row>
    <row r="7" spans="1:10" x14ac:dyDescent="0.25">
      <c r="A7" s="36">
        <v>44067</v>
      </c>
      <c r="B7" s="46">
        <f t="shared" si="2"/>
        <v>7</v>
      </c>
      <c r="C7" s="47">
        <f t="shared" si="0"/>
        <v>44670</v>
      </c>
      <c r="D7" s="48">
        <f t="shared" si="1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10" x14ac:dyDescent="0.25">
      <c r="A8" s="36">
        <v>44074</v>
      </c>
      <c r="B8" s="46">
        <f t="shared" si="2"/>
        <v>7</v>
      </c>
      <c r="C8" s="47">
        <f t="shared" si="0"/>
        <v>44670</v>
      </c>
      <c r="D8" s="48">
        <f t="shared" si="1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10" x14ac:dyDescent="0.25">
      <c r="A9" s="36">
        <v>44081</v>
      </c>
      <c r="B9" s="46">
        <f t="shared" si="2"/>
        <v>7</v>
      </c>
      <c r="C9" s="47">
        <f t="shared" si="0"/>
        <v>44670</v>
      </c>
      <c r="D9" s="48">
        <f t="shared" si="1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10" x14ac:dyDescent="0.25">
      <c r="A10" s="36">
        <v>44088</v>
      </c>
      <c r="B10" s="46">
        <f t="shared" si="2"/>
        <v>7</v>
      </c>
      <c r="C10" s="47">
        <f t="shared" si="0"/>
        <v>44670</v>
      </c>
      <c r="D10" s="48">
        <f t="shared" si="1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10" x14ac:dyDescent="0.25">
      <c r="A11" s="36">
        <v>44095</v>
      </c>
      <c r="B11" s="46">
        <f t="shared" si="2"/>
        <v>7</v>
      </c>
      <c r="C11" s="47">
        <f t="shared" si="0"/>
        <v>44670</v>
      </c>
      <c r="D11" s="48">
        <f t="shared" si="1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10" x14ac:dyDescent="0.25">
      <c r="A12" s="36">
        <v>44102</v>
      </c>
      <c r="B12" s="46">
        <f t="shared" si="2"/>
        <v>7</v>
      </c>
      <c r="C12" s="47">
        <f t="shared" si="0"/>
        <v>44670</v>
      </c>
      <c r="D12" s="48">
        <f t="shared" si="1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10" x14ac:dyDescent="0.25">
      <c r="A13" s="36">
        <v>44109</v>
      </c>
      <c r="B13" s="46">
        <f t="shared" si="2"/>
        <v>7</v>
      </c>
      <c r="C13" s="47">
        <f t="shared" si="0"/>
        <v>44670</v>
      </c>
      <c r="D13" s="48">
        <f t="shared" si="1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10" x14ac:dyDescent="0.25">
      <c r="A14" s="36">
        <v>44116</v>
      </c>
      <c r="B14" s="46">
        <f t="shared" si="2"/>
        <v>7</v>
      </c>
      <c r="C14" s="47">
        <f t="shared" si="0"/>
        <v>44670</v>
      </c>
      <c r="D14" s="48">
        <f t="shared" si="1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10" x14ac:dyDescent="0.25">
      <c r="A15" s="36">
        <v>44123</v>
      </c>
      <c r="B15" s="46">
        <f t="shared" si="2"/>
        <v>7</v>
      </c>
      <c r="C15" s="47">
        <f t="shared" si="0"/>
        <v>44670</v>
      </c>
      <c r="D15" s="48">
        <f t="shared" si="1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10" x14ac:dyDescent="0.25">
      <c r="A16" s="36">
        <v>44130</v>
      </c>
      <c r="B16" s="46">
        <f t="shared" si="2"/>
        <v>7</v>
      </c>
      <c r="C16" s="47">
        <f t="shared" si="0"/>
        <v>44670</v>
      </c>
      <c r="D16" s="48">
        <f t="shared" si="1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2"/>
        <v>7</v>
      </c>
      <c r="C17" s="47">
        <f t="shared" si="0"/>
        <v>44670</v>
      </c>
      <c r="D17" s="48">
        <f t="shared" si="1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2"/>
        <v>7</v>
      </c>
      <c r="C18" s="47">
        <f t="shared" si="0"/>
        <v>44670</v>
      </c>
      <c r="D18" s="48">
        <f t="shared" si="1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2"/>
        <v>7</v>
      </c>
      <c r="C19" s="47">
        <f t="shared" si="0"/>
        <v>44670</v>
      </c>
      <c r="D19" s="48">
        <f t="shared" si="1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2"/>
        <v>7</v>
      </c>
      <c r="C20" s="47">
        <f t="shared" si="0"/>
        <v>44670</v>
      </c>
      <c r="D20" s="48">
        <f t="shared" si="1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2"/>
        <v>7</v>
      </c>
      <c r="C21" s="47">
        <f t="shared" si="0"/>
        <v>44670</v>
      </c>
      <c r="D21" s="48">
        <f t="shared" si="1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2"/>
        <v>7</v>
      </c>
      <c r="C22" s="47">
        <f t="shared" si="0"/>
        <v>44670</v>
      </c>
      <c r="D22" s="48">
        <f t="shared" si="1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2"/>
        <v>7</v>
      </c>
      <c r="C23" s="47">
        <f t="shared" si="0"/>
        <v>44670</v>
      </c>
      <c r="D23" s="48">
        <f t="shared" si="1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2"/>
        <v>7</v>
      </c>
      <c r="C24" s="47">
        <f t="shared" si="0"/>
        <v>44670</v>
      </c>
      <c r="D24" s="48">
        <f t="shared" si="1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2"/>
        <v>7</v>
      </c>
      <c r="C25" s="47">
        <f t="shared" si="0"/>
        <v>44670</v>
      </c>
      <c r="D25" s="48">
        <f t="shared" si="1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2"/>
        <v>7</v>
      </c>
      <c r="C26" s="47">
        <f t="shared" si="0"/>
        <v>44670</v>
      </c>
      <c r="D26" s="48">
        <f t="shared" si="1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2"/>
        <v>7</v>
      </c>
      <c r="C27" s="47">
        <f t="shared" si="0"/>
        <v>44670</v>
      </c>
      <c r="D27" s="48">
        <f t="shared" si="1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2"/>
        <v>7</v>
      </c>
      <c r="C28" s="47">
        <f t="shared" si="0"/>
        <v>44670</v>
      </c>
      <c r="D28" s="48">
        <f t="shared" si="1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2"/>
        <v>7</v>
      </c>
      <c r="C29" s="47">
        <f t="shared" si="0"/>
        <v>44670</v>
      </c>
      <c r="D29" s="48">
        <f t="shared" si="1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2"/>
        <v>7</v>
      </c>
      <c r="C30" s="47">
        <f t="shared" si="0"/>
        <v>44670</v>
      </c>
      <c r="D30" s="48">
        <f t="shared" si="1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2"/>
        <v>7</v>
      </c>
      <c r="C31" s="47">
        <f t="shared" si="0"/>
        <v>44670</v>
      </c>
      <c r="D31" s="48">
        <f t="shared" si="1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2"/>
        <v>7</v>
      </c>
      <c r="C32" s="47">
        <f t="shared" si="0"/>
        <v>44670</v>
      </c>
      <c r="D32" s="48">
        <f t="shared" si="1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2"/>
        <v>7</v>
      </c>
      <c r="C33" s="47">
        <f t="shared" si="0"/>
        <v>44670</v>
      </c>
      <c r="D33" s="48">
        <f t="shared" si="1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2"/>
        <v>7</v>
      </c>
      <c r="C34" s="47">
        <f t="shared" si="0"/>
        <v>44670</v>
      </c>
      <c r="D34" s="48">
        <f t="shared" si="1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2"/>
        <v>7</v>
      </c>
      <c r="C35" s="47">
        <f t="shared" si="0"/>
        <v>44670</v>
      </c>
      <c r="D35" s="48">
        <f t="shared" si="1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2"/>
        <v>7</v>
      </c>
      <c r="C36" s="47">
        <f t="shared" si="0"/>
        <v>44670</v>
      </c>
      <c r="D36" s="48">
        <f t="shared" si="1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2"/>
        <v>7</v>
      </c>
      <c r="C37" s="47">
        <f t="shared" si="0"/>
        <v>44670</v>
      </c>
      <c r="D37" s="48">
        <f t="shared" si="1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2"/>
        <v>7</v>
      </c>
      <c r="C38" s="47">
        <f t="shared" si="0"/>
        <v>44670</v>
      </c>
      <c r="D38" s="48">
        <f t="shared" si="1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2"/>
        <v>7</v>
      </c>
      <c r="C39" s="47">
        <f t="shared" si="0"/>
        <v>44670</v>
      </c>
      <c r="D39" s="48">
        <f t="shared" si="1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2"/>
        <v>7</v>
      </c>
      <c r="C40" s="47">
        <f t="shared" si="0"/>
        <v>44670</v>
      </c>
      <c r="D40" s="48">
        <f t="shared" si="1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2"/>
        <v>7</v>
      </c>
      <c r="C41" s="47">
        <f t="shared" si="0"/>
        <v>44670</v>
      </c>
      <c r="D41" s="48">
        <f t="shared" si="1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2"/>
        <v>7</v>
      </c>
      <c r="C42" s="47">
        <f t="shared" si="0"/>
        <v>44670</v>
      </c>
      <c r="D42" s="48">
        <f t="shared" si="1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2"/>
        <v>7</v>
      </c>
      <c r="C43" s="47">
        <f t="shared" si="0"/>
        <v>44670</v>
      </c>
      <c r="D43" s="48">
        <f t="shared" si="1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2"/>
        <v>7</v>
      </c>
      <c r="C44" s="47">
        <f t="shared" si="0"/>
        <v>44670</v>
      </c>
      <c r="D44" s="48">
        <f t="shared" si="1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2"/>
        <v>7</v>
      </c>
      <c r="C45" s="47">
        <f t="shared" si="0"/>
        <v>44670</v>
      </c>
      <c r="D45" s="48">
        <f t="shared" si="1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2"/>
        <v>7</v>
      </c>
      <c r="C46" s="47">
        <f t="shared" si="0"/>
        <v>44670</v>
      </c>
      <c r="D46" s="48">
        <f t="shared" si="1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0"/>
        <v>44670</v>
      </c>
      <c r="D47" s="48">
        <f t="shared" si="1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52" si="7">A48-A47</f>
        <v>7</v>
      </c>
      <c r="C48" s="47">
        <f t="shared" si="0"/>
        <v>44670</v>
      </c>
      <c r="D48" s="48">
        <f t="shared" si="1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0"/>
        <v>44670</v>
      </c>
      <c r="D49" s="48">
        <f t="shared" si="1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0"/>
        <v>44670</v>
      </c>
      <c r="D50" s="48">
        <f t="shared" si="1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0"/>
        <v>44670</v>
      </c>
      <c r="D51" s="48">
        <f t="shared" si="1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0"/>
        <v>44670</v>
      </c>
      <c r="D52" s="48">
        <f t="shared" si="1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70">
        <v>44109</v>
      </c>
      <c r="B53" s="84">
        <f t="shared" ref="B53:B98" si="8">B13</f>
        <v>7</v>
      </c>
      <c r="C53" s="90">
        <f>$E$2</f>
        <v>39173</v>
      </c>
      <c r="D53" s="91">
        <f t="shared" si="1"/>
        <v>34324.26</v>
      </c>
      <c r="E53" s="90">
        <f>ROUND(F53*$B$2*B53/365,2)</f>
        <v>4848.74</v>
      </c>
      <c r="F53" s="90">
        <f>F13</f>
        <v>1685514.64</v>
      </c>
      <c r="G53" s="90">
        <f t="shared" si="4"/>
        <v>1651190.38</v>
      </c>
    </row>
    <row r="54" spans="1:7" x14ac:dyDescent="0.25">
      <c r="A54" s="36">
        <v>44116</v>
      </c>
      <c r="B54" s="168">
        <f t="shared" si="8"/>
        <v>7</v>
      </c>
      <c r="C54" s="68">
        <f t="shared" ref="C54:C65" si="9">$E$2</f>
        <v>39173</v>
      </c>
      <c r="D54" s="92">
        <f t="shared" si="1"/>
        <v>34423</v>
      </c>
      <c r="E54" s="68">
        <f t="shared" ref="E54:E55" si="10">ROUND(F54*$B$2*B54/365,2)</f>
        <v>4750</v>
      </c>
      <c r="F54" s="68">
        <f>G53</f>
        <v>1651190.38</v>
      </c>
      <c r="G54" s="68">
        <f t="shared" si="4"/>
        <v>1616767.38</v>
      </c>
    </row>
    <row r="55" spans="1:7" x14ac:dyDescent="0.25">
      <c r="A55" s="36">
        <v>44123</v>
      </c>
      <c r="B55" s="168">
        <f t="shared" si="8"/>
        <v>7</v>
      </c>
      <c r="C55" s="68">
        <f t="shared" si="9"/>
        <v>39173</v>
      </c>
      <c r="D55" s="92">
        <f t="shared" si="1"/>
        <v>34522.03</v>
      </c>
      <c r="E55" s="68">
        <f t="shared" si="10"/>
        <v>4650.97</v>
      </c>
      <c r="F55" s="172">
        <f>G54</f>
        <v>1616767.38</v>
      </c>
      <c r="G55" s="68">
        <f t="shared" si="4"/>
        <v>1582245.3499999999</v>
      </c>
    </row>
    <row r="56" spans="1:7" x14ac:dyDescent="0.25">
      <c r="A56" s="36">
        <v>44130</v>
      </c>
      <c r="B56" s="168">
        <f t="shared" si="8"/>
        <v>7</v>
      </c>
      <c r="C56" s="68">
        <f t="shared" si="9"/>
        <v>39173</v>
      </c>
      <c r="D56" s="92">
        <f t="shared" ref="D56:D98" si="11">C56-E56</f>
        <v>34621.339999999997</v>
      </c>
      <c r="E56" s="68">
        <f t="shared" ref="E56:E65" si="12">ROUND(F56*$B$2*B56/365,2)</f>
        <v>4551.66</v>
      </c>
      <c r="F56" s="172">
        <f t="shared" ref="F56:F98" si="13">G55</f>
        <v>1582245.3499999999</v>
      </c>
      <c r="G56" s="68">
        <f t="shared" ref="G56:G98" si="14">F56-D56</f>
        <v>1547624.0099999998</v>
      </c>
    </row>
    <row r="57" spans="1:7" x14ac:dyDescent="0.25">
      <c r="A57" s="54">
        <v>44137</v>
      </c>
      <c r="B57" s="168">
        <f t="shared" si="8"/>
        <v>7</v>
      </c>
      <c r="C57" s="68">
        <f t="shared" si="9"/>
        <v>39173</v>
      </c>
      <c r="D57" s="92">
        <f t="shared" si="11"/>
        <v>34720.93</v>
      </c>
      <c r="E57" s="68">
        <f t="shared" si="12"/>
        <v>4452.07</v>
      </c>
      <c r="F57" s="172">
        <f t="shared" si="13"/>
        <v>1547624.0099999998</v>
      </c>
      <c r="G57" s="68">
        <f t="shared" si="14"/>
        <v>1512903.0799999998</v>
      </c>
    </row>
    <row r="58" spans="1:7" x14ac:dyDescent="0.25">
      <c r="A58" s="36">
        <v>44144</v>
      </c>
      <c r="B58" s="168">
        <f t="shared" si="8"/>
        <v>7</v>
      </c>
      <c r="C58" s="68">
        <f t="shared" si="9"/>
        <v>39173</v>
      </c>
      <c r="D58" s="92">
        <f t="shared" si="11"/>
        <v>34820.81</v>
      </c>
      <c r="E58" s="68">
        <f t="shared" si="12"/>
        <v>4352.1899999999996</v>
      </c>
      <c r="F58" s="172">
        <f t="shared" si="13"/>
        <v>1512903.0799999998</v>
      </c>
      <c r="G58" s="68">
        <f t="shared" si="14"/>
        <v>1478082.2699999998</v>
      </c>
    </row>
    <row r="59" spans="1:7" x14ac:dyDescent="0.25">
      <c r="A59" s="36">
        <v>44151</v>
      </c>
      <c r="B59" s="168">
        <f t="shared" si="8"/>
        <v>7</v>
      </c>
      <c r="C59" s="68">
        <f t="shared" si="9"/>
        <v>39173</v>
      </c>
      <c r="D59" s="92">
        <f t="shared" si="11"/>
        <v>34920.979999999996</v>
      </c>
      <c r="E59" s="68">
        <f t="shared" si="12"/>
        <v>4252.0200000000004</v>
      </c>
      <c r="F59" s="172">
        <f t="shared" si="13"/>
        <v>1478082.2699999998</v>
      </c>
      <c r="G59" s="68">
        <f t="shared" si="14"/>
        <v>1443161.2899999998</v>
      </c>
    </row>
    <row r="60" spans="1:7" x14ac:dyDescent="0.25">
      <c r="A60" s="36">
        <v>44158</v>
      </c>
      <c r="B60" s="168">
        <f t="shared" si="8"/>
        <v>7</v>
      </c>
      <c r="C60" s="68">
        <f t="shared" si="9"/>
        <v>39173</v>
      </c>
      <c r="D60" s="92">
        <f t="shared" si="11"/>
        <v>35021.440000000002</v>
      </c>
      <c r="E60" s="68">
        <f t="shared" si="12"/>
        <v>4151.5600000000004</v>
      </c>
      <c r="F60" s="172">
        <f t="shared" si="13"/>
        <v>1443161.2899999998</v>
      </c>
      <c r="G60" s="68">
        <f t="shared" si="14"/>
        <v>1408139.8499999999</v>
      </c>
    </row>
    <row r="61" spans="1:7" x14ac:dyDescent="0.25">
      <c r="A61" s="36">
        <v>44165</v>
      </c>
      <c r="B61" s="168">
        <f t="shared" si="8"/>
        <v>7</v>
      </c>
      <c r="C61" s="68">
        <f t="shared" si="9"/>
        <v>39173</v>
      </c>
      <c r="D61" s="92">
        <f t="shared" si="11"/>
        <v>35122.19</v>
      </c>
      <c r="E61" s="68">
        <f t="shared" si="12"/>
        <v>4050.81</v>
      </c>
      <c r="F61" s="172">
        <f t="shared" si="13"/>
        <v>1408139.8499999999</v>
      </c>
      <c r="G61" s="68">
        <f t="shared" si="14"/>
        <v>1373017.66</v>
      </c>
    </row>
    <row r="62" spans="1:7" x14ac:dyDescent="0.25">
      <c r="A62" s="36">
        <v>44172</v>
      </c>
      <c r="B62" s="168">
        <f t="shared" si="8"/>
        <v>7</v>
      </c>
      <c r="C62" s="68">
        <f t="shared" si="9"/>
        <v>39173</v>
      </c>
      <c r="D62" s="92">
        <f t="shared" si="11"/>
        <v>35223.22</v>
      </c>
      <c r="E62" s="68">
        <f t="shared" si="12"/>
        <v>3949.78</v>
      </c>
      <c r="F62" s="172">
        <f t="shared" si="13"/>
        <v>1373017.66</v>
      </c>
      <c r="G62" s="68">
        <f t="shared" si="14"/>
        <v>1337794.44</v>
      </c>
    </row>
    <row r="63" spans="1:7" x14ac:dyDescent="0.25">
      <c r="A63" s="36">
        <v>44179</v>
      </c>
      <c r="B63" s="168">
        <f t="shared" si="8"/>
        <v>7</v>
      </c>
      <c r="C63" s="68">
        <f t="shared" si="9"/>
        <v>39173</v>
      </c>
      <c r="D63" s="92">
        <f t="shared" si="11"/>
        <v>35324.550000000003</v>
      </c>
      <c r="E63" s="68">
        <f t="shared" si="12"/>
        <v>3848.45</v>
      </c>
      <c r="F63" s="172">
        <f t="shared" si="13"/>
        <v>1337794.44</v>
      </c>
      <c r="G63" s="68">
        <f t="shared" si="14"/>
        <v>1302469.8899999999</v>
      </c>
    </row>
    <row r="64" spans="1:7" x14ac:dyDescent="0.25">
      <c r="A64" s="36">
        <v>44186</v>
      </c>
      <c r="B64" s="168">
        <f t="shared" si="8"/>
        <v>7</v>
      </c>
      <c r="C64" s="68">
        <f t="shared" si="9"/>
        <v>39173</v>
      </c>
      <c r="D64" s="92">
        <f t="shared" si="11"/>
        <v>35426.17</v>
      </c>
      <c r="E64" s="68">
        <f t="shared" si="12"/>
        <v>3746.83</v>
      </c>
      <c r="F64" s="172">
        <f t="shared" si="13"/>
        <v>1302469.8899999999</v>
      </c>
      <c r="G64" s="68">
        <f t="shared" si="14"/>
        <v>1267043.72</v>
      </c>
    </row>
    <row r="65" spans="1:7" x14ac:dyDescent="0.25">
      <c r="A65" s="36">
        <v>44193</v>
      </c>
      <c r="B65" s="168">
        <f t="shared" si="8"/>
        <v>7</v>
      </c>
      <c r="C65" s="68">
        <f t="shared" si="9"/>
        <v>39173</v>
      </c>
      <c r="D65" s="92">
        <f t="shared" si="11"/>
        <v>35528.080000000002</v>
      </c>
      <c r="E65" s="68">
        <f t="shared" si="12"/>
        <v>3644.92</v>
      </c>
      <c r="F65" s="172">
        <f t="shared" si="13"/>
        <v>1267043.72</v>
      </c>
      <c r="G65" s="68">
        <f t="shared" si="14"/>
        <v>1231515.6399999999</v>
      </c>
    </row>
    <row r="66" spans="1:7" x14ac:dyDescent="0.25">
      <c r="A66" s="36">
        <v>44200</v>
      </c>
      <c r="B66" s="168">
        <f t="shared" si="8"/>
        <v>7</v>
      </c>
      <c r="C66" s="68">
        <f>$H$2</f>
        <v>41014</v>
      </c>
      <c r="D66" s="92">
        <f t="shared" si="11"/>
        <v>35952.979999999996</v>
      </c>
      <c r="E66" s="68">
        <f>ROUND(F66*$B$2*J1/365+F66*$I$2*J2/365,2)</f>
        <v>5061.0200000000004</v>
      </c>
      <c r="F66" s="172">
        <f t="shared" si="13"/>
        <v>1231515.6399999999</v>
      </c>
      <c r="G66" s="68">
        <f t="shared" si="14"/>
        <v>1195562.6599999999</v>
      </c>
    </row>
    <row r="67" spans="1:7" x14ac:dyDescent="0.25">
      <c r="A67" s="36">
        <v>44207</v>
      </c>
      <c r="B67" s="168">
        <f t="shared" si="8"/>
        <v>7</v>
      </c>
      <c r="C67" s="68">
        <f t="shared" ref="C67:C98" si="15">$H$2</f>
        <v>41014</v>
      </c>
      <c r="D67" s="92">
        <f t="shared" si="11"/>
        <v>34135.42</v>
      </c>
      <c r="E67" s="68">
        <f t="shared" ref="E67:E97" si="16">ROUND(F67*$I$2*B67/365,2)</f>
        <v>6878.58</v>
      </c>
      <c r="F67" s="172">
        <f t="shared" si="13"/>
        <v>1195562.6599999999</v>
      </c>
      <c r="G67" s="68">
        <f t="shared" si="14"/>
        <v>1161427.24</v>
      </c>
    </row>
    <row r="68" spans="1:7" x14ac:dyDescent="0.25">
      <c r="A68" s="36">
        <v>44214</v>
      </c>
      <c r="B68" s="168">
        <f t="shared" si="8"/>
        <v>7</v>
      </c>
      <c r="C68" s="68">
        <f t="shared" si="15"/>
        <v>41014</v>
      </c>
      <c r="D68" s="92">
        <f t="shared" si="11"/>
        <v>34331.82</v>
      </c>
      <c r="E68" s="68">
        <f t="shared" si="16"/>
        <v>6682.18</v>
      </c>
      <c r="F68" s="172">
        <f t="shared" si="13"/>
        <v>1161427.24</v>
      </c>
      <c r="G68" s="68">
        <f t="shared" si="14"/>
        <v>1127095.42</v>
      </c>
    </row>
    <row r="69" spans="1:7" x14ac:dyDescent="0.25">
      <c r="A69" s="36">
        <v>44221</v>
      </c>
      <c r="B69" s="168">
        <f t="shared" si="8"/>
        <v>7</v>
      </c>
      <c r="C69" s="68">
        <f t="shared" si="15"/>
        <v>41014</v>
      </c>
      <c r="D69" s="92">
        <f t="shared" si="11"/>
        <v>34529.339999999997</v>
      </c>
      <c r="E69" s="68">
        <f t="shared" si="16"/>
        <v>6484.66</v>
      </c>
      <c r="F69" s="172">
        <f t="shared" si="13"/>
        <v>1127095.42</v>
      </c>
      <c r="G69" s="68">
        <f t="shared" si="14"/>
        <v>1092566.0799999998</v>
      </c>
    </row>
    <row r="70" spans="1:7" x14ac:dyDescent="0.25">
      <c r="A70" s="36">
        <v>44228</v>
      </c>
      <c r="B70" s="168">
        <f t="shared" si="8"/>
        <v>7</v>
      </c>
      <c r="C70" s="68">
        <f t="shared" si="15"/>
        <v>41014</v>
      </c>
      <c r="D70" s="92">
        <f t="shared" si="11"/>
        <v>34728</v>
      </c>
      <c r="E70" s="68">
        <f t="shared" si="16"/>
        <v>6286</v>
      </c>
      <c r="F70" s="172">
        <f t="shared" si="13"/>
        <v>1092566.0799999998</v>
      </c>
      <c r="G70" s="68">
        <f t="shared" si="14"/>
        <v>1057838.0799999998</v>
      </c>
    </row>
    <row r="71" spans="1:7" x14ac:dyDescent="0.25">
      <c r="A71" s="36">
        <v>44235</v>
      </c>
      <c r="B71" s="168">
        <f t="shared" si="8"/>
        <v>7</v>
      </c>
      <c r="C71" s="68">
        <f t="shared" si="15"/>
        <v>41014</v>
      </c>
      <c r="D71" s="92">
        <f t="shared" si="11"/>
        <v>34927.81</v>
      </c>
      <c r="E71" s="68">
        <f t="shared" si="16"/>
        <v>6086.19</v>
      </c>
      <c r="F71" s="172">
        <f t="shared" si="13"/>
        <v>1057838.0799999998</v>
      </c>
      <c r="G71" s="68">
        <f t="shared" si="14"/>
        <v>1022910.2699999998</v>
      </c>
    </row>
    <row r="72" spans="1:7" x14ac:dyDescent="0.25">
      <c r="A72" s="36">
        <v>44242</v>
      </c>
      <c r="B72" s="168">
        <f t="shared" si="8"/>
        <v>7</v>
      </c>
      <c r="C72" s="68">
        <f t="shared" si="15"/>
        <v>41014</v>
      </c>
      <c r="D72" s="92">
        <f t="shared" si="11"/>
        <v>35128.76</v>
      </c>
      <c r="E72" s="68">
        <f t="shared" si="16"/>
        <v>5885.24</v>
      </c>
      <c r="F72" s="172">
        <f t="shared" si="13"/>
        <v>1022910.2699999998</v>
      </c>
      <c r="G72" s="68">
        <f t="shared" si="14"/>
        <v>987781.50999999978</v>
      </c>
    </row>
    <row r="73" spans="1:7" x14ac:dyDescent="0.25">
      <c r="A73" s="36">
        <v>44249</v>
      </c>
      <c r="B73" s="168">
        <f t="shared" si="8"/>
        <v>7</v>
      </c>
      <c r="C73" s="68">
        <f t="shared" si="15"/>
        <v>41014</v>
      </c>
      <c r="D73" s="92">
        <f t="shared" si="11"/>
        <v>35330.870000000003</v>
      </c>
      <c r="E73" s="68">
        <f t="shared" si="16"/>
        <v>5683.13</v>
      </c>
      <c r="F73" s="172">
        <f t="shared" si="13"/>
        <v>987781.50999999978</v>
      </c>
      <c r="G73" s="68">
        <f t="shared" si="14"/>
        <v>952450.63999999978</v>
      </c>
    </row>
    <row r="74" spans="1:7" x14ac:dyDescent="0.25">
      <c r="A74" s="36">
        <v>44256</v>
      </c>
      <c r="B74" s="168">
        <f t="shared" si="8"/>
        <v>7</v>
      </c>
      <c r="C74" s="68">
        <f t="shared" si="15"/>
        <v>41014</v>
      </c>
      <c r="D74" s="92">
        <f t="shared" si="11"/>
        <v>35534.15</v>
      </c>
      <c r="E74" s="68">
        <f t="shared" si="16"/>
        <v>5479.85</v>
      </c>
      <c r="F74" s="172">
        <f t="shared" si="13"/>
        <v>952450.63999999978</v>
      </c>
      <c r="G74" s="68">
        <f t="shared" si="14"/>
        <v>916916.48999999976</v>
      </c>
    </row>
    <row r="75" spans="1:7" x14ac:dyDescent="0.25">
      <c r="A75" s="36">
        <v>44263</v>
      </c>
      <c r="B75" s="168">
        <f t="shared" si="8"/>
        <v>7</v>
      </c>
      <c r="C75" s="68">
        <f t="shared" si="15"/>
        <v>41014</v>
      </c>
      <c r="D75" s="92">
        <f t="shared" si="11"/>
        <v>35738.589999999997</v>
      </c>
      <c r="E75" s="68">
        <f t="shared" si="16"/>
        <v>5275.41</v>
      </c>
      <c r="F75" s="172">
        <f t="shared" si="13"/>
        <v>916916.48999999976</v>
      </c>
      <c r="G75" s="68">
        <f t="shared" si="14"/>
        <v>881177.89999999979</v>
      </c>
    </row>
    <row r="76" spans="1:7" x14ac:dyDescent="0.25">
      <c r="A76" s="36">
        <v>44270</v>
      </c>
      <c r="B76" s="168">
        <f t="shared" si="8"/>
        <v>7</v>
      </c>
      <c r="C76" s="68">
        <f t="shared" si="15"/>
        <v>41014</v>
      </c>
      <c r="D76" s="92">
        <f t="shared" si="11"/>
        <v>35944.21</v>
      </c>
      <c r="E76" s="68">
        <f t="shared" si="16"/>
        <v>5069.79</v>
      </c>
      <c r="F76" s="172">
        <f t="shared" si="13"/>
        <v>881177.89999999979</v>
      </c>
      <c r="G76" s="68">
        <f t="shared" si="14"/>
        <v>845233.68999999983</v>
      </c>
    </row>
    <row r="77" spans="1:7" x14ac:dyDescent="0.25">
      <c r="A77" s="36">
        <v>44277</v>
      </c>
      <c r="B77" s="168">
        <f t="shared" si="8"/>
        <v>7</v>
      </c>
      <c r="C77" s="68">
        <f t="shared" si="15"/>
        <v>41014</v>
      </c>
      <c r="D77" s="92">
        <f t="shared" si="11"/>
        <v>36151.01</v>
      </c>
      <c r="E77" s="68">
        <f t="shared" si="16"/>
        <v>4862.99</v>
      </c>
      <c r="F77" s="172">
        <f t="shared" si="13"/>
        <v>845233.68999999983</v>
      </c>
      <c r="G77" s="68">
        <f t="shared" si="14"/>
        <v>809082.67999999982</v>
      </c>
    </row>
    <row r="78" spans="1:7" x14ac:dyDescent="0.25">
      <c r="A78" s="36">
        <v>44284</v>
      </c>
      <c r="B78" s="168">
        <f t="shared" si="8"/>
        <v>7</v>
      </c>
      <c r="C78" s="68">
        <f t="shared" si="15"/>
        <v>41014</v>
      </c>
      <c r="D78" s="92">
        <f t="shared" si="11"/>
        <v>36359</v>
      </c>
      <c r="E78" s="68">
        <f t="shared" si="16"/>
        <v>4655</v>
      </c>
      <c r="F78" s="172">
        <f t="shared" si="13"/>
        <v>809082.67999999982</v>
      </c>
      <c r="G78" s="68">
        <f t="shared" si="14"/>
        <v>772723.67999999982</v>
      </c>
    </row>
    <row r="79" spans="1:7" x14ac:dyDescent="0.25">
      <c r="A79" s="36">
        <v>44291</v>
      </c>
      <c r="B79" s="168">
        <f t="shared" si="8"/>
        <v>7</v>
      </c>
      <c r="C79" s="68">
        <f t="shared" si="15"/>
        <v>41014</v>
      </c>
      <c r="D79" s="92">
        <f t="shared" si="11"/>
        <v>36568.19</v>
      </c>
      <c r="E79" s="68">
        <f t="shared" si="16"/>
        <v>4445.8100000000004</v>
      </c>
      <c r="F79" s="172">
        <f t="shared" si="13"/>
        <v>772723.67999999982</v>
      </c>
      <c r="G79" s="68">
        <f t="shared" si="14"/>
        <v>736155.48999999976</v>
      </c>
    </row>
    <row r="80" spans="1:7" x14ac:dyDescent="0.25">
      <c r="A80" s="36">
        <v>44298</v>
      </c>
      <c r="B80" s="168">
        <f t="shared" si="8"/>
        <v>7</v>
      </c>
      <c r="C80" s="68">
        <f t="shared" si="15"/>
        <v>41014</v>
      </c>
      <c r="D80" s="92">
        <f t="shared" si="11"/>
        <v>36778.58</v>
      </c>
      <c r="E80" s="68">
        <f t="shared" si="16"/>
        <v>4235.42</v>
      </c>
      <c r="F80" s="172">
        <f t="shared" si="13"/>
        <v>736155.48999999976</v>
      </c>
      <c r="G80" s="68">
        <f t="shared" si="14"/>
        <v>699376.9099999998</v>
      </c>
    </row>
    <row r="81" spans="1:7" x14ac:dyDescent="0.25">
      <c r="A81" s="36">
        <v>44305</v>
      </c>
      <c r="B81" s="168">
        <f t="shared" si="8"/>
        <v>7</v>
      </c>
      <c r="C81" s="68">
        <f t="shared" si="15"/>
        <v>41014</v>
      </c>
      <c r="D81" s="92">
        <f t="shared" si="11"/>
        <v>36990.19</v>
      </c>
      <c r="E81" s="68">
        <f t="shared" si="16"/>
        <v>4023.81</v>
      </c>
      <c r="F81" s="172">
        <f t="shared" si="13"/>
        <v>699376.9099999998</v>
      </c>
      <c r="G81" s="68">
        <f t="shared" si="14"/>
        <v>662386.71999999974</v>
      </c>
    </row>
    <row r="82" spans="1:7" x14ac:dyDescent="0.25">
      <c r="A82" s="36">
        <v>44312</v>
      </c>
      <c r="B82" s="168">
        <f t="shared" si="8"/>
        <v>7</v>
      </c>
      <c r="C82" s="68">
        <f t="shared" si="15"/>
        <v>41014</v>
      </c>
      <c r="D82" s="92">
        <f t="shared" si="11"/>
        <v>37203.01</v>
      </c>
      <c r="E82" s="68">
        <f t="shared" si="16"/>
        <v>3810.99</v>
      </c>
      <c r="F82" s="172">
        <f t="shared" si="13"/>
        <v>662386.71999999974</v>
      </c>
      <c r="G82" s="68">
        <f t="shared" si="14"/>
        <v>625183.70999999973</v>
      </c>
    </row>
    <row r="83" spans="1:7" x14ac:dyDescent="0.25">
      <c r="A83" s="36">
        <v>44319</v>
      </c>
      <c r="B83" s="168">
        <f t="shared" si="8"/>
        <v>7</v>
      </c>
      <c r="C83" s="68">
        <f t="shared" si="15"/>
        <v>41014</v>
      </c>
      <c r="D83" s="92">
        <f t="shared" si="11"/>
        <v>37417.050000000003</v>
      </c>
      <c r="E83" s="68">
        <f t="shared" si="16"/>
        <v>3596.95</v>
      </c>
      <c r="F83" s="172">
        <f t="shared" si="13"/>
        <v>625183.70999999973</v>
      </c>
      <c r="G83" s="68">
        <f t="shared" si="14"/>
        <v>587766.65999999968</v>
      </c>
    </row>
    <row r="84" spans="1:7" x14ac:dyDescent="0.25">
      <c r="A84" s="36">
        <v>44326</v>
      </c>
      <c r="B84" s="168">
        <f t="shared" si="8"/>
        <v>7</v>
      </c>
      <c r="C84" s="68">
        <f t="shared" si="15"/>
        <v>41014</v>
      </c>
      <c r="D84" s="92">
        <f t="shared" si="11"/>
        <v>37632.33</v>
      </c>
      <c r="E84" s="68">
        <f t="shared" si="16"/>
        <v>3381.67</v>
      </c>
      <c r="F84" s="172">
        <f t="shared" si="13"/>
        <v>587766.65999999968</v>
      </c>
      <c r="G84" s="68">
        <f t="shared" si="14"/>
        <v>550134.32999999973</v>
      </c>
    </row>
    <row r="85" spans="1:7" x14ac:dyDescent="0.25">
      <c r="A85" s="36">
        <v>44333</v>
      </c>
      <c r="B85" s="168">
        <f t="shared" si="8"/>
        <v>7</v>
      </c>
      <c r="C85" s="68">
        <f t="shared" si="15"/>
        <v>41014</v>
      </c>
      <c r="D85" s="92">
        <f t="shared" si="11"/>
        <v>37848.839999999997</v>
      </c>
      <c r="E85" s="68">
        <f t="shared" si="16"/>
        <v>3165.16</v>
      </c>
      <c r="F85" s="172">
        <f t="shared" si="13"/>
        <v>550134.32999999973</v>
      </c>
      <c r="G85" s="68">
        <f t="shared" si="14"/>
        <v>512285.48999999976</v>
      </c>
    </row>
    <row r="86" spans="1:7" x14ac:dyDescent="0.25">
      <c r="A86" s="36">
        <v>44340</v>
      </c>
      <c r="B86" s="168">
        <f t="shared" si="8"/>
        <v>7</v>
      </c>
      <c r="C86" s="68">
        <f t="shared" si="15"/>
        <v>41014</v>
      </c>
      <c r="D86" s="92">
        <f t="shared" si="11"/>
        <v>38066.6</v>
      </c>
      <c r="E86" s="68">
        <f t="shared" si="16"/>
        <v>2947.4</v>
      </c>
      <c r="F86" s="172">
        <f t="shared" si="13"/>
        <v>512285.48999999976</v>
      </c>
      <c r="G86" s="68">
        <f t="shared" si="14"/>
        <v>474218.88999999978</v>
      </c>
    </row>
    <row r="87" spans="1:7" x14ac:dyDescent="0.25">
      <c r="A87" s="36">
        <v>44347</v>
      </c>
      <c r="B87" s="168">
        <f t="shared" si="8"/>
        <v>7</v>
      </c>
      <c r="C87" s="68">
        <f t="shared" si="15"/>
        <v>41014</v>
      </c>
      <c r="D87" s="92">
        <f t="shared" si="11"/>
        <v>38285.620000000003</v>
      </c>
      <c r="E87" s="68">
        <f t="shared" si="16"/>
        <v>2728.38</v>
      </c>
      <c r="F87" s="172">
        <f t="shared" si="13"/>
        <v>474218.88999999978</v>
      </c>
      <c r="G87" s="68">
        <f t="shared" si="14"/>
        <v>435933.26999999979</v>
      </c>
    </row>
    <row r="88" spans="1:7" x14ac:dyDescent="0.25">
      <c r="A88" s="36">
        <v>44354</v>
      </c>
      <c r="B88" s="168">
        <f t="shared" si="8"/>
        <v>7</v>
      </c>
      <c r="C88" s="68">
        <f t="shared" si="15"/>
        <v>41014</v>
      </c>
      <c r="D88" s="92">
        <f t="shared" si="11"/>
        <v>38505.89</v>
      </c>
      <c r="E88" s="68">
        <f t="shared" si="16"/>
        <v>2508.11</v>
      </c>
      <c r="F88" s="172">
        <f t="shared" si="13"/>
        <v>435933.26999999979</v>
      </c>
      <c r="G88" s="68">
        <f t="shared" si="14"/>
        <v>397427.37999999977</v>
      </c>
    </row>
    <row r="89" spans="1:7" x14ac:dyDescent="0.25">
      <c r="A89" s="36">
        <v>44361</v>
      </c>
      <c r="B89" s="168">
        <f t="shared" si="8"/>
        <v>7</v>
      </c>
      <c r="C89" s="68">
        <f t="shared" si="15"/>
        <v>41014</v>
      </c>
      <c r="D89" s="92">
        <f t="shared" si="11"/>
        <v>38727.43</v>
      </c>
      <c r="E89" s="68">
        <f t="shared" si="16"/>
        <v>2286.5700000000002</v>
      </c>
      <c r="F89" s="172">
        <f t="shared" si="13"/>
        <v>397427.37999999977</v>
      </c>
      <c r="G89" s="68">
        <f t="shared" si="14"/>
        <v>358699.94999999978</v>
      </c>
    </row>
    <row r="90" spans="1:7" x14ac:dyDescent="0.25">
      <c r="A90" s="36">
        <v>44368</v>
      </c>
      <c r="B90" s="168">
        <f t="shared" si="8"/>
        <v>7</v>
      </c>
      <c r="C90" s="68">
        <f t="shared" si="15"/>
        <v>41014</v>
      </c>
      <c r="D90" s="92">
        <f t="shared" si="11"/>
        <v>38950.25</v>
      </c>
      <c r="E90" s="68">
        <f t="shared" si="16"/>
        <v>2063.75</v>
      </c>
      <c r="F90" s="172">
        <f t="shared" si="13"/>
        <v>358699.94999999978</v>
      </c>
      <c r="G90" s="68">
        <f t="shared" si="14"/>
        <v>319749.69999999978</v>
      </c>
    </row>
    <row r="91" spans="1:7" x14ac:dyDescent="0.25">
      <c r="A91" s="36">
        <v>44375</v>
      </c>
      <c r="B91" s="168">
        <f t="shared" si="8"/>
        <v>7</v>
      </c>
      <c r="C91" s="68">
        <f t="shared" si="15"/>
        <v>41014</v>
      </c>
      <c r="D91" s="92">
        <f t="shared" si="11"/>
        <v>39174.339999999997</v>
      </c>
      <c r="E91" s="68">
        <f t="shared" si="16"/>
        <v>1839.66</v>
      </c>
      <c r="F91" s="172">
        <f t="shared" si="13"/>
        <v>319749.69999999978</v>
      </c>
      <c r="G91" s="68">
        <f t="shared" si="14"/>
        <v>280575.35999999975</v>
      </c>
    </row>
    <row r="92" spans="1:7" x14ac:dyDescent="0.25">
      <c r="A92" s="36">
        <v>44382</v>
      </c>
      <c r="B92" s="168">
        <f t="shared" si="8"/>
        <v>7</v>
      </c>
      <c r="C92" s="68">
        <f t="shared" si="15"/>
        <v>41014</v>
      </c>
      <c r="D92" s="92">
        <f t="shared" si="11"/>
        <v>39399.730000000003</v>
      </c>
      <c r="E92" s="68">
        <f t="shared" si="16"/>
        <v>1614.27</v>
      </c>
      <c r="F92" s="172">
        <f t="shared" si="13"/>
        <v>280575.35999999975</v>
      </c>
      <c r="G92" s="68">
        <f t="shared" si="14"/>
        <v>241175.62999999974</v>
      </c>
    </row>
    <row r="93" spans="1:7" x14ac:dyDescent="0.25">
      <c r="A93" s="36">
        <v>44389</v>
      </c>
      <c r="B93" s="168">
        <f t="shared" si="8"/>
        <v>7</v>
      </c>
      <c r="C93" s="68">
        <f t="shared" si="15"/>
        <v>41014</v>
      </c>
      <c r="D93" s="92">
        <f t="shared" si="11"/>
        <v>39626.410000000003</v>
      </c>
      <c r="E93" s="68">
        <f t="shared" si="16"/>
        <v>1387.59</v>
      </c>
      <c r="F93" s="172">
        <f t="shared" si="13"/>
        <v>241175.62999999974</v>
      </c>
      <c r="G93" s="68">
        <f t="shared" si="14"/>
        <v>201549.21999999974</v>
      </c>
    </row>
    <row r="94" spans="1:7" x14ac:dyDescent="0.25">
      <c r="A94" s="36">
        <v>44396</v>
      </c>
      <c r="B94" s="168">
        <f t="shared" si="8"/>
        <v>7</v>
      </c>
      <c r="C94" s="68">
        <f t="shared" si="15"/>
        <v>41014</v>
      </c>
      <c r="D94" s="92">
        <f t="shared" si="11"/>
        <v>39854.400000000001</v>
      </c>
      <c r="E94" s="68">
        <f t="shared" si="16"/>
        <v>1159.5999999999999</v>
      </c>
      <c r="F94" s="172">
        <f t="shared" si="13"/>
        <v>201549.21999999974</v>
      </c>
      <c r="G94" s="68">
        <f t="shared" si="14"/>
        <v>161694.81999999975</v>
      </c>
    </row>
    <row r="95" spans="1:7" x14ac:dyDescent="0.25">
      <c r="A95" s="36">
        <v>44403</v>
      </c>
      <c r="B95" s="168">
        <f t="shared" si="8"/>
        <v>7</v>
      </c>
      <c r="C95" s="68">
        <f t="shared" si="15"/>
        <v>41014</v>
      </c>
      <c r="D95" s="92">
        <f t="shared" si="11"/>
        <v>40083.699999999997</v>
      </c>
      <c r="E95" s="68">
        <f t="shared" si="16"/>
        <v>930.3</v>
      </c>
      <c r="F95" s="172">
        <f t="shared" si="13"/>
        <v>161694.81999999975</v>
      </c>
      <c r="G95" s="68">
        <f t="shared" si="14"/>
        <v>121611.11999999975</v>
      </c>
    </row>
    <row r="96" spans="1:7" x14ac:dyDescent="0.25">
      <c r="A96" s="36">
        <v>44410</v>
      </c>
      <c r="B96" s="168">
        <f t="shared" si="8"/>
        <v>7</v>
      </c>
      <c r="C96" s="68">
        <f t="shared" si="15"/>
        <v>41014</v>
      </c>
      <c r="D96" s="92">
        <f t="shared" si="11"/>
        <v>40314.32</v>
      </c>
      <c r="E96" s="68">
        <f t="shared" si="16"/>
        <v>699.68</v>
      </c>
      <c r="F96" s="172">
        <f t="shared" si="13"/>
        <v>121611.11999999975</v>
      </c>
      <c r="G96" s="68">
        <f t="shared" si="14"/>
        <v>81296.799999999756</v>
      </c>
    </row>
    <row r="97" spans="1:7" x14ac:dyDescent="0.25">
      <c r="A97" s="36">
        <v>44417</v>
      </c>
      <c r="B97" s="168">
        <f t="shared" si="8"/>
        <v>7</v>
      </c>
      <c r="C97" s="68">
        <f t="shared" si="15"/>
        <v>41014</v>
      </c>
      <c r="D97" s="92">
        <f t="shared" si="11"/>
        <v>40546.26</v>
      </c>
      <c r="E97" s="68">
        <f t="shared" si="16"/>
        <v>467.74</v>
      </c>
      <c r="F97" s="172">
        <f t="shared" si="13"/>
        <v>81296.799999999756</v>
      </c>
      <c r="G97" s="68">
        <f t="shared" si="14"/>
        <v>40750.539999999753</v>
      </c>
    </row>
    <row r="98" spans="1:7" x14ac:dyDescent="0.25">
      <c r="A98" s="36">
        <v>44424</v>
      </c>
      <c r="B98" s="168">
        <f t="shared" si="8"/>
        <v>7</v>
      </c>
      <c r="C98" s="68">
        <f t="shared" si="15"/>
        <v>41014</v>
      </c>
      <c r="D98" s="92">
        <f t="shared" si="11"/>
        <v>40750.539999999753</v>
      </c>
      <c r="E98" s="68">
        <v>263.46000000024378</v>
      </c>
      <c r="F98" s="172">
        <f t="shared" si="13"/>
        <v>40750.539999999753</v>
      </c>
      <c r="G98" s="68">
        <f t="shared" si="14"/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C5A08D-41B2-4BBD-8EEC-5A107315C5BF}">
  <dimension ref="A1:J98"/>
  <sheetViews>
    <sheetView zoomScale="86" zoomScaleNormal="80" workbookViewId="0">
      <pane ySplit="3" topLeftCell="A85" activePane="bottomLeft" state="frozen"/>
      <selection activeCell="O1" sqref="O1"/>
      <selection pane="bottomLeft" activeCell="A100" sqref="A100:XFD100"/>
    </sheetView>
  </sheetViews>
  <sheetFormatPr defaultRowHeight="15" x14ac:dyDescent="0.25"/>
  <cols>
    <col min="1" max="1" width="15.5703125" bestFit="1" customWidth="1"/>
    <col min="2" max="2" width="12.5703125" bestFit="1" customWidth="1"/>
    <col min="3" max="3" width="23.28515625" bestFit="1" customWidth="1"/>
    <col min="4" max="4" width="10.5703125" bestFit="1" customWidth="1"/>
    <col min="5" max="5" width="14.85546875" bestFit="1" customWidth="1"/>
    <col min="6" max="6" width="15.7109375" bestFit="1" customWidth="1"/>
    <col min="7" max="7" width="19.42578125" bestFit="1" customWidth="1"/>
    <col min="8" max="8" width="15.5703125" bestFit="1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83" t="s">
        <v>106</v>
      </c>
      <c r="F1" s="124" t="s">
        <v>331</v>
      </c>
      <c r="G1" s="132" t="s">
        <v>346</v>
      </c>
      <c r="H1" s="132" t="s">
        <v>106</v>
      </c>
      <c r="I1" s="132" t="s">
        <v>359</v>
      </c>
      <c r="J1">
        <f>DAYS360(A65,G2,TRUE)</f>
        <v>3</v>
      </c>
    </row>
    <row r="2" spans="1:10" x14ac:dyDescent="0.25">
      <c r="A2" s="75" t="s">
        <v>34</v>
      </c>
      <c r="B2" s="76">
        <v>0.15</v>
      </c>
      <c r="C2" s="79">
        <f>ROUNDUP(44669.369619267,0)</f>
        <v>44670</v>
      </c>
      <c r="D2" s="125">
        <v>44105</v>
      </c>
      <c r="E2" s="166">
        <f>ROUNDUP(39172.5189190116,0)</f>
        <v>39173</v>
      </c>
      <c r="F2" s="127">
        <v>54</v>
      </c>
      <c r="G2" s="134">
        <v>44197</v>
      </c>
      <c r="H2" s="132">
        <f>ROUNDUP(41032.7884546272,0)</f>
        <v>41033</v>
      </c>
      <c r="I2" s="180">
        <v>0.3</v>
      </c>
      <c r="J2">
        <f>DAYS360(G2,A66,TRUE)</f>
        <v>3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>F4-D4</f>
        <v>2000000</v>
      </c>
    </row>
    <row r="5" spans="1:10" x14ac:dyDescent="0.25">
      <c r="A5" s="36">
        <v>44053</v>
      </c>
      <c r="B5" s="46">
        <f>DAYS360(A4,A5,TRUE)</f>
        <v>7</v>
      </c>
      <c r="C5" s="47">
        <f t="shared" ref="C5:C52" si="0">$C$2</f>
        <v>44670</v>
      </c>
      <c r="D5" s="48">
        <f t="shared" ref="D5:D54" si="1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10" x14ac:dyDescent="0.25">
      <c r="A6" s="36">
        <v>44060</v>
      </c>
      <c r="B6" s="46">
        <f t="shared" ref="B6:B69" si="2">DAYS360(A5,A6,TRUE)</f>
        <v>7</v>
      </c>
      <c r="C6" s="47">
        <f t="shared" si="0"/>
        <v>44670</v>
      </c>
      <c r="D6" s="48">
        <f t="shared" si="1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54" si="5">F6-D6</f>
        <v>1922213.3900000001</v>
      </c>
    </row>
    <row r="7" spans="1:10" x14ac:dyDescent="0.25">
      <c r="A7" s="36">
        <v>44067</v>
      </c>
      <c r="B7" s="46">
        <f t="shared" si="2"/>
        <v>7</v>
      </c>
      <c r="C7" s="47">
        <f t="shared" si="0"/>
        <v>44670</v>
      </c>
      <c r="D7" s="48">
        <f t="shared" si="1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10" x14ac:dyDescent="0.25">
      <c r="A8" s="36">
        <v>44074</v>
      </c>
      <c r="B8" s="46">
        <f t="shared" si="2"/>
        <v>6</v>
      </c>
      <c r="C8" s="47">
        <f t="shared" si="0"/>
        <v>44670</v>
      </c>
      <c r="D8" s="48">
        <f t="shared" si="1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10" x14ac:dyDescent="0.25">
      <c r="A9" s="36">
        <v>44081</v>
      </c>
      <c r="B9" s="46">
        <f t="shared" si="2"/>
        <v>7</v>
      </c>
      <c r="C9" s="47">
        <f t="shared" si="0"/>
        <v>44670</v>
      </c>
      <c r="D9" s="48">
        <f t="shared" si="1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10" x14ac:dyDescent="0.25">
      <c r="A10" s="36">
        <v>44088</v>
      </c>
      <c r="B10" s="46">
        <f t="shared" si="2"/>
        <v>7</v>
      </c>
      <c r="C10" s="47">
        <f t="shared" si="0"/>
        <v>44670</v>
      </c>
      <c r="D10" s="48">
        <f t="shared" si="1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10" x14ac:dyDescent="0.25">
      <c r="A11" s="36">
        <v>44095</v>
      </c>
      <c r="B11" s="46">
        <f t="shared" si="2"/>
        <v>7</v>
      </c>
      <c r="C11" s="47">
        <f t="shared" si="0"/>
        <v>44670</v>
      </c>
      <c r="D11" s="48">
        <f t="shared" si="1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10" x14ac:dyDescent="0.25">
      <c r="A12" s="36">
        <v>44102</v>
      </c>
      <c r="B12" s="46">
        <f t="shared" si="2"/>
        <v>7</v>
      </c>
      <c r="C12" s="47">
        <f t="shared" si="0"/>
        <v>44670</v>
      </c>
      <c r="D12" s="48">
        <f t="shared" si="1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10" x14ac:dyDescent="0.25">
      <c r="A13" s="36">
        <v>44109</v>
      </c>
      <c r="B13" s="46">
        <f t="shared" si="2"/>
        <v>7</v>
      </c>
      <c r="C13" s="47">
        <f t="shared" si="0"/>
        <v>44670</v>
      </c>
      <c r="D13" s="48">
        <f t="shared" si="1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10" x14ac:dyDescent="0.25">
      <c r="A14" s="36">
        <v>44116</v>
      </c>
      <c r="B14" s="46">
        <f t="shared" si="2"/>
        <v>7</v>
      </c>
      <c r="C14" s="47">
        <f t="shared" si="0"/>
        <v>44670</v>
      </c>
      <c r="D14" s="48">
        <f t="shared" si="1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10" x14ac:dyDescent="0.25">
      <c r="A15" s="36">
        <v>44123</v>
      </c>
      <c r="B15" s="46">
        <f t="shared" si="2"/>
        <v>7</v>
      </c>
      <c r="C15" s="47">
        <f t="shared" si="0"/>
        <v>44670</v>
      </c>
      <c r="D15" s="48">
        <f t="shared" si="1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10" x14ac:dyDescent="0.25">
      <c r="A16" s="36">
        <v>44130</v>
      </c>
      <c r="B16" s="46">
        <f t="shared" si="2"/>
        <v>7</v>
      </c>
      <c r="C16" s="47">
        <f t="shared" si="0"/>
        <v>44670</v>
      </c>
      <c r="D16" s="48">
        <f t="shared" si="1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2"/>
        <v>6</v>
      </c>
      <c r="C17" s="47">
        <f t="shared" si="0"/>
        <v>44670</v>
      </c>
      <c r="D17" s="48">
        <f t="shared" si="1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2"/>
        <v>7</v>
      </c>
      <c r="C18" s="47">
        <f t="shared" si="0"/>
        <v>44670</v>
      </c>
      <c r="D18" s="48">
        <f t="shared" si="1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2"/>
        <v>7</v>
      </c>
      <c r="C19" s="47">
        <f t="shared" si="0"/>
        <v>44670</v>
      </c>
      <c r="D19" s="48">
        <f t="shared" si="1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2"/>
        <v>7</v>
      </c>
      <c r="C20" s="47">
        <f t="shared" si="0"/>
        <v>44670</v>
      </c>
      <c r="D20" s="48">
        <f t="shared" si="1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2"/>
        <v>7</v>
      </c>
      <c r="C21" s="47">
        <f t="shared" si="0"/>
        <v>44670</v>
      </c>
      <c r="D21" s="48">
        <f t="shared" si="1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2"/>
        <v>7</v>
      </c>
      <c r="C22" s="47">
        <f t="shared" si="0"/>
        <v>44670</v>
      </c>
      <c r="D22" s="48">
        <f t="shared" si="1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2"/>
        <v>7</v>
      </c>
      <c r="C23" s="47">
        <f t="shared" si="0"/>
        <v>44670</v>
      </c>
      <c r="D23" s="48">
        <f t="shared" si="1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2"/>
        <v>7</v>
      </c>
      <c r="C24" s="47">
        <f t="shared" si="0"/>
        <v>44670</v>
      </c>
      <c r="D24" s="48">
        <f t="shared" si="1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2"/>
        <v>7</v>
      </c>
      <c r="C25" s="47">
        <f t="shared" si="0"/>
        <v>44670</v>
      </c>
      <c r="D25" s="48">
        <f t="shared" si="1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2"/>
        <v>6</v>
      </c>
      <c r="C26" s="47">
        <f t="shared" si="0"/>
        <v>44670</v>
      </c>
      <c r="D26" s="48">
        <f t="shared" si="1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2"/>
        <v>7</v>
      </c>
      <c r="C27" s="47">
        <f t="shared" si="0"/>
        <v>44670</v>
      </c>
      <c r="D27" s="48">
        <f t="shared" si="1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2"/>
        <v>7</v>
      </c>
      <c r="C28" s="47">
        <f t="shared" si="0"/>
        <v>44670</v>
      </c>
      <c r="D28" s="48">
        <f t="shared" si="1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2"/>
        <v>7</v>
      </c>
      <c r="C29" s="47">
        <f t="shared" si="0"/>
        <v>44670</v>
      </c>
      <c r="D29" s="48">
        <f t="shared" si="1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2"/>
        <v>6</v>
      </c>
      <c r="C30" s="47">
        <f t="shared" si="0"/>
        <v>44670</v>
      </c>
      <c r="D30" s="48">
        <f t="shared" si="1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2"/>
        <v>7</v>
      </c>
      <c r="C31" s="47">
        <f t="shared" si="0"/>
        <v>44670</v>
      </c>
      <c r="D31" s="48">
        <f t="shared" si="1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2"/>
        <v>7</v>
      </c>
      <c r="C32" s="47">
        <f t="shared" si="0"/>
        <v>44670</v>
      </c>
      <c r="D32" s="48">
        <f t="shared" si="1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2"/>
        <v>7</v>
      </c>
      <c r="C33" s="47">
        <f t="shared" si="0"/>
        <v>44670</v>
      </c>
      <c r="D33" s="48">
        <f t="shared" si="1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2"/>
        <v>9</v>
      </c>
      <c r="C34" s="47">
        <f t="shared" si="0"/>
        <v>44670</v>
      </c>
      <c r="D34" s="48">
        <f t="shared" si="1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2"/>
        <v>7</v>
      </c>
      <c r="C35" s="47">
        <f t="shared" si="0"/>
        <v>44670</v>
      </c>
      <c r="D35" s="48">
        <f t="shared" si="1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2"/>
        <v>7</v>
      </c>
      <c r="C36" s="47">
        <f t="shared" si="0"/>
        <v>44670</v>
      </c>
      <c r="D36" s="48">
        <f t="shared" si="1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2"/>
        <v>7</v>
      </c>
      <c r="C37" s="47">
        <f t="shared" si="0"/>
        <v>44670</v>
      </c>
      <c r="D37" s="48">
        <f t="shared" si="1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2"/>
        <v>7</v>
      </c>
      <c r="C38" s="47">
        <f t="shared" si="0"/>
        <v>44670</v>
      </c>
      <c r="D38" s="48">
        <f t="shared" si="1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2"/>
        <v>6</v>
      </c>
      <c r="C39" s="47">
        <f t="shared" si="0"/>
        <v>44670</v>
      </c>
      <c r="D39" s="48">
        <f t="shared" si="1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2"/>
        <v>7</v>
      </c>
      <c r="C40" s="47">
        <f t="shared" si="0"/>
        <v>44670</v>
      </c>
      <c r="D40" s="48">
        <f t="shared" si="1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2"/>
        <v>7</v>
      </c>
      <c r="C41" s="47">
        <f t="shared" si="0"/>
        <v>44670</v>
      </c>
      <c r="D41" s="48">
        <f t="shared" si="1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2"/>
        <v>7</v>
      </c>
      <c r="C42" s="47">
        <f t="shared" si="0"/>
        <v>44670</v>
      </c>
      <c r="D42" s="48">
        <f t="shared" si="1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2"/>
        <v>7</v>
      </c>
      <c r="C43" s="47">
        <f t="shared" si="0"/>
        <v>44670</v>
      </c>
      <c r="D43" s="48">
        <f t="shared" si="1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2"/>
        <v>7</v>
      </c>
      <c r="C44" s="47">
        <f t="shared" si="0"/>
        <v>44670</v>
      </c>
      <c r="D44" s="48">
        <f t="shared" si="1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2"/>
        <v>7</v>
      </c>
      <c r="C45" s="47">
        <f t="shared" si="0"/>
        <v>44670</v>
      </c>
      <c r="D45" s="48">
        <f t="shared" si="1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2"/>
        <v>7</v>
      </c>
      <c r="C46" s="47">
        <f t="shared" si="0"/>
        <v>44670</v>
      </c>
      <c r="D46" s="48">
        <f t="shared" si="1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2"/>
        <v>6</v>
      </c>
      <c r="C47" s="47">
        <f t="shared" si="0"/>
        <v>44670</v>
      </c>
      <c r="D47" s="48">
        <f t="shared" si="1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2"/>
        <v>7</v>
      </c>
      <c r="C48" s="47">
        <f t="shared" si="0"/>
        <v>44670</v>
      </c>
      <c r="D48" s="48">
        <f t="shared" si="1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2"/>
        <v>7</v>
      </c>
      <c r="C49" s="47">
        <f t="shared" si="0"/>
        <v>44670</v>
      </c>
      <c r="D49" s="48">
        <f t="shared" si="1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2"/>
        <v>7</v>
      </c>
      <c r="C50" s="47">
        <f t="shared" si="0"/>
        <v>44670</v>
      </c>
      <c r="D50" s="48">
        <f t="shared" si="1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2"/>
        <v>7</v>
      </c>
      <c r="C51" s="47">
        <f t="shared" si="0"/>
        <v>44670</v>
      </c>
      <c r="D51" s="48">
        <f t="shared" si="1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2"/>
        <v>7</v>
      </c>
      <c r="C52" s="47">
        <f t="shared" si="0"/>
        <v>44670</v>
      </c>
      <c r="D52" s="48">
        <f t="shared" si="1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70">
        <v>44109</v>
      </c>
      <c r="B53" s="84">
        <f t="shared" ref="B53" si="6">B13</f>
        <v>7</v>
      </c>
      <c r="C53" s="90">
        <f>$E$2</f>
        <v>39173</v>
      </c>
      <c r="D53" s="91">
        <f t="shared" si="1"/>
        <v>34257.479999999996</v>
      </c>
      <c r="E53" s="90">
        <f>ROUND(F53*$B$2*B53/360,2)</f>
        <v>4915.5200000000004</v>
      </c>
      <c r="F53" s="90">
        <f>F13</f>
        <v>1685322.59</v>
      </c>
      <c r="G53" s="90">
        <f t="shared" si="5"/>
        <v>1651065.11</v>
      </c>
    </row>
    <row r="54" spans="1:7" x14ac:dyDescent="0.25">
      <c r="A54" s="36">
        <v>44116</v>
      </c>
      <c r="B54" s="46">
        <f t="shared" si="2"/>
        <v>7</v>
      </c>
      <c r="C54" s="68">
        <f t="shared" ref="C54:C65" si="7">$E$2</f>
        <v>39173</v>
      </c>
      <c r="D54" s="92">
        <f t="shared" si="1"/>
        <v>34357.39</v>
      </c>
      <c r="E54" s="68">
        <f>ROUND(F54*$B$2*B54/360,2)</f>
        <v>4815.6099999999997</v>
      </c>
      <c r="F54" s="68">
        <f>G53</f>
        <v>1651065.11</v>
      </c>
      <c r="G54" s="68">
        <f t="shared" si="5"/>
        <v>1616707.7200000002</v>
      </c>
    </row>
    <row r="55" spans="1:7" x14ac:dyDescent="0.25">
      <c r="A55" s="36">
        <v>44123</v>
      </c>
      <c r="B55" s="46">
        <f t="shared" si="2"/>
        <v>7</v>
      </c>
      <c r="C55" s="68">
        <f t="shared" si="7"/>
        <v>39173</v>
      </c>
      <c r="D55" s="92">
        <f t="shared" ref="D55:D98" si="8">C55-E55</f>
        <v>34457.599999999999</v>
      </c>
      <c r="E55" s="68">
        <f t="shared" ref="E55:E65" si="9">ROUND(F55*$B$2*B55/360,2)</f>
        <v>4715.3999999999996</v>
      </c>
      <c r="F55" s="68">
        <f t="shared" ref="F55:F98" si="10">G54</f>
        <v>1616707.7200000002</v>
      </c>
      <c r="G55" s="68">
        <f t="shared" ref="G55:G98" si="11">F55-D55</f>
        <v>1582250.12</v>
      </c>
    </row>
    <row r="56" spans="1:7" x14ac:dyDescent="0.25">
      <c r="A56" s="36">
        <v>44130</v>
      </c>
      <c r="B56" s="46">
        <f t="shared" si="2"/>
        <v>7</v>
      </c>
      <c r="C56" s="68">
        <f t="shared" si="7"/>
        <v>39173</v>
      </c>
      <c r="D56" s="92">
        <f t="shared" si="8"/>
        <v>34558.1</v>
      </c>
      <c r="E56" s="68">
        <f t="shared" si="9"/>
        <v>4614.8999999999996</v>
      </c>
      <c r="F56" s="68">
        <f t="shared" si="10"/>
        <v>1582250.12</v>
      </c>
      <c r="G56" s="68">
        <f t="shared" si="11"/>
        <v>1547692.02</v>
      </c>
    </row>
    <row r="57" spans="1:7" x14ac:dyDescent="0.25">
      <c r="A57" s="54">
        <v>44137</v>
      </c>
      <c r="B57" s="46">
        <f t="shared" si="2"/>
        <v>6</v>
      </c>
      <c r="C57" s="68">
        <f t="shared" si="7"/>
        <v>39173</v>
      </c>
      <c r="D57" s="92">
        <f t="shared" si="8"/>
        <v>35303.769999999997</v>
      </c>
      <c r="E57" s="68">
        <f t="shared" si="9"/>
        <v>3869.23</v>
      </c>
      <c r="F57" s="68">
        <f t="shared" si="10"/>
        <v>1547692.02</v>
      </c>
      <c r="G57" s="68">
        <f t="shared" si="11"/>
        <v>1512388.25</v>
      </c>
    </row>
    <row r="58" spans="1:7" x14ac:dyDescent="0.25">
      <c r="A58" s="36">
        <v>44144</v>
      </c>
      <c r="B58" s="46">
        <f t="shared" si="2"/>
        <v>7</v>
      </c>
      <c r="C58" s="68">
        <f t="shared" si="7"/>
        <v>39173</v>
      </c>
      <c r="D58" s="92">
        <f t="shared" si="8"/>
        <v>34761.870000000003</v>
      </c>
      <c r="E58" s="68">
        <f t="shared" si="9"/>
        <v>4411.13</v>
      </c>
      <c r="F58" s="68">
        <f t="shared" si="10"/>
        <v>1512388.25</v>
      </c>
      <c r="G58" s="68">
        <f t="shared" si="11"/>
        <v>1477626.38</v>
      </c>
    </row>
    <row r="59" spans="1:7" x14ac:dyDescent="0.25">
      <c r="A59" s="36">
        <v>44151</v>
      </c>
      <c r="B59" s="46">
        <f t="shared" si="2"/>
        <v>7</v>
      </c>
      <c r="C59" s="68">
        <f t="shared" si="7"/>
        <v>39173</v>
      </c>
      <c r="D59" s="92">
        <f t="shared" si="8"/>
        <v>34863.26</v>
      </c>
      <c r="E59" s="68">
        <f t="shared" si="9"/>
        <v>4309.74</v>
      </c>
      <c r="F59" s="68">
        <f t="shared" si="10"/>
        <v>1477626.38</v>
      </c>
      <c r="G59" s="68">
        <f t="shared" si="11"/>
        <v>1442763.1199999999</v>
      </c>
    </row>
    <row r="60" spans="1:7" x14ac:dyDescent="0.25">
      <c r="A60" s="36">
        <v>44158</v>
      </c>
      <c r="B60" s="46">
        <f t="shared" si="2"/>
        <v>7</v>
      </c>
      <c r="C60" s="68">
        <f t="shared" si="7"/>
        <v>39173</v>
      </c>
      <c r="D60" s="92">
        <f t="shared" si="8"/>
        <v>34964.94</v>
      </c>
      <c r="E60" s="68">
        <f t="shared" si="9"/>
        <v>4208.0600000000004</v>
      </c>
      <c r="F60" s="68">
        <f t="shared" si="10"/>
        <v>1442763.1199999999</v>
      </c>
      <c r="G60" s="68">
        <f t="shared" si="11"/>
        <v>1407798.18</v>
      </c>
    </row>
    <row r="61" spans="1:7" x14ac:dyDescent="0.25">
      <c r="A61" s="36">
        <v>44165</v>
      </c>
      <c r="B61" s="46">
        <f t="shared" si="2"/>
        <v>7</v>
      </c>
      <c r="C61" s="68">
        <f t="shared" si="7"/>
        <v>39173</v>
      </c>
      <c r="D61" s="92">
        <f t="shared" si="8"/>
        <v>35066.92</v>
      </c>
      <c r="E61" s="68">
        <f t="shared" si="9"/>
        <v>4106.08</v>
      </c>
      <c r="F61" s="68">
        <f t="shared" si="10"/>
        <v>1407798.18</v>
      </c>
      <c r="G61" s="68">
        <f t="shared" si="11"/>
        <v>1372731.26</v>
      </c>
    </row>
    <row r="62" spans="1:7" x14ac:dyDescent="0.25">
      <c r="A62" s="36">
        <v>44172</v>
      </c>
      <c r="B62" s="46">
        <f t="shared" si="2"/>
        <v>7</v>
      </c>
      <c r="C62" s="68">
        <f t="shared" si="7"/>
        <v>39173</v>
      </c>
      <c r="D62" s="92">
        <f t="shared" si="8"/>
        <v>35169.199999999997</v>
      </c>
      <c r="E62" s="68">
        <f t="shared" si="9"/>
        <v>4003.8</v>
      </c>
      <c r="F62" s="68">
        <f t="shared" si="10"/>
        <v>1372731.26</v>
      </c>
      <c r="G62" s="68">
        <f t="shared" si="11"/>
        <v>1337562.06</v>
      </c>
    </row>
    <row r="63" spans="1:7" x14ac:dyDescent="0.25">
      <c r="A63" s="36">
        <v>44179</v>
      </c>
      <c r="B63" s="46">
        <f t="shared" si="2"/>
        <v>7</v>
      </c>
      <c r="C63" s="68">
        <f t="shared" si="7"/>
        <v>39173</v>
      </c>
      <c r="D63" s="92">
        <f t="shared" si="8"/>
        <v>35271.78</v>
      </c>
      <c r="E63" s="68">
        <f t="shared" si="9"/>
        <v>3901.22</v>
      </c>
      <c r="F63" s="68">
        <f t="shared" si="10"/>
        <v>1337562.06</v>
      </c>
      <c r="G63" s="68">
        <f t="shared" si="11"/>
        <v>1302290.28</v>
      </c>
    </row>
    <row r="64" spans="1:7" x14ac:dyDescent="0.25">
      <c r="A64" s="36">
        <v>44186</v>
      </c>
      <c r="B64" s="46">
        <f t="shared" si="2"/>
        <v>7</v>
      </c>
      <c r="C64" s="68">
        <f t="shared" si="7"/>
        <v>39173</v>
      </c>
      <c r="D64" s="92">
        <f t="shared" si="8"/>
        <v>35374.65</v>
      </c>
      <c r="E64" s="68">
        <f t="shared" si="9"/>
        <v>3798.35</v>
      </c>
      <c r="F64" s="68">
        <f t="shared" si="10"/>
        <v>1302290.28</v>
      </c>
      <c r="G64" s="68">
        <f t="shared" si="11"/>
        <v>1266915.6300000001</v>
      </c>
    </row>
    <row r="65" spans="1:7" x14ac:dyDescent="0.25">
      <c r="A65" s="36">
        <v>44193</v>
      </c>
      <c r="B65" s="46">
        <f t="shared" si="2"/>
        <v>7</v>
      </c>
      <c r="C65" s="68">
        <f t="shared" si="7"/>
        <v>39173</v>
      </c>
      <c r="D65" s="92">
        <f t="shared" si="8"/>
        <v>35477.83</v>
      </c>
      <c r="E65" s="68">
        <f t="shared" si="9"/>
        <v>3695.17</v>
      </c>
      <c r="F65" s="68">
        <f t="shared" si="10"/>
        <v>1266915.6300000001</v>
      </c>
      <c r="G65" s="68">
        <f t="shared" si="11"/>
        <v>1231437.8</v>
      </c>
    </row>
    <row r="66" spans="1:7" x14ac:dyDescent="0.25">
      <c r="A66" s="70">
        <v>44200</v>
      </c>
      <c r="B66" s="84">
        <f t="shared" si="2"/>
        <v>6</v>
      </c>
      <c r="C66" s="90">
        <f>$H$2</f>
        <v>41033</v>
      </c>
      <c r="D66" s="91">
        <f t="shared" si="8"/>
        <v>36415.11</v>
      </c>
      <c r="E66" s="90">
        <f>ROUND(F66*$B$2*J1/360+F66*$I$2*J2/360,2)</f>
        <v>4617.8900000000003</v>
      </c>
      <c r="F66" s="90">
        <f t="shared" si="10"/>
        <v>1231437.8</v>
      </c>
      <c r="G66" s="90">
        <f t="shared" si="11"/>
        <v>1195022.69</v>
      </c>
    </row>
    <row r="67" spans="1:7" x14ac:dyDescent="0.25">
      <c r="A67" s="36">
        <v>44207</v>
      </c>
      <c r="B67" s="46">
        <f t="shared" si="2"/>
        <v>7</v>
      </c>
      <c r="C67" s="68">
        <f>$H$2</f>
        <v>41033</v>
      </c>
      <c r="D67" s="92">
        <f t="shared" si="8"/>
        <v>34062.03</v>
      </c>
      <c r="E67" s="68">
        <f>ROUND(F67*$I$2*B67/360,2)</f>
        <v>6970.97</v>
      </c>
      <c r="F67" s="68">
        <f t="shared" si="10"/>
        <v>1195022.69</v>
      </c>
      <c r="G67" s="68">
        <f t="shared" si="11"/>
        <v>1160960.6599999999</v>
      </c>
    </row>
    <row r="68" spans="1:7" x14ac:dyDescent="0.25">
      <c r="A68" s="36">
        <v>44214</v>
      </c>
      <c r="B68" s="46">
        <f t="shared" si="2"/>
        <v>7</v>
      </c>
      <c r="C68" s="68">
        <f t="shared" ref="C68:C98" si="12">$H$2</f>
        <v>41033</v>
      </c>
      <c r="D68" s="92">
        <f t="shared" si="8"/>
        <v>34260.729999999996</v>
      </c>
      <c r="E68" s="68">
        <f t="shared" ref="E68:E97" si="13">ROUND(F68*$I$2*B68/360,2)</f>
        <v>6772.27</v>
      </c>
      <c r="F68" s="68">
        <f t="shared" si="10"/>
        <v>1160960.6599999999</v>
      </c>
      <c r="G68" s="68">
        <f t="shared" si="11"/>
        <v>1126699.93</v>
      </c>
    </row>
    <row r="69" spans="1:7" x14ac:dyDescent="0.25">
      <c r="A69" s="36">
        <v>44221</v>
      </c>
      <c r="B69" s="46">
        <f t="shared" si="2"/>
        <v>7</v>
      </c>
      <c r="C69" s="68">
        <f t="shared" si="12"/>
        <v>41033</v>
      </c>
      <c r="D69" s="92">
        <f t="shared" si="8"/>
        <v>34460.58</v>
      </c>
      <c r="E69" s="68">
        <f t="shared" si="13"/>
        <v>6572.42</v>
      </c>
      <c r="F69" s="68">
        <f t="shared" si="10"/>
        <v>1126699.93</v>
      </c>
      <c r="G69" s="68">
        <f t="shared" si="11"/>
        <v>1092239.3499999999</v>
      </c>
    </row>
    <row r="70" spans="1:7" x14ac:dyDescent="0.25">
      <c r="A70" s="36">
        <v>44228</v>
      </c>
      <c r="B70" s="46">
        <f t="shared" ref="B70:B98" si="14">DAYS360(A69,A70,TRUE)</f>
        <v>6</v>
      </c>
      <c r="C70" s="68">
        <f t="shared" si="12"/>
        <v>41033</v>
      </c>
      <c r="D70" s="92">
        <f t="shared" si="8"/>
        <v>35571.800000000003</v>
      </c>
      <c r="E70" s="68">
        <f t="shared" si="13"/>
        <v>5461.2</v>
      </c>
      <c r="F70" s="68">
        <f t="shared" si="10"/>
        <v>1092239.3499999999</v>
      </c>
      <c r="G70" s="68">
        <f t="shared" si="11"/>
        <v>1056667.5499999998</v>
      </c>
    </row>
    <row r="71" spans="1:7" x14ac:dyDescent="0.25">
      <c r="A71" s="36">
        <v>44235</v>
      </c>
      <c r="B71" s="46">
        <f t="shared" si="14"/>
        <v>7</v>
      </c>
      <c r="C71" s="68">
        <f t="shared" si="12"/>
        <v>41033</v>
      </c>
      <c r="D71" s="92">
        <f t="shared" si="8"/>
        <v>34869.11</v>
      </c>
      <c r="E71" s="68">
        <f t="shared" si="13"/>
        <v>6163.89</v>
      </c>
      <c r="F71" s="68">
        <f t="shared" si="10"/>
        <v>1056667.5499999998</v>
      </c>
      <c r="G71" s="68">
        <f t="shared" si="11"/>
        <v>1021798.4399999998</v>
      </c>
    </row>
    <row r="72" spans="1:7" x14ac:dyDescent="0.25">
      <c r="A72" s="36">
        <v>44242</v>
      </c>
      <c r="B72" s="46">
        <f t="shared" si="14"/>
        <v>7</v>
      </c>
      <c r="C72" s="68">
        <f t="shared" si="12"/>
        <v>41033</v>
      </c>
      <c r="D72" s="92">
        <f t="shared" si="8"/>
        <v>35072.51</v>
      </c>
      <c r="E72" s="68">
        <f t="shared" si="13"/>
        <v>5960.49</v>
      </c>
      <c r="F72" s="68">
        <f t="shared" si="10"/>
        <v>1021798.4399999998</v>
      </c>
      <c r="G72" s="68">
        <f t="shared" si="11"/>
        <v>986725.92999999982</v>
      </c>
    </row>
    <row r="73" spans="1:7" x14ac:dyDescent="0.25">
      <c r="A73" s="36">
        <v>44249</v>
      </c>
      <c r="B73" s="46">
        <f t="shared" si="14"/>
        <v>7</v>
      </c>
      <c r="C73" s="68">
        <f t="shared" si="12"/>
        <v>41033</v>
      </c>
      <c r="D73" s="92">
        <f t="shared" si="8"/>
        <v>35277.1</v>
      </c>
      <c r="E73" s="68">
        <f t="shared" si="13"/>
        <v>5755.9</v>
      </c>
      <c r="F73" s="68">
        <f t="shared" si="10"/>
        <v>986725.92999999982</v>
      </c>
      <c r="G73" s="68">
        <f t="shared" si="11"/>
        <v>951448.82999999984</v>
      </c>
    </row>
    <row r="74" spans="1:7" x14ac:dyDescent="0.25">
      <c r="A74" s="36">
        <v>44256</v>
      </c>
      <c r="B74" s="46">
        <f t="shared" si="14"/>
        <v>9</v>
      </c>
      <c r="C74" s="68">
        <f t="shared" si="12"/>
        <v>41033</v>
      </c>
      <c r="D74" s="92">
        <f t="shared" si="8"/>
        <v>33897.129999999997</v>
      </c>
      <c r="E74" s="68">
        <f t="shared" si="13"/>
        <v>7135.87</v>
      </c>
      <c r="F74" s="68">
        <f t="shared" si="10"/>
        <v>951448.82999999984</v>
      </c>
      <c r="G74" s="68">
        <f t="shared" si="11"/>
        <v>917551.69999999984</v>
      </c>
    </row>
    <row r="75" spans="1:7" x14ac:dyDescent="0.25">
      <c r="A75" s="36">
        <v>44263</v>
      </c>
      <c r="B75" s="46">
        <f t="shared" si="14"/>
        <v>7</v>
      </c>
      <c r="C75" s="68">
        <f t="shared" si="12"/>
        <v>41033</v>
      </c>
      <c r="D75" s="92">
        <f t="shared" si="8"/>
        <v>35680.620000000003</v>
      </c>
      <c r="E75" s="68">
        <f t="shared" si="13"/>
        <v>5352.38</v>
      </c>
      <c r="F75" s="68">
        <f t="shared" si="10"/>
        <v>917551.69999999984</v>
      </c>
      <c r="G75" s="68">
        <f t="shared" si="11"/>
        <v>881871.07999999984</v>
      </c>
    </row>
    <row r="76" spans="1:7" x14ac:dyDescent="0.25">
      <c r="A76" s="36">
        <v>44270</v>
      </c>
      <c r="B76" s="46">
        <f t="shared" si="14"/>
        <v>7</v>
      </c>
      <c r="C76" s="68">
        <f t="shared" si="12"/>
        <v>41033</v>
      </c>
      <c r="D76" s="92">
        <f t="shared" si="8"/>
        <v>35888.75</v>
      </c>
      <c r="E76" s="68">
        <f t="shared" si="13"/>
        <v>5144.25</v>
      </c>
      <c r="F76" s="68">
        <f t="shared" si="10"/>
        <v>881871.07999999984</v>
      </c>
      <c r="G76" s="68">
        <f t="shared" si="11"/>
        <v>845982.32999999984</v>
      </c>
    </row>
    <row r="77" spans="1:7" x14ac:dyDescent="0.25">
      <c r="A77" s="36">
        <v>44277</v>
      </c>
      <c r="B77" s="46">
        <f t="shared" si="14"/>
        <v>7</v>
      </c>
      <c r="C77" s="68">
        <f t="shared" si="12"/>
        <v>41033</v>
      </c>
      <c r="D77" s="92">
        <f t="shared" si="8"/>
        <v>36098.1</v>
      </c>
      <c r="E77" s="68">
        <f t="shared" si="13"/>
        <v>4934.8999999999996</v>
      </c>
      <c r="F77" s="68">
        <f t="shared" si="10"/>
        <v>845982.32999999984</v>
      </c>
      <c r="G77" s="68">
        <f t="shared" si="11"/>
        <v>809884.22999999986</v>
      </c>
    </row>
    <row r="78" spans="1:7" x14ac:dyDescent="0.25">
      <c r="A78" s="36">
        <v>44284</v>
      </c>
      <c r="B78" s="46">
        <f t="shared" si="14"/>
        <v>7</v>
      </c>
      <c r="C78" s="68">
        <f t="shared" si="12"/>
        <v>41033</v>
      </c>
      <c r="D78" s="92">
        <f t="shared" si="8"/>
        <v>36308.68</v>
      </c>
      <c r="E78" s="68">
        <f t="shared" si="13"/>
        <v>4724.32</v>
      </c>
      <c r="F78" s="68">
        <f t="shared" si="10"/>
        <v>809884.22999999986</v>
      </c>
      <c r="G78" s="68">
        <f t="shared" si="11"/>
        <v>773575.54999999981</v>
      </c>
    </row>
    <row r="79" spans="1:7" x14ac:dyDescent="0.25">
      <c r="A79" s="36">
        <v>44291</v>
      </c>
      <c r="B79" s="46">
        <f t="shared" si="14"/>
        <v>6</v>
      </c>
      <c r="C79" s="68">
        <f t="shared" si="12"/>
        <v>41033</v>
      </c>
      <c r="D79" s="92">
        <f t="shared" si="8"/>
        <v>37165.120000000003</v>
      </c>
      <c r="E79" s="68">
        <f t="shared" si="13"/>
        <v>3867.88</v>
      </c>
      <c r="F79" s="68">
        <f t="shared" si="10"/>
        <v>773575.54999999981</v>
      </c>
      <c r="G79" s="68">
        <f t="shared" si="11"/>
        <v>736410.42999999982</v>
      </c>
    </row>
    <row r="80" spans="1:7" x14ac:dyDescent="0.25">
      <c r="A80" s="36">
        <v>44298</v>
      </c>
      <c r="B80" s="46">
        <f t="shared" si="14"/>
        <v>7</v>
      </c>
      <c r="C80" s="68">
        <f t="shared" si="12"/>
        <v>41033</v>
      </c>
      <c r="D80" s="92">
        <f t="shared" si="8"/>
        <v>36737.270000000004</v>
      </c>
      <c r="E80" s="68">
        <f t="shared" si="13"/>
        <v>4295.7299999999996</v>
      </c>
      <c r="F80" s="68">
        <f t="shared" si="10"/>
        <v>736410.42999999982</v>
      </c>
      <c r="G80" s="68">
        <f t="shared" si="11"/>
        <v>699673.1599999998</v>
      </c>
    </row>
    <row r="81" spans="1:7" x14ac:dyDescent="0.25">
      <c r="A81" s="36">
        <v>44305</v>
      </c>
      <c r="B81" s="46">
        <f t="shared" si="14"/>
        <v>7</v>
      </c>
      <c r="C81" s="68">
        <f t="shared" si="12"/>
        <v>41033</v>
      </c>
      <c r="D81" s="92">
        <f t="shared" si="8"/>
        <v>36951.57</v>
      </c>
      <c r="E81" s="68">
        <f t="shared" si="13"/>
        <v>4081.43</v>
      </c>
      <c r="F81" s="68">
        <f t="shared" si="10"/>
        <v>699673.1599999998</v>
      </c>
      <c r="G81" s="68">
        <f t="shared" si="11"/>
        <v>662721.58999999985</v>
      </c>
    </row>
    <row r="82" spans="1:7" x14ac:dyDescent="0.25">
      <c r="A82" s="36">
        <v>44312</v>
      </c>
      <c r="B82" s="46">
        <f t="shared" si="14"/>
        <v>7</v>
      </c>
      <c r="C82" s="68">
        <f t="shared" si="12"/>
        <v>41033</v>
      </c>
      <c r="D82" s="92">
        <f t="shared" si="8"/>
        <v>37167.120000000003</v>
      </c>
      <c r="E82" s="68">
        <f t="shared" si="13"/>
        <v>3865.88</v>
      </c>
      <c r="F82" s="68">
        <f t="shared" si="10"/>
        <v>662721.58999999985</v>
      </c>
      <c r="G82" s="68">
        <f t="shared" si="11"/>
        <v>625554.46999999986</v>
      </c>
    </row>
    <row r="83" spans="1:7" x14ac:dyDescent="0.25">
      <c r="A83" s="36">
        <v>44319</v>
      </c>
      <c r="B83" s="46">
        <f t="shared" si="14"/>
        <v>7</v>
      </c>
      <c r="C83" s="68">
        <f t="shared" si="12"/>
        <v>41033</v>
      </c>
      <c r="D83" s="92">
        <f t="shared" si="8"/>
        <v>37383.93</v>
      </c>
      <c r="E83" s="68">
        <f t="shared" si="13"/>
        <v>3649.07</v>
      </c>
      <c r="F83" s="68">
        <f t="shared" si="10"/>
        <v>625554.46999999986</v>
      </c>
      <c r="G83" s="68">
        <f t="shared" si="11"/>
        <v>588170.5399999998</v>
      </c>
    </row>
    <row r="84" spans="1:7" x14ac:dyDescent="0.25">
      <c r="A84" s="36">
        <v>44326</v>
      </c>
      <c r="B84" s="46">
        <f t="shared" si="14"/>
        <v>7</v>
      </c>
      <c r="C84" s="68">
        <f t="shared" si="12"/>
        <v>41033</v>
      </c>
      <c r="D84" s="92">
        <f t="shared" si="8"/>
        <v>37602.01</v>
      </c>
      <c r="E84" s="68">
        <f t="shared" si="13"/>
        <v>3430.99</v>
      </c>
      <c r="F84" s="68">
        <f t="shared" si="10"/>
        <v>588170.5399999998</v>
      </c>
      <c r="G84" s="68">
        <f t="shared" si="11"/>
        <v>550568.5299999998</v>
      </c>
    </row>
    <row r="85" spans="1:7" x14ac:dyDescent="0.25">
      <c r="A85" s="36">
        <v>44333</v>
      </c>
      <c r="B85" s="46">
        <f t="shared" si="14"/>
        <v>7</v>
      </c>
      <c r="C85" s="68">
        <f t="shared" si="12"/>
        <v>41033</v>
      </c>
      <c r="D85" s="92">
        <f t="shared" si="8"/>
        <v>37821.35</v>
      </c>
      <c r="E85" s="68">
        <f t="shared" si="13"/>
        <v>3211.65</v>
      </c>
      <c r="F85" s="68">
        <f t="shared" si="10"/>
        <v>550568.5299999998</v>
      </c>
      <c r="G85" s="68">
        <f t="shared" si="11"/>
        <v>512747.17999999982</v>
      </c>
    </row>
    <row r="86" spans="1:7" x14ac:dyDescent="0.25">
      <c r="A86" s="36">
        <v>44340</v>
      </c>
      <c r="B86" s="46">
        <f t="shared" si="14"/>
        <v>7</v>
      </c>
      <c r="C86" s="68">
        <f t="shared" si="12"/>
        <v>41033</v>
      </c>
      <c r="D86" s="92">
        <f t="shared" si="8"/>
        <v>38041.97</v>
      </c>
      <c r="E86" s="68">
        <f t="shared" si="13"/>
        <v>2991.03</v>
      </c>
      <c r="F86" s="68">
        <f t="shared" si="10"/>
        <v>512747.17999999982</v>
      </c>
      <c r="G86" s="68">
        <f t="shared" si="11"/>
        <v>474705.20999999985</v>
      </c>
    </row>
    <row r="87" spans="1:7" x14ac:dyDescent="0.25">
      <c r="A87" s="36">
        <v>44347</v>
      </c>
      <c r="B87" s="46">
        <f t="shared" si="14"/>
        <v>6</v>
      </c>
      <c r="C87" s="68">
        <f t="shared" si="12"/>
        <v>41033</v>
      </c>
      <c r="D87" s="92">
        <f t="shared" si="8"/>
        <v>38659.47</v>
      </c>
      <c r="E87" s="68">
        <f t="shared" si="13"/>
        <v>2373.5300000000002</v>
      </c>
      <c r="F87" s="68">
        <f t="shared" si="10"/>
        <v>474705.20999999985</v>
      </c>
      <c r="G87" s="68">
        <f t="shared" si="11"/>
        <v>436045.73999999987</v>
      </c>
    </row>
    <row r="88" spans="1:7" x14ac:dyDescent="0.25">
      <c r="A88" s="36">
        <v>44354</v>
      </c>
      <c r="B88" s="46">
        <f t="shared" si="14"/>
        <v>7</v>
      </c>
      <c r="C88" s="68">
        <f t="shared" si="12"/>
        <v>41033</v>
      </c>
      <c r="D88" s="92">
        <f t="shared" si="8"/>
        <v>38489.4</v>
      </c>
      <c r="E88" s="68">
        <f t="shared" si="13"/>
        <v>2543.6</v>
      </c>
      <c r="F88" s="68">
        <f t="shared" si="10"/>
        <v>436045.73999999987</v>
      </c>
      <c r="G88" s="68">
        <f t="shared" si="11"/>
        <v>397556.33999999985</v>
      </c>
    </row>
    <row r="89" spans="1:7" x14ac:dyDescent="0.25">
      <c r="A89" s="36">
        <v>44361</v>
      </c>
      <c r="B89" s="46">
        <f t="shared" si="14"/>
        <v>7</v>
      </c>
      <c r="C89" s="68">
        <f t="shared" si="12"/>
        <v>41033</v>
      </c>
      <c r="D89" s="92">
        <f t="shared" si="8"/>
        <v>38713.919999999998</v>
      </c>
      <c r="E89" s="68">
        <f t="shared" si="13"/>
        <v>2319.08</v>
      </c>
      <c r="F89" s="68">
        <f t="shared" si="10"/>
        <v>397556.33999999985</v>
      </c>
      <c r="G89" s="68">
        <f t="shared" si="11"/>
        <v>358842.41999999987</v>
      </c>
    </row>
    <row r="90" spans="1:7" x14ac:dyDescent="0.25">
      <c r="A90" s="36">
        <v>44368</v>
      </c>
      <c r="B90" s="46">
        <f t="shared" si="14"/>
        <v>7</v>
      </c>
      <c r="C90" s="68">
        <f t="shared" si="12"/>
        <v>41033</v>
      </c>
      <c r="D90" s="92">
        <f t="shared" si="8"/>
        <v>38939.75</v>
      </c>
      <c r="E90" s="68">
        <f t="shared" si="13"/>
        <v>2093.25</v>
      </c>
      <c r="F90" s="68">
        <f t="shared" si="10"/>
        <v>358842.41999999987</v>
      </c>
      <c r="G90" s="68">
        <f t="shared" si="11"/>
        <v>319902.66999999987</v>
      </c>
    </row>
    <row r="91" spans="1:7" x14ac:dyDescent="0.25">
      <c r="A91" s="36">
        <v>44375</v>
      </c>
      <c r="B91" s="46">
        <f t="shared" si="14"/>
        <v>7</v>
      </c>
      <c r="C91" s="68">
        <f t="shared" si="12"/>
        <v>41033</v>
      </c>
      <c r="D91" s="92">
        <f t="shared" si="8"/>
        <v>39166.9</v>
      </c>
      <c r="E91" s="68">
        <f t="shared" si="13"/>
        <v>1866.1</v>
      </c>
      <c r="F91" s="68">
        <f t="shared" si="10"/>
        <v>319902.66999999987</v>
      </c>
      <c r="G91" s="68">
        <f t="shared" si="11"/>
        <v>280735.76999999984</v>
      </c>
    </row>
    <row r="92" spans="1:7" x14ac:dyDescent="0.25">
      <c r="A92" s="36">
        <v>44382</v>
      </c>
      <c r="B92" s="46">
        <f t="shared" si="14"/>
        <v>7</v>
      </c>
      <c r="C92" s="68">
        <f t="shared" si="12"/>
        <v>41033</v>
      </c>
      <c r="D92" s="92">
        <f t="shared" si="8"/>
        <v>39395.370000000003</v>
      </c>
      <c r="E92" s="68">
        <f t="shared" si="13"/>
        <v>1637.63</v>
      </c>
      <c r="F92" s="68">
        <f t="shared" si="10"/>
        <v>280735.76999999984</v>
      </c>
      <c r="G92" s="68">
        <f t="shared" si="11"/>
        <v>241340.39999999985</v>
      </c>
    </row>
    <row r="93" spans="1:7" x14ac:dyDescent="0.25">
      <c r="A93" s="36">
        <v>44389</v>
      </c>
      <c r="B93" s="46">
        <f t="shared" si="14"/>
        <v>7</v>
      </c>
      <c r="C93" s="68">
        <f t="shared" si="12"/>
        <v>41033</v>
      </c>
      <c r="D93" s="92">
        <f t="shared" si="8"/>
        <v>39625.18</v>
      </c>
      <c r="E93" s="68">
        <f t="shared" si="13"/>
        <v>1407.82</v>
      </c>
      <c r="F93" s="68">
        <f t="shared" si="10"/>
        <v>241340.39999999985</v>
      </c>
      <c r="G93" s="68">
        <f t="shared" si="11"/>
        <v>201715.21999999986</v>
      </c>
    </row>
    <row r="94" spans="1:7" x14ac:dyDescent="0.25">
      <c r="A94" s="36">
        <v>44396</v>
      </c>
      <c r="B94" s="46">
        <f t="shared" si="14"/>
        <v>7</v>
      </c>
      <c r="C94" s="68">
        <f t="shared" si="12"/>
        <v>41033</v>
      </c>
      <c r="D94" s="92">
        <f t="shared" si="8"/>
        <v>39856.33</v>
      </c>
      <c r="E94" s="68">
        <f t="shared" si="13"/>
        <v>1176.67</v>
      </c>
      <c r="F94" s="68">
        <f t="shared" si="10"/>
        <v>201715.21999999986</v>
      </c>
      <c r="G94" s="68">
        <f t="shared" si="11"/>
        <v>161858.88999999984</v>
      </c>
    </row>
    <row r="95" spans="1:7" x14ac:dyDescent="0.25">
      <c r="A95" s="36">
        <v>44403</v>
      </c>
      <c r="B95" s="46">
        <f t="shared" si="14"/>
        <v>7</v>
      </c>
      <c r="C95" s="68">
        <f t="shared" si="12"/>
        <v>41033</v>
      </c>
      <c r="D95" s="92">
        <f t="shared" si="8"/>
        <v>40088.82</v>
      </c>
      <c r="E95" s="68">
        <f t="shared" si="13"/>
        <v>944.18</v>
      </c>
      <c r="F95" s="68">
        <f t="shared" si="10"/>
        <v>161858.88999999984</v>
      </c>
      <c r="G95" s="68">
        <f t="shared" si="11"/>
        <v>121770.06999999983</v>
      </c>
    </row>
    <row r="96" spans="1:7" x14ac:dyDescent="0.25">
      <c r="A96" s="36">
        <v>44410</v>
      </c>
      <c r="B96" s="46">
        <f t="shared" si="14"/>
        <v>6</v>
      </c>
      <c r="C96" s="68">
        <f t="shared" si="12"/>
        <v>41033</v>
      </c>
      <c r="D96" s="92">
        <f t="shared" si="8"/>
        <v>40424.15</v>
      </c>
      <c r="E96" s="68">
        <f t="shared" si="13"/>
        <v>608.85</v>
      </c>
      <c r="F96" s="68">
        <f t="shared" si="10"/>
        <v>121770.06999999983</v>
      </c>
      <c r="G96" s="68">
        <f t="shared" si="11"/>
        <v>81345.919999999838</v>
      </c>
    </row>
    <row r="97" spans="1:7" x14ac:dyDescent="0.25">
      <c r="A97" s="36">
        <v>44417</v>
      </c>
      <c r="B97" s="46">
        <f t="shared" si="14"/>
        <v>7</v>
      </c>
      <c r="C97" s="68">
        <f t="shared" si="12"/>
        <v>41033</v>
      </c>
      <c r="D97" s="92">
        <f t="shared" si="8"/>
        <v>40558.480000000003</v>
      </c>
      <c r="E97" s="68">
        <f t="shared" si="13"/>
        <v>474.52</v>
      </c>
      <c r="F97" s="68">
        <f t="shared" si="10"/>
        <v>81345.919999999838</v>
      </c>
      <c r="G97" s="68">
        <f t="shared" si="11"/>
        <v>40787.439999999835</v>
      </c>
    </row>
    <row r="98" spans="1:7" x14ac:dyDescent="0.25">
      <c r="A98" s="36">
        <v>44424</v>
      </c>
      <c r="B98" s="46">
        <f t="shared" si="14"/>
        <v>7</v>
      </c>
      <c r="C98" s="68">
        <f t="shared" si="12"/>
        <v>41033</v>
      </c>
      <c r="D98" s="92">
        <f t="shared" si="8"/>
        <v>40787.439999999835</v>
      </c>
      <c r="E98" s="68">
        <v>245.56000000016473</v>
      </c>
      <c r="F98" s="68">
        <f t="shared" si="10"/>
        <v>40787.439999999835</v>
      </c>
      <c r="G98" s="68">
        <f t="shared" si="11"/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92576F-8D81-4227-BE29-D7A856BC87E6}">
  <dimension ref="A1:R7"/>
  <sheetViews>
    <sheetView workbookViewId="0">
      <selection activeCell="A2" sqref="A2:A7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8" width="116.28515625" bestFit="1" customWidth="1"/>
  </cols>
  <sheetData>
    <row r="1" spans="1:18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32</v>
      </c>
    </row>
    <row r="2" spans="1:18" x14ac:dyDescent="0.25">
      <c r="A2" s="12" t="s">
        <v>0</v>
      </c>
      <c r="B2" s="7" t="s">
        <v>9</v>
      </c>
      <c r="C2" s="7" t="s">
        <v>371</v>
      </c>
      <c r="D2" s="8" t="s">
        <v>71</v>
      </c>
      <c r="E2" s="8" t="s">
        <v>23</v>
      </c>
      <c r="F2" s="8" t="s">
        <v>274</v>
      </c>
      <c r="G2" s="8" t="s">
        <v>42</v>
      </c>
      <c r="H2" s="8" t="s">
        <v>181</v>
      </c>
      <c r="I2" s="8" t="s">
        <v>0</v>
      </c>
      <c r="J2" s="8" t="s">
        <v>42</v>
      </c>
      <c r="K2" s="8" t="s">
        <v>25</v>
      </c>
      <c r="L2" s="8" t="s">
        <v>372</v>
      </c>
      <c r="M2" s="8" t="s">
        <v>27</v>
      </c>
      <c r="N2" s="7" t="s">
        <v>29</v>
      </c>
      <c r="O2" s="7" t="s">
        <v>373</v>
      </c>
      <c r="P2" s="7" t="s">
        <v>45</v>
      </c>
      <c r="Q2" s="7" t="s">
        <v>374</v>
      </c>
      <c r="R2" s="165" t="s">
        <v>38</v>
      </c>
    </row>
    <row r="3" spans="1:18" x14ac:dyDescent="0.25">
      <c r="A3" s="12" t="s">
        <v>0</v>
      </c>
      <c r="B3" s="7" t="s">
        <v>9</v>
      </c>
      <c r="C3" s="7" t="s">
        <v>371</v>
      </c>
      <c r="D3" s="8" t="s">
        <v>71</v>
      </c>
      <c r="E3" s="8" t="s">
        <v>23</v>
      </c>
      <c r="F3" s="8" t="s">
        <v>274</v>
      </c>
      <c r="G3" s="8" t="s">
        <v>42</v>
      </c>
      <c r="H3" s="8" t="s">
        <v>181</v>
      </c>
      <c r="I3" s="8" t="s">
        <v>0</v>
      </c>
      <c r="J3" s="8" t="s">
        <v>42</v>
      </c>
      <c r="K3" s="8" t="s">
        <v>25</v>
      </c>
      <c r="L3" s="8" t="s">
        <v>372</v>
      </c>
      <c r="M3" s="8" t="s">
        <v>27</v>
      </c>
      <c r="N3" s="7" t="s">
        <v>29</v>
      </c>
      <c r="O3" s="7" t="s">
        <v>375</v>
      </c>
      <c r="P3" s="7" t="s">
        <v>45</v>
      </c>
      <c r="Q3" s="7" t="s">
        <v>374</v>
      </c>
      <c r="R3" s="165" t="s">
        <v>57</v>
      </c>
    </row>
    <row r="4" spans="1:18" x14ac:dyDescent="0.25">
      <c r="A4" s="12" t="s">
        <v>0</v>
      </c>
      <c r="B4" s="7" t="s">
        <v>9</v>
      </c>
      <c r="C4" s="7" t="s">
        <v>371</v>
      </c>
      <c r="D4" s="8" t="s">
        <v>71</v>
      </c>
      <c r="E4" s="8" t="s">
        <v>23</v>
      </c>
      <c r="F4" s="8" t="s">
        <v>274</v>
      </c>
      <c r="G4" s="8" t="s">
        <v>42</v>
      </c>
      <c r="H4" s="8" t="s">
        <v>181</v>
      </c>
      <c r="I4" s="8" t="s">
        <v>0</v>
      </c>
      <c r="J4" s="8" t="s">
        <v>42</v>
      </c>
      <c r="K4" s="8" t="s">
        <v>31</v>
      </c>
      <c r="L4" s="8" t="s">
        <v>372</v>
      </c>
      <c r="M4" s="8" t="s">
        <v>27</v>
      </c>
      <c r="N4" s="7" t="s">
        <v>29</v>
      </c>
      <c r="O4" s="7" t="s">
        <v>373</v>
      </c>
      <c r="P4" s="7" t="s">
        <v>45</v>
      </c>
      <c r="Q4" s="7" t="s">
        <v>374</v>
      </c>
      <c r="R4" s="165" t="s">
        <v>38</v>
      </c>
    </row>
    <row r="5" spans="1:18" x14ac:dyDescent="0.25">
      <c r="A5" s="12" t="s">
        <v>0</v>
      </c>
      <c r="B5" s="7" t="s">
        <v>9</v>
      </c>
      <c r="C5" s="7" t="s">
        <v>371</v>
      </c>
      <c r="D5" s="8" t="s">
        <v>71</v>
      </c>
      <c r="E5" s="8" t="s">
        <v>23</v>
      </c>
      <c r="F5" s="8" t="s">
        <v>274</v>
      </c>
      <c r="G5" s="8" t="s">
        <v>42</v>
      </c>
      <c r="H5" s="8" t="s">
        <v>181</v>
      </c>
      <c r="I5" s="8" t="s">
        <v>0</v>
      </c>
      <c r="J5" s="8" t="s">
        <v>42</v>
      </c>
      <c r="K5" s="8" t="s">
        <v>31</v>
      </c>
      <c r="L5" s="8" t="s">
        <v>372</v>
      </c>
      <c r="M5" s="8" t="s">
        <v>27</v>
      </c>
      <c r="N5" s="7" t="s">
        <v>29</v>
      </c>
      <c r="O5" s="7" t="s">
        <v>375</v>
      </c>
      <c r="P5" s="7" t="s">
        <v>45</v>
      </c>
      <c r="Q5" s="7" t="s">
        <v>374</v>
      </c>
      <c r="R5" s="165" t="s">
        <v>58</v>
      </c>
    </row>
    <row r="6" spans="1:18" x14ac:dyDescent="0.25">
      <c r="A6" s="12" t="s">
        <v>0</v>
      </c>
      <c r="B6" s="7" t="s">
        <v>9</v>
      </c>
      <c r="C6" s="7" t="s">
        <v>371</v>
      </c>
      <c r="D6" s="8" t="s">
        <v>71</v>
      </c>
      <c r="E6" s="8" t="s">
        <v>23</v>
      </c>
      <c r="F6" s="8" t="s">
        <v>274</v>
      </c>
      <c r="G6" s="8" t="s">
        <v>42</v>
      </c>
      <c r="H6" s="8" t="s">
        <v>181</v>
      </c>
      <c r="I6" s="8" t="s">
        <v>0</v>
      </c>
      <c r="J6" s="8" t="s">
        <v>42</v>
      </c>
      <c r="K6" s="8" t="s">
        <v>25</v>
      </c>
      <c r="L6" s="8" t="s">
        <v>372</v>
      </c>
      <c r="M6" s="8" t="s">
        <v>27</v>
      </c>
      <c r="N6" s="7" t="s">
        <v>29</v>
      </c>
      <c r="O6" s="7" t="s">
        <v>376</v>
      </c>
      <c r="P6" s="7" t="s">
        <v>21</v>
      </c>
      <c r="Q6" s="7" t="s">
        <v>79</v>
      </c>
      <c r="R6" s="165" t="s">
        <v>377</v>
      </c>
    </row>
    <row r="7" spans="1:18" x14ac:dyDescent="0.25">
      <c r="A7" s="12" t="s">
        <v>0</v>
      </c>
      <c r="B7" s="7" t="s">
        <v>9</v>
      </c>
      <c r="C7" s="7" t="s">
        <v>371</v>
      </c>
      <c r="D7" s="8" t="s">
        <v>71</v>
      </c>
      <c r="E7" s="8" t="s">
        <v>23</v>
      </c>
      <c r="F7" s="8" t="s">
        <v>274</v>
      </c>
      <c r="G7" s="8" t="s">
        <v>42</v>
      </c>
      <c r="H7" s="8" t="s">
        <v>181</v>
      </c>
      <c r="I7" s="8" t="s">
        <v>0</v>
      </c>
      <c r="J7" s="8" t="s">
        <v>42</v>
      </c>
      <c r="K7" s="8" t="s">
        <v>31</v>
      </c>
      <c r="L7" s="8" t="s">
        <v>372</v>
      </c>
      <c r="M7" s="8" t="s">
        <v>27</v>
      </c>
      <c r="N7" s="7" t="s">
        <v>29</v>
      </c>
      <c r="O7" s="7" t="s">
        <v>376</v>
      </c>
      <c r="P7" s="7" t="s">
        <v>21</v>
      </c>
      <c r="Q7" s="7" t="s">
        <v>79</v>
      </c>
      <c r="R7" s="165" t="s">
        <v>377</v>
      </c>
    </row>
  </sheetData>
  <pageMargins left="0.7" right="0.7" top="0.75" bottom="0.75" header="0.3" footer="0.3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AEA7F5-A3B7-47BC-AB7E-2EF2EBE94A29}">
  <dimension ref="A1:H92"/>
  <sheetViews>
    <sheetView zoomScale="86" zoomScaleNormal="80" workbookViewId="0">
      <pane ySplit="3" topLeftCell="A81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ROUNDUP(43149.2004572307,0)</f>
        <v>43150</v>
      </c>
      <c r="G1" s="83" t="s">
        <v>52</v>
      </c>
      <c r="H1" s="81">
        <v>44109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127</v>
      </c>
      <c r="H2" s="83">
        <v>56000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68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8" x14ac:dyDescent="0.25">
      <c r="A6" s="36">
        <v>44060</v>
      </c>
      <c r="B6" s="46">
        <f t="shared" ref="B6:B46" si="1">A6-A5</f>
        <v>7</v>
      </c>
      <c r="C6" s="47">
        <f t="shared" ref="C6:C52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52" si="4">F6-D6</f>
        <v>1922054.89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8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92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36">
        <v>44109</v>
      </c>
      <c r="B53" s="169">
        <f t="shared" ref="B53:G53" si="8">B13</f>
        <v>7</v>
      </c>
      <c r="C53" s="170">
        <f t="shared" si="8"/>
        <v>44670</v>
      </c>
      <c r="D53" s="171">
        <f t="shared" si="8"/>
        <v>39821.26</v>
      </c>
      <c r="E53" s="170">
        <f t="shared" si="8"/>
        <v>4848.74</v>
      </c>
      <c r="F53" s="170">
        <f t="shared" si="8"/>
        <v>1685514.64</v>
      </c>
      <c r="G53" s="170">
        <f t="shared" si="8"/>
        <v>1645693.38</v>
      </c>
    </row>
    <row r="54" spans="1:7" x14ac:dyDescent="0.25">
      <c r="A54" s="36">
        <v>44116</v>
      </c>
      <c r="B54" s="168">
        <f t="shared" si="7"/>
        <v>7</v>
      </c>
      <c r="C54" s="172">
        <f>$F$1</f>
        <v>43150</v>
      </c>
      <c r="D54" s="173">
        <f t="shared" si="0"/>
        <v>38576.910000000003</v>
      </c>
      <c r="E54" s="172">
        <f t="shared" ref="E54:E91" si="9">ROUND(F54*$B$2*B54/365,2)</f>
        <v>4573.09</v>
      </c>
      <c r="F54" s="172">
        <f>G53-H2</f>
        <v>1589693.38</v>
      </c>
      <c r="G54" s="172">
        <f t="shared" ref="G54:G92" si="10">F54-D54</f>
        <v>1551116.47</v>
      </c>
    </row>
    <row r="55" spans="1:7" x14ac:dyDescent="0.25">
      <c r="A55" s="36">
        <v>44123</v>
      </c>
      <c r="B55" s="168">
        <f t="shared" si="7"/>
        <v>7</v>
      </c>
      <c r="C55" s="172">
        <f t="shared" ref="C55:C92" si="11">$F$1</f>
        <v>43150</v>
      </c>
      <c r="D55" s="173">
        <f t="shared" si="0"/>
        <v>38687.879999999997</v>
      </c>
      <c r="E55" s="172">
        <f t="shared" si="9"/>
        <v>4462.12</v>
      </c>
      <c r="F55" s="172">
        <f t="shared" ref="F55:F92" si="12">G54</f>
        <v>1551116.47</v>
      </c>
      <c r="G55" s="172">
        <f t="shared" si="10"/>
        <v>1512428.59</v>
      </c>
    </row>
    <row r="56" spans="1:7" x14ac:dyDescent="0.25">
      <c r="A56" s="36">
        <v>44130</v>
      </c>
      <c r="B56" s="168">
        <f t="shared" si="7"/>
        <v>7</v>
      </c>
      <c r="C56" s="172">
        <f t="shared" si="11"/>
        <v>43150</v>
      </c>
      <c r="D56" s="173">
        <f t="shared" si="0"/>
        <v>38799.18</v>
      </c>
      <c r="E56" s="172">
        <f t="shared" si="9"/>
        <v>4350.82</v>
      </c>
      <c r="F56" s="172">
        <f t="shared" si="12"/>
        <v>1512428.59</v>
      </c>
      <c r="G56" s="172">
        <f t="shared" si="10"/>
        <v>1473629.4100000001</v>
      </c>
    </row>
    <row r="57" spans="1:7" x14ac:dyDescent="0.25">
      <c r="A57" s="36">
        <v>44137</v>
      </c>
      <c r="B57" s="168">
        <f t="shared" si="7"/>
        <v>7</v>
      </c>
      <c r="C57" s="172">
        <f t="shared" si="11"/>
        <v>43150</v>
      </c>
      <c r="D57" s="173">
        <f t="shared" si="0"/>
        <v>38910.79</v>
      </c>
      <c r="E57" s="172">
        <f t="shared" si="9"/>
        <v>4239.21</v>
      </c>
      <c r="F57" s="172">
        <f t="shared" si="12"/>
        <v>1473629.4100000001</v>
      </c>
      <c r="G57" s="172">
        <f t="shared" si="10"/>
        <v>1434718.62</v>
      </c>
    </row>
    <row r="58" spans="1:7" x14ac:dyDescent="0.25">
      <c r="A58" s="36">
        <v>44144</v>
      </c>
      <c r="B58" s="168">
        <f t="shared" si="7"/>
        <v>7</v>
      </c>
      <c r="C58" s="172">
        <f t="shared" si="11"/>
        <v>43150</v>
      </c>
      <c r="D58" s="173">
        <f t="shared" si="0"/>
        <v>39022.729999999996</v>
      </c>
      <c r="E58" s="172">
        <f t="shared" si="9"/>
        <v>4127.2700000000004</v>
      </c>
      <c r="F58" s="172">
        <f t="shared" si="12"/>
        <v>1434718.62</v>
      </c>
      <c r="G58" s="172">
        <f t="shared" si="10"/>
        <v>1395695.8900000001</v>
      </c>
    </row>
    <row r="59" spans="1:7" x14ac:dyDescent="0.25">
      <c r="A59" s="36">
        <v>44151</v>
      </c>
      <c r="B59" s="168">
        <f t="shared" si="7"/>
        <v>7</v>
      </c>
      <c r="C59" s="172">
        <f t="shared" si="11"/>
        <v>43150</v>
      </c>
      <c r="D59" s="173">
        <f t="shared" si="0"/>
        <v>39134.980000000003</v>
      </c>
      <c r="E59" s="172">
        <f t="shared" si="9"/>
        <v>4015.02</v>
      </c>
      <c r="F59" s="172">
        <f t="shared" si="12"/>
        <v>1395695.8900000001</v>
      </c>
      <c r="G59" s="172">
        <f t="shared" si="10"/>
        <v>1356560.9100000001</v>
      </c>
    </row>
    <row r="60" spans="1:7" x14ac:dyDescent="0.25">
      <c r="A60" s="36">
        <v>44158</v>
      </c>
      <c r="B60" s="168">
        <f t="shared" si="7"/>
        <v>7</v>
      </c>
      <c r="C60" s="172">
        <f t="shared" si="11"/>
        <v>43150</v>
      </c>
      <c r="D60" s="173">
        <f t="shared" si="0"/>
        <v>39247.56</v>
      </c>
      <c r="E60" s="172">
        <f t="shared" si="9"/>
        <v>3902.44</v>
      </c>
      <c r="F60" s="172">
        <f t="shared" si="12"/>
        <v>1356560.9100000001</v>
      </c>
      <c r="G60" s="172">
        <f t="shared" si="10"/>
        <v>1317313.3500000001</v>
      </c>
    </row>
    <row r="61" spans="1:7" x14ac:dyDescent="0.25">
      <c r="A61" s="36">
        <v>44165</v>
      </c>
      <c r="B61" s="168">
        <f t="shared" si="7"/>
        <v>7</v>
      </c>
      <c r="C61" s="172">
        <f t="shared" si="11"/>
        <v>43150</v>
      </c>
      <c r="D61" s="173">
        <f t="shared" si="0"/>
        <v>39360.47</v>
      </c>
      <c r="E61" s="172">
        <f t="shared" si="9"/>
        <v>3789.53</v>
      </c>
      <c r="F61" s="172">
        <f t="shared" si="12"/>
        <v>1317313.3500000001</v>
      </c>
      <c r="G61" s="172">
        <f t="shared" si="10"/>
        <v>1277952.8800000001</v>
      </c>
    </row>
    <row r="62" spans="1:7" x14ac:dyDescent="0.25">
      <c r="A62" s="36">
        <v>44172</v>
      </c>
      <c r="B62" s="168">
        <f t="shared" si="7"/>
        <v>7</v>
      </c>
      <c r="C62" s="172">
        <f t="shared" si="11"/>
        <v>43150</v>
      </c>
      <c r="D62" s="173">
        <f t="shared" si="0"/>
        <v>39473.699999999997</v>
      </c>
      <c r="E62" s="172">
        <f t="shared" si="9"/>
        <v>3676.3</v>
      </c>
      <c r="F62" s="172">
        <f t="shared" si="12"/>
        <v>1277952.8800000001</v>
      </c>
      <c r="G62" s="172">
        <f t="shared" si="10"/>
        <v>1238479.1800000002</v>
      </c>
    </row>
    <row r="63" spans="1:7" x14ac:dyDescent="0.25">
      <c r="A63" s="36">
        <v>44179</v>
      </c>
      <c r="B63" s="168">
        <f t="shared" si="7"/>
        <v>7</v>
      </c>
      <c r="C63" s="172">
        <f t="shared" si="11"/>
        <v>43150</v>
      </c>
      <c r="D63" s="173">
        <f t="shared" si="0"/>
        <v>39587.25</v>
      </c>
      <c r="E63" s="172">
        <f t="shared" si="9"/>
        <v>3562.75</v>
      </c>
      <c r="F63" s="172">
        <f t="shared" si="12"/>
        <v>1238479.1800000002</v>
      </c>
      <c r="G63" s="172">
        <f t="shared" si="10"/>
        <v>1198891.9300000002</v>
      </c>
    </row>
    <row r="64" spans="1:7" x14ac:dyDescent="0.25">
      <c r="A64" s="36">
        <v>44186</v>
      </c>
      <c r="B64" s="168">
        <f t="shared" si="7"/>
        <v>7</v>
      </c>
      <c r="C64" s="172">
        <f t="shared" si="11"/>
        <v>43150</v>
      </c>
      <c r="D64" s="173">
        <f t="shared" si="0"/>
        <v>39701.129999999997</v>
      </c>
      <c r="E64" s="172">
        <f t="shared" si="9"/>
        <v>3448.87</v>
      </c>
      <c r="F64" s="172">
        <f t="shared" si="12"/>
        <v>1198891.9300000002</v>
      </c>
      <c r="G64" s="172">
        <f t="shared" si="10"/>
        <v>1159190.8000000003</v>
      </c>
    </row>
    <row r="65" spans="1:7" x14ac:dyDescent="0.25">
      <c r="A65" s="36">
        <v>44193</v>
      </c>
      <c r="B65" s="168">
        <f t="shared" si="7"/>
        <v>7</v>
      </c>
      <c r="C65" s="172">
        <f t="shared" si="11"/>
        <v>43150</v>
      </c>
      <c r="D65" s="173">
        <f t="shared" si="0"/>
        <v>39815.339999999997</v>
      </c>
      <c r="E65" s="172">
        <f t="shared" si="9"/>
        <v>3334.66</v>
      </c>
      <c r="F65" s="172">
        <f t="shared" si="12"/>
        <v>1159190.8000000003</v>
      </c>
      <c r="G65" s="172">
        <f t="shared" si="10"/>
        <v>1119375.4600000002</v>
      </c>
    </row>
    <row r="66" spans="1:7" x14ac:dyDescent="0.25">
      <c r="A66" s="36">
        <v>44200</v>
      </c>
      <c r="B66" s="168">
        <f t="shared" si="7"/>
        <v>7</v>
      </c>
      <c r="C66" s="172">
        <f t="shared" si="11"/>
        <v>43150</v>
      </c>
      <c r="D66" s="173">
        <f t="shared" si="0"/>
        <v>39929.879999999997</v>
      </c>
      <c r="E66" s="172">
        <f t="shared" si="9"/>
        <v>3220.12</v>
      </c>
      <c r="F66" s="172">
        <f t="shared" si="12"/>
        <v>1119375.4600000002</v>
      </c>
      <c r="G66" s="172">
        <f t="shared" si="10"/>
        <v>1079445.5800000003</v>
      </c>
    </row>
    <row r="67" spans="1:7" x14ac:dyDescent="0.25">
      <c r="A67" s="36">
        <v>44207</v>
      </c>
      <c r="B67" s="168">
        <f t="shared" si="7"/>
        <v>7</v>
      </c>
      <c r="C67" s="172">
        <f t="shared" si="11"/>
        <v>43150</v>
      </c>
      <c r="D67" s="173">
        <f t="shared" si="0"/>
        <v>40044.75</v>
      </c>
      <c r="E67" s="172">
        <f t="shared" si="9"/>
        <v>3105.25</v>
      </c>
      <c r="F67" s="172">
        <f t="shared" si="12"/>
        <v>1079445.5800000003</v>
      </c>
      <c r="G67" s="172">
        <f t="shared" si="10"/>
        <v>1039400.8300000003</v>
      </c>
    </row>
    <row r="68" spans="1:7" x14ac:dyDescent="0.25">
      <c r="A68" s="36">
        <v>44214</v>
      </c>
      <c r="B68" s="168">
        <f t="shared" si="7"/>
        <v>7</v>
      </c>
      <c r="C68" s="172">
        <f t="shared" si="11"/>
        <v>43150</v>
      </c>
      <c r="D68" s="173">
        <f t="shared" si="0"/>
        <v>40159.94</v>
      </c>
      <c r="E68" s="172">
        <f t="shared" si="9"/>
        <v>2990.06</v>
      </c>
      <c r="F68" s="172">
        <f t="shared" si="12"/>
        <v>1039400.8300000003</v>
      </c>
      <c r="G68" s="172">
        <f t="shared" si="10"/>
        <v>999240.89000000036</v>
      </c>
    </row>
    <row r="69" spans="1:7" x14ac:dyDescent="0.25">
      <c r="A69" s="36">
        <v>44221</v>
      </c>
      <c r="B69" s="168">
        <f t="shared" si="7"/>
        <v>7</v>
      </c>
      <c r="C69" s="172">
        <f t="shared" si="11"/>
        <v>43150</v>
      </c>
      <c r="D69" s="173">
        <f t="shared" ref="D69:D92" si="13">C69-E69</f>
        <v>40275.47</v>
      </c>
      <c r="E69" s="172">
        <f t="shared" si="9"/>
        <v>2874.53</v>
      </c>
      <c r="F69" s="172">
        <f t="shared" si="12"/>
        <v>999240.89000000036</v>
      </c>
      <c r="G69" s="172">
        <f t="shared" si="10"/>
        <v>958965.42000000039</v>
      </c>
    </row>
    <row r="70" spans="1:7" x14ac:dyDescent="0.25">
      <c r="A70" s="36">
        <v>44228</v>
      </c>
      <c r="B70" s="168">
        <f t="shared" si="7"/>
        <v>7</v>
      </c>
      <c r="C70" s="172">
        <f t="shared" si="11"/>
        <v>43150</v>
      </c>
      <c r="D70" s="173">
        <f t="shared" si="13"/>
        <v>40391.33</v>
      </c>
      <c r="E70" s="172">
        <f t="shared" si="9"/>
        <v>2758.67</v>
      </c>
      <c r="F70" s="172">
        <f t="shared" si="12"/>
        <v>958965.42000000039</v>
      </c>
      <c r="G70" s="172">
        <f t="shared" si="10"/>
        <v>918574.09000000043</v>
      </c>
    </row>
    <row r="71" spans="1:7" x14ac:dyDescent="0.25">
      <c r="A71" s="36">
        <v>44235</v>
      </c>
      <c r="B71" s="168">
        <f t="shared" si="7"/>
        <v>7</v>
      </c>
      <c r="C71" s="172">
        <f t="shared" si="11"/>
        <v>43150</v>
      </c>
      <c r="D71" s="173">
        <f t="shared" si="13"/>
        <v>40507.53</v>
      </c>
      <c r="E71" s="172">
        <f t="shared" si="9"/>
        <v>2642.47</v>
      </c>
      <c r="F71" s="172">
        <f t="shared" si="12"/>
        <v>918574.09000000043</v>
      </c>
      <c r="G71" s="172">
        <f t="shared" si="10"/>
        <v>878066.56000000041</v>
      </c>
    </row>
    <row r="72" spans="1:7" x14ac:dyDescent="0.25">
      <c r="A72" s="36">
        <v>44242</v>
      </c>
      <c r="B72" s="168">
        <f t="shared" si="7"/>
        <v>7</v>
      </c>
      <c r="C72" s="172">
        <f t="shared" si="11"/>
        <v>43150</v>
      </c>
      <c r="D72" s="173">
        <f t="shared" si="13"/>
        <v>40624.06</v>
      </c>
      <c r="E72" s="172">
        <f t="shared" si="9"/>
        <v>2525.94</v>
      </c>
      <c r="F72" s="172">
        <f t="shared" si="12"/>
        <v>878066.56000000041</v>
      </c>
      <c r="G72" s="172">
        <f t="shared" si="10"/>
        <v>837442.50000000047</v>
      </c>
    </row>
    <row r="73" spans="1:7" x14ac:dyDescent="0.25">
      <c r="A73" s="36">
        <v>44249</v>
      </c>
      <c r="B73" s="168">
        <f t="shared" si="7"/>
        <v>7</v>
      </c>
      <c r="C73" s="172">
        <f t="shared" si="11"/>
        <v>43150</v>
      </c>
      <c r="D73" s="173">
        <f t="shared" si="13"/>
        <v>40740.92</v>
      </c>
      <c r="E73" s="172">
        <f t="shared" si="9"/>
        <v>2409.08</v>
      </c>
      <c r="F73" s="172">
        <f t="shared" si="12"/>
        <v>837442.50000000047</v>
      </c>
      <c r="G73" s="172">
        <f t="shared" si="10"/>
        <v>796701.58000000042</v>
      </c>
    </row>
    <row r="74" spans="1:7" x14ac:dyDescent="0.25">
      <c r="A74" s="36">
        <v>44256</v>
      </c>
      <c r="B74" s="168">
        <f t="shared" si="7"/>
        <v>7</v>
      </c>
      <c r="C74" s="172">
        <f t="shared" si="11"/>
        <v>43150</v>
      </c>
      <c r="D74" s="173">
        <f t="shared" si="13"/>
        <v>40858.120000000003</v>
      </c>
      <c r="E74" s="172">
        <f t="shared" si="9"/>
        <v>2291.88</v>
      </c>
      <c r="F74" s="172">
        <f t="shared" si="12"/>
        <v>796701.58000000042</v>
      </c>
      <c r="G74" s="172">
        <f t="shared" si="10"/>
        <v>755843.46000000043</v>
      </c>
    </row>
    <row r="75" spans="1:7" x14ac:dyDescent="0.25">
      <c r="A75" s="36">
        <v>44263</v>
      </c>
      <c r="B75" s="168">
        <f t="shared" si="7"/>
        <v>7</v>
      </c>
      <c r="C75" s="172">
        <f t="shared" si="11"/>
        <v>43150</v>
      </c>
      <c r="D75" s="173">
        <f t="shared" si="13"/>
        <v>40975.660000000003</v>
      </c>
      <c r="E75" s="172">
        <f t="shared" si="9"/>
        <v>2174.34</v>
      </c>
      <c r="F75" s="172">
        <f t="shared" si="12"/>
        <v>755843.46000000043</v>
      </c>
      <c r="G75" s="172">
        <f t="shared" si="10"/>
        <v>714867.8000000004</v>
      </c>
    </row>
    <row r="76" spans="1:7" x14ac:dyDescent="0.25">
      <c r="A76" s="36">
        <v>44270</v>
      </c>
      <c r="B76" s="168">
        <f t="shared" si="7"/>
        <v>7</v>
      </c>
      <c r="C76" s="172">
        <f t="shared" si="11"/>
        <v>43150</v>
      </c>
      <c r="D76" s="173">
        <f t="shared" si="13"/>
        <v>41093.53</v>
      </c>
      <c r="E76" s="172">
        <f t="shared" si="9"/>
        <v>2056.4699999999998</v>
      </c>
      <c r="F76" s="172">
        <f t="shared" si="12"/>
        <v>714867.8000000004</v>
      </c>
      <c r="G76" s="172">
        <f t="shared" si="10"/>
        <v>673774.27000000037</v>
      </c>
    </row>
    <row r="77" spans="1:7" x14ac:dyDescent="0.25">
      <c r="A77" s="36">
        <v>44277</v>
      </c>
      <c r="B77" s="168">
        <f t="shared" si="7"/>
        <v>7</v>
      </c>
      <c r="C77" s="172">
        <f t="shared" si="11"/>
        <v>43150</v>
      </c>
      <c r="D77" s="173">
        <f t="shared" si="13"/>
        <v>41211.75</v>
      </c>
      <c r="E77" s="172">
        <f t="shared" si="9"/>
        <v>1938.25</v>
      </c>
      <c r="F77" s="172">
        <f t="shared" si="12"/>
        <v>673774.27000000037</v>
      </c>
      <c r="G77" s="172">
        <f t="shared" si="10"/>
        <v>632562.52000000037</v>
      </c>
    </row>
    <row r="78" spans="1:7" x14ac:dyDescent="0.25">
      <c r="A78" s="36">
        <v>44284</v>
      </c>
      <c r="B78" s="168">
        <f t="shared" si="7"/>
        <v>7</v>
      </c>
      <c r="C78" s="172">
        <f t="shared" si="11"/>
        <v>43150</v>
      </c>
      <c r="D78" s="173">
        <f t="shared" si="13"/>
        <v>41330.300000000003</v>
      </c>
      <c r="E78" s="172">
        <f t="shared" si="9"/>
        <v>1819.7</v>
      </c>
      <c r="F78" s="172">
        <f t="shared" si="12"/>
        <v>632562.52000000037</v>
      </c>
      <c r="G78" s="172">
        <f t="shared" si="10"/>
        <v>591232.22000000032</v>
      </c>
    </row>
    <row r="79" spans="1:7" x14ac:dyDescent="0.25">
      <c r="A79" s="36">
        <v>44291</v>
      </c>
      <c r="B79" s="168">
        <f t="shared" si="7"/>
        <v>7</v>
      </c>
      <c r="C79" s="172">
        <f t="shared" si="11"/>
        <v>43150</v>
      </c>
      <c r="D79" s="173">
        <f t="shared" si="13"/>
        <v>41449.19</v>
      </c>
      <c r="E79" s="172">
        <f t="shared" si="9"/>
        <v>1700.81</v>
      </c>
      <c r="F79" s="172">
        <f t="shared" si="12"/>
        <v>591232.22000000032</v>
      </c>
      <c r="G79" s="172">
        <f t="shared" si="10"/>
        <v>549783.03000000026</v>
      </c>
    </row>
    <row r="80" spans="1:7" x14ac:dyDescent="0.25">
      <c r="A80" s="36">
        <v>44298</v>
      </c>
      <c r="B80" s="168">
        <f t="shared" si="7"/>
        <v>7</v>
      </c>
      <c r="C80" s="172">
        <f t="shared" si="11"/>
        <v>43150</v>
      </c>
      <c r="D80" s="173">
        <f t="shared" si="13"/>
        <v>41568.43</v>
      </c>
      <c r="E80" s="172">
        <f t="shared" si="9"/>
        <v>1581.57</v>
      </c>
      <c r="F80" s="172">
        <f t="shared" si="12"/>
        <v>549783.03000000026</v>
      </c>
      <c r="G80" s="172">
        <f t="shared" si="10"/>
        <v>508214.60000000027</v>
      </c>
    </row>
    <row r="81" spans="1:7" x14ac:dyDescent="0.25">
      <c r="A81" s="36">
        <v>44305</v>
      </c>
      <c r="B81" s="168">
        <f t="shared" si="7"/>
        <v>7</v>
      </c>
      <c r="C81" s="172">
        <f t="shared" si="11"/>
        <v>43150</v>
      </c>
      <c r="D81" s="173">
        <f t="shared" si="13"/>
        <v>41688.01</v>
      </c>
      <c r="E81" s="172">
        <f t="shared" si="9"/>
        <v>1461.99</v>
      </c>
      <c r="F81" s="172">
        <f t="shared" si="12"/>
        <v>508214.60000000027</v>
      </c>
      <c r="G81" s="172">
        <f t="shared" si="10"/>
        <v>466526.59000000026</v>
      </c>
    </row>
    <row r="82" spans="1:7" x14ac:dyDescent="0.25">
      <c r="A82" s="36">
        <v>44312</v>
      </c>
      <c r="B82" s="168">
        <f t="shared" si="7"/>
        <v>7</v>
      </c>
      <c r="C82" s="172">
        <f t="shared" si="11"/>
        <v>43150</v>
      </c>
      <c r="D82" s="173">
        <f t="shared" si="13"/>
        <v>41807.94</v>
      </c>
      <c r="E82" s="172">
        <f t="shared" si="9"/>
        <v>1342.06</v>
      </c>
      <c r="F82" s="172">
        <f t="shared" si="12"/>
        <v>466526.59000000026</v>
      </c>
      <c r="G82" s="172">
        <f t="shared" si="10"/>
        <v>424718.65000000026</v>
      </c>
    </row>
    <row r="83" spans="1:7" x14ac:dyDescent="0.25">
      <c r="A83" s="36">
        <v>44319</v>
      </c>
      <c r="B83" s="168">
        <f t="shared" si="7"/>
        <v>7</v>
      </c>
      <c r="C83" s="172">
        <f t="shared" si="11"/>
        <v>43150</v>
      </c>
      <c r="D83" s="173">
        <f t="shared" si="13"/>
        <v>41928.21</v>
      </c>
      <c r="E83" s="172">
        <f t="shared" si="9"/>
        <v>1221.79</v>
      </c>
      <c r="F83" s="172">
        <f t="shared" si="12"/>
        <v>424718.65000000026</v>
      </c>
      <c r="G83" s="172">
        <f t="shared" si="10"/>
        <v>382790.44000000024</v>
      </c>
    </row>
    <row r="84" spans="1:7" x14ac:dyDescent="0.25">
      <c r="A84" s="36">
        <v>44326</v>
      </c>
      <c r="B84" s="168">
        <f t="shared" si="7"/>
        <v>7</v>
      </c>
      <c r="C84" s="172">
        <f t="shared" si="11"/>
        <v>43150</v>
      </c>
      <c r="D84" s="173">
        <f t="shared" si="13"/>
        <v>42048.82</v>
      </c>
      <c r="E84" s="172">
        <f t="shared" si="9"/>
        <v>1101.18</v>
      </c>
      <c r="F84" s="172">
        <f t="shared" si="12"/>
        <v>382790.44000000024</v>
      </c>
      <c r="G84" s="172">
        <f t="shared" si="10"/>
        <v>340741.62000000023</v>
      </c>
    </row>
    <row r="85" spans="1:7" x14ac:dyDescent="0.25">
      <c r="A85" s="36">
        <v>44333</v>
      </c>
      <c r="B85" s="168">
        <f t="shared" si="7"/>
        <v>7</v>
      </c>
      <c r="C85" s="172">
        <f t="shared" si="11"/>
        <v>43150</v>
      </c>
      <c r="D85" s="173">
        <f t="shared" si="13"/>
        <v>42169.78</v>
      </c>
      <c r="E85" s="172">
        <f t="shared" si="9"/>
        <v>980.22</v>
      </c>
      <c r="F85" s="172">
        <f t="shared" si="12"/>
        <v>340741.62000000023</v>
      </c>
      <c r="G85" s="172">
        <f t="shared" si="10"/>
        <v>298571.8400000002</v>
      </c>
    </row>
    <row r="86" spans="1:7" x14ac:dyDescent="0.25">
      <c r="A86" s="36">
        <v>44340</v>
      </c>
      <c r="B86" s="168">
        <f t="shared" si="7"/>
        <v>7</v>
      </c>
      <c r="C86" s="172">
        <f t="shared" si="11"/>
        <v>43150</v>
      </c>
      <c r="D86" s="173">
        <f t="shared" si="13"/>
        <v>42291.09</v>
      </c>
      <c r="E86" s="172">
        <f t="shared" si="9"/>
        <v>858.91</v>
      </c>
      <c r="F86" s="172">
        <f t="shared" si="12"/>
        <v>298571.8400000002</v>
      </c>
      <c r="G86" s="172">
        <f t="shared" si="10"/>
        <v>256280.7500000002</v>
      </c>
    </row>
    <row r="87" spans="1:7" x14ac:dyDescent="0.25">
      <c r="A87" s="36">
        <v>44347</v>
      </c>
      <c r="B87" s="168">
        <f t="shared" si="7"/>
        <v>7</v>
      </c>
      <c r="C87" s="172">
        <f t="shared" si="11"/>
        <v>43150</v>
      </c>
      <c r="D87" s="173">
        <f t="shared" si="13"/>
        <v>42412.75</v>
      </c>
      <c r="E87" s="172">
        <f t="shared" si="9"/>
        <v>737.25</v>
      </c>
      <c r="F87" s="172">
        <f t="shared" si="12"/>
        <v>256280.7500000002</v>
      </c>
      <c r="G87" s="172">
        <f t="shared" si="10"/>
        <v>213868.0000000002</v>
      </c>
    </row>
    <row r="88" spans="1:7" x14ac:dyDescent="0.25">
      <c r="A88" s="36">
        <v>44354</v>
      </c>
      <c r="B88" s="168">
        <f t="shared" si="7"/>
        <v>7</v>
      </c>
      <c r="C88" s="172">
        <f t="shared" si="11"/>
        <v>43150</v>
      </c>
      <c r="D88" s="173">
        <f t="shared" si="13"/>
        <v>42534.76</v>
      </c>
      <c r="E88" s="172">
        <f t="shared" si="9"/>
        <v>615.24</v>
      </c>
      <c r="F88" s="172">
        <f t="shared" si="12"/>
        <v>213868.0000000002</v>
      </c>
      <c r="G88" s="172">
        <f t="shared" si="10"/>
        <v>171333.24000000019</v>
      </c>
    </row>
    <row r="89" spans="1:7" x14ac:dyDescent="0.25">
      <c r="A89" s="36">
        <v>44361</v>
      </c>
      <c r="B89" s="168">
        <f t="shared" si="7"/>
        <v>7</v>
      </c>
      <c r="C89" s="172">
        <f t="shared" si="11"/>
        <v>43150</v>
      </c>
      <c r="D89" s="173">
        <f t="shared" si="13"/>
        <v>42657.120000000003</v>
      </c>
      <c r="E89" s="172">
        <f t="shared" si="9"/>
        <v>492.88</v>
      </c>
      <c r="F89" s="172">
        <f t="shared" si="12"/>
        <v>171333.24000000019</v>
      </c>
      <c r="G89" s="172">
        <f t="shared" si="10"/>
        <v>128676.1200000002</v>
      </c>
    </row>
    <row r="90" spans="1:7" x14ac:dyDescent="0.25">
      <c r="A90" s="36">
        <v>44368</v>
      </c>
      <c r="B90" s="168">
        <f t="shared" si="7"/>
        <v>7</v>
      </c>
      <c r="C90" s="172">
        <f t="shared" si="11"/>
        <v>43150</v>
      </c>
      <c r="D90" s="173">
        <f t="shared" si="13"/>
        <v>42779.839999999997</v>
      </c>
      <c r="E90" s="172">
        <f t="shared" si="9"/>
        <v>370.16</v>
      </c>
      <c r="F90" s="172">
        <f t="shared" si="12"/>
        <v>128676.1200000002</v>
      </c>
      <c r="G90" s="172">
        <f t="shared" si="10"/>
        <v>85896.280000000203</v>
      </c>
    </row>
    <row r="91" spans="1:7" x14ac:dyDescent="0.25">
      <c r="A91" s="36">
        <v>44375</v>
      </c>
      <c r="B91" s="168">
        <f t="shared" si="7"/>
        <v>7</v>
      </c>
      <c r="C91" s="172">
        <f t="shared" si="11"/>
        <v>43150</v>
      </c>
      <c r="D91" s="173">
        <f t="shared" si="13"/>
        <v>42902.9</v>
      </c>
      <c r="E91" s="172">
        <f t="shared" si="9"/>
        <v>247.1</v>
      </c>
      <c r="F91" s="172">
        <f t="shared" si="12"/>
        <v>85896.280000000203</v>
      </c>
      <c r="G91" s="172">
        <f t="shared" si="10"/>
        <v>42993.380000000201</v>
      </c>
    </row>
    <row r="92" spans="1:7" x14ac:dyDescent="0.25">
      <c r="A92" s="36">
        <v>44382</v>
      </c>
      <c r="B92" s="168">
        <f t="shared" si="7"/>
        <v>7</v>
      </c>
      <c r="C92" s="172">
        <f t="shared" si="11"/>
        <v>43150</v>
      </c>
      <c r="D92" s="173">
        <f t="shared" si="13"/>
        <v>42993.380000000201</v>
      </c>
      <c r="E92" s="172">
        <v>156.61999999979861</v>
      </c>
      <c r="F92" s="172">
        <f t="shared" si="12"/>
        <v>42993.380000000201</v>
      </c>
      <c r="G92" s="172">
        <f t="shared" si="10"/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BE9527-1D42-4539-815B-D185538BFF5B}">
  <dimension ref="A1:J92"/>
  <sheetViews>
    <sheetView zoomScale="86" zoomScaleNormal="80" workbookViewId="0">
      <pane ySplit="3" topLeftCell="A45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7.28515625" customWidth="1"/>
    <col min="10" max="10" width="12.85546875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ROUNDUP(43186.9563118535,0)</f>
        <v>43187</v>
      </c>
      <c r="G1" s="83" t="s">
        <v>52</v>
      </c>
      <c r="H1" s="81">
        <v>44105</v>
      </c>
      <c r="I1" t="s">
        <v>382</v>
      </c>
      <c r="J1">
        <f>H1-A12</f>
        <v>3</v>
      </c>
    </row>
    <row r="2" spans="1:10" x14ac:dyDescent="0.25">
      <c r="A2" s="75" t="s">
        <v>34</v>
      </c>
      <c r="B2" s="76">
        <v>0.15</v>
      </c>
      <c r="C2" s="167">
        <v>2000000</v>
      </c>
      <c r="G2" s="83" t="s">
        <v>127</v>
      </c>
      <c r="H2" s="83">
        <v>56000</v>
      </c>
      <c r="I2" t="s">
        <v>383</v>
      </c>
      <c r="J2">
        <f>A13-H1</f>
        <v>4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10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68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10" x14ac:dyDescent="0.25">
      <c r="A6" s="36">
        <v>44060</v>
      </c>
      <c r="B6" s="46">
        <f t="shared" ref="B6:B46" si="1">A6-A5</f>
        <v>7</v>
      </c>
      <c r="C6" s="47">
        <f t="shared" ref="C6:C52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69" si="4">F6-D6</f>
        <v>1922054.89</v>
      </c>
    </row>
    <row r="7" spans="1:10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10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10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10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10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10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10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10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10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10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92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174">
        <v>44109</v>
      </c>
      <c r="B53" s="175">
        <f>B13</f>
        <v>7</v>
      </c>
      <c r="C53" s="176">
        <f>$F$1</f>
        <v>43187</v>
      </c>
      <c r="D53" s="177">
        <f t="shared" si="0"/>
        <v>38430.314049315071</v>
      </c>
      <c r="E53" s="176">
        <f>(G12*B2*J1/365)+(F53*B2*J2/365)</f>
        <v>4756.6859506849305</v>
      </c>
      <c r="F53" s="176">
        <f>G12-H2</f>
        <v>1629514.64</v>
      </c>
      <c r="G53" s="176">
        <f t="shared" si="4"/>
        <v>1591084.3259506847</v>
      </c>
    </row>
    <row r="54" spans="1:7" x14ac:dyDescent="0.25">
      <c r="A54" s="36">
        <v>44116</v>
      </c>
      <c r="B54" s="168">
        <f t="shared" si="7"/>
        <v>7</v>
      </c>
      <c r="C54" s="172">
        <f>$F$1</f>
        <v>43187</v>
      </c>
      <c r="D54" s="173">
        <f t="shared" si="0"/>
        <v>38609.910000000003</v>
      </c>
      <c r="E54" s="172">
        <f t="shared" ref="E54:E91" si="8">ROUND(F54*$B$2*B54/365,2)</f>
        <v>4577.09</v>
      </c>
      <c r="F54" s="172">
        <f t="shared" ref="F54:F92" si="9">G53</f>
        <v>1591084.3259506847</v>
      </c>
      <c r="G54" s="172">
        <f t="shared" si="4"/>
        <v>1552474.4159506848</v>
      </c>
    </row>
    <row r="55" spans="1:7" x14ac:dyDescent="0.25">
      <c r="A55" s="36">
        <v>44123</v>
      </c>
      <c r="B55" s="168">
        <f t="shared" si="7"/>
        <v>7</v>
      </c>
      <c r="C55" s="172">
        <f t="shared" ref="C55:C92" si="10">$F$1</f>
        <v>43187</v>
      </c>
      <c r="D55" s="173">
        <f t="shared" si="0"/>
        <v>38720.979999999996</v>
      </c>
      <c r="E55" s="172">
        <f t="shared" si="8"/>
        <v>4466.0200000000004</v>
      </c>
      <c r="F55" s="172">
        <f t="shared" si="9"/>
        <v>1552474.4159506848</v>
      </c>
      <c r="G55" s="172">
        <f t="shared" si="4"/>
        <v>1513753.4359506848</v>
      </c>
    </row>
    <row r="56" spans="1:7" x14ac:dyDescent="0.25">
      <c r="A56" s="36">
        <v>44130</v>
      </c>
      <c r="B56" s="168">
        <f t="shared" si="7"/>
        <v>7</v>
      </c>
      <c r="C56" s="172">
        <f t="shared" si="10"/>
        <v>43187</v>
      </c>
      <c r="D56" s="173">
        <f t="shared" si="0"/>
        <v>38832.370000000003</v>
      </c>
      <c r="E56" s="172">
        <f t="shared" si="8"/>
        <v>4354.63</v>
      </c>
      <c r="F56" s="172">
        <f t="shared" si="9"/>
        <v>1513753.4359506848</v>
      </c>
      <c r="G56" s="172">
        <f t="shared" si="4"/>
        <v>1474921.0659506847</v>
      </c>
    </row>
    <row r="57" spans="1:7" x14ac:dyDescent="0.25">
      <c r="A57" s="36">
        <v>44137</v>
      </c>
      <c r="B57" s="168">
        <f t="shared" si="7"/>
        <v>7</v>
      </c>
      <c r="C57" s="172">
        <f t="shared" si="10"/>
        <v>43187</v>
      </c>
      <c r="D57" s="173">
        <f t="shared" si="0"/>
        <v>38944.080000000002</v>
      </c>
      <c r="E57" s="172">
        <f t="shared" si="8"/>
        <v>4242.92</v>
      </c>
      <c r="F57" s="172">
        <f t="shared" si="9"/>
        <v>1474921.0659506847</v>
      </c>
      <c r="G57" s="172">
        <f t="shared" si="4"/>
        <v>1435976.9859506846</v>
      </c>
    </row>
    <row r="58" spans="1:7" x14ac:dyDescent="0.25">
      <c r="A58" s="36">
        <v>44144</v>
      </c>
      <c r="B58" s="168">
        <f t="shared" si="7"/>
        <v>7</v>
      </c>
      <c r="C58" s="172">
        <f t="shared" si="10"/>
        <v>43187</v>
      </c>
      <c r="D58" s="173">
        <f t="shared" si="0"/>
        <v>39056.11</v>
      </c>
      <c r="E58" s="172">
        <f t="shared" si="8"/>
        <v>4130.8900000000003</v>
      </c>
      <c r="F58" s="172">
        <f t="shared" si="9"/>
        <v>1435976.9859506846</v>
      </c>
      <c r="G58" s="172">
        <f t="shared" si="4"/>
        <v>1396920.8759506845</v>
      </c>
    </row>
    <row r="59" spans="1:7" x14ac:dyDescent="0.25">
      <c r="A59" s="36">
        <v>44151</v>
      </c>
      <c r="B59" s="168">
        <f t="shared" si="7"/>
        <v>7</v>
      </c>
      <c r="C59" s="172">
        <f t="shared" si="10"/>
        <v>43187</v>
      </c>
      <c r="D59" s="173">
        <f t="shared" si="0"/>
        <v>39168.46</v>
      </c>
      <c r="E59" s="172">
        <f t="shared" si="8"/>
        <v>4018.54</v>
      </c>
      <c r="F59" s="172">
        <f t="shared" si="9"/>
        <v>1396920.8759506845</v>
      </c>
      <c r="G59" s="172">
        <f t="shared" si="4"/>
        <v>1357752.4159506846</v>
      </c>
    </row>
    <row r="60" spans="1:7" x14ac:dyDescent="0.25">
      <c r="A60" s="36">
        <v>44158</v>
      </c>
      <c r="B60" s="168">
        <f t="shared" si="7"/>
        <v>7</v>
      </c>
      <c r="C60" s="172">
        <f t="shared" si="10"/>
        <v>43187</v>
      </c>
      <c r="D60" s="173">
        <f t="shared" si="0"/>
        <v>39281.14</v>
      </c>
      <c r="E60" s="172">
        <f t="shared" si="8"/>
        <v>3905.86</v>
      </c>
      <c r="F60" s="172">
        <f t="shared" si="9"/>
        <v>1357752.4159506846</v>
      </c>
      <c r="G60" s="172">
        <f t="shared" si="4"/>
        <v>1318471.2759506847</v>
      </c>
    </row>
    <row r="61" spans="1:7" x14ac:dyDescent="0.25">
      <c r="A61" s="36">
        <v>44165</v>
      </c>
      <c r="B61" s="168">
        <f t="shared" si="7"/>
        <v>7</v>
      </c>
      <c r="C61" s="172">
        <f t="shared" si="10"/>
        <v>43187</v>
      </c>
      <c r="D61" s="173">
        <f t="shared" si="0"/>
        <v>39394.14</v>
      </c>
      <c r="E61" s="172">
        <f t="shared" si="8"/>
        <v>3792.86</v>
      </c>
      <c r="F61" s="172">
        <f t="shared" si="9"/>
        <v>1318471.2759506847</v>
      </c>
      <c r="G61" s="172">
        <f t="shared" si="4"/>
        <v>1279077.1359506848</v>
      </c>
    </row>
    <row r="62" spans="1:7" x14ac:dyDescent="0.25">
      <c r="A62" s="36">
        <v>44172</v>
      </c>
      <c r="B62" s="168">
        <f t="shared" si="7"/>
        <v>7</v>
      </c>
      <c r="C62" s="172">
        <f t="shared" si="10"/>
        <v>43187</v>
      </c>
      <c r="D62" s="173">
        <f t="shared" si="0"/>
        <v>39507.46</v>
      </c>
      <c r="E62" s="172">
        <f t="shared" si="8"/>
        <v>3679.54</v>
      </c>
      <c r="F62" s="172">
        <f t="shared" si="9"/>
        <v>1279077.1359506848</v>
      </c>
      <c r="G62" s="172">
        <f t="shared" si="4"/>
        <v>1239569.6759506848</v>
      </c>
    </row>
    <row r="63" spans="1:7" x14ac:dyDescent="0.25">
      <c r="A63" s="36">
        <v>44179</v>
      </c>
      <c r="B63" s="168">
        <f t="shared" si="7"/>
        <v>7</v>
      </c>
      <c r="C63" s="172">
        <f t="shared" si="10"/>
        <v>43187</v>
      </c>
      <c r="D63" s="173">
        <f t="shared" si="0"/>
        <v>39621.11</v>
      </c>
      <c r="E63" s="172">
        <f t="shared" si="8"/>
        <v>3565.89</v>
      </c>
      <c r="F63" s="172">
        <f t="shared" si="9"/>
        <v>1239569.6759506848</v>
      </c>
      <c r="G63" s="172">
        <f t="shared" si="4"/>
        <v>1199948.5659506847</v>
      </c>
    </row>
    <row r="64" spans="1:7" x14ac:dyDescent="0.25">
      <c r="A64" s="36">
        <v>44186</v>
      </c>
      <c r="B64" s="168">
        <f t="shared" si="7"/>
        <v>7</v>
      </c>
      <c r="C64" s="172">
        <f t="shared" si="10"/>
        <v>43187</v>
      </c>
      <c r="D64" s="173">
        <f t="shared" si="0"/>
        <v>39735.089999999997</v>
      </c>
      <c r="E64" s="172">
        <f t="shared" si="8"/>
        <v>3451.91</v>
      </c>
      <c r="F64" s="172">
        <f t="shared" si="9"/>
        <v>1199948.5659506847</v>
      </c>
      <c r="G64" s="172">
        <f t="shared" si="4"/>
        <v>1160213.4759506846</v>
      </c>
    </row>
    <row r="65" spans="1:7" x14ac:dyDescent="0.25">
      <c r="A65" s="36">
        <v>44193</v>
      </c>
      <c r="B65" s="168">
        <f t="shared" si="7"/>
        <v>7</v>
      </c>
      <c r="C65" s="172">
        <f t="shared" si="10"/>
        <v>43187</v>
      </c>
      <c r="D65" s="173">
        <f t="shared" si="0"/>
        <v>39849.4</v>
      </c>
      <c r="E65" s="172">
        <f t="shared" si="8"/>
        <v>3337.6</v>
      </c>
      <c r="F65" s="172">
        <f t="shared" si="9"/>
        <v>1160213.4759506846</v>
      </c>
      <c r="G65" s="172">
        <f t="shared" si="4"/>
        <v>1120364.0759506847</v>
      </c>
    </row>
    <row r="66" spans="1:7" x14ac:dyDescent="0.25">
      <c r="A66" s="36">
        <v>44200</v>
      </c>
      <c r="B66" s="168">
        <f t="shared" si="7"/>
        <v>7</v>
      </c>
      <c r="C66" s="172">
        <f t="shared" si="10"/>
        <v>43187</v>
      </c>
      <c r="D66" s="173">
        <f t="shared" si="0"/>
        <v>39964.03</v>
      </c>
      <c r="E66" s="172">
        <f t="shared" si="8"/>
        <v>3222.97</v>
      </c>
      <c r="F66" s="172">
        <f t="shared" si="9"/>
        <v>1120364.0759506847</v>
      </c>
      <c r="G66" s="172">
        <f t="shared" si="4"/>
        <v>1080400.0459506847</v>
      </c>
    </row>
    <row r="67" spans="1:7" x14ac:dyDescent="0.25">
      <c r="A67" s="36">
        <v>44207</v>
      </c>
      <c r="B67" s="168">
        <f t="shared" si="7"/>
        <v>7</v>
      </c>
      <c r="C67" s="172">
        <f t="shared" si="10"/>
        <v>43187</v>
      </c>
      <c r="D67" s="173">
        <f t="shared" si="0"/>
        <v>40079</v>
      </c>
      <c r="E67" s="172">
        <f t="shared" si="8"/>
        <v>3108</v>
      </c>
      <c r="F67" s="172">
        <f t="shared" si="9"/>
        <v>1080400.0459506847</v>
      </c>
      <c r="G67" s="172">
        <f t="shared" si="4"/>
        <v>1040321.0459506847</v>
      </c>
    </row>
    <row r="68" spans="1:7" x14ac:dyDescent="0.25">
      <c r="A68" s="36">
        <v>44214</v>
      </c>
      <c r="B68" s="168">
        <f t="shared" si="7"/>
        <v>7</v>
      </c>
      <c r="C68" s="172">
        <f t="shared" si="10"/>
        <v>43187</v>
      </c>
      <c r="D68" s="173">
        <f t="shared" si="0"/>
        <v>40194.300000000003</v>
      </c>
      <c r="E68" s="172">
        <f t="shared" si="8"/>
        <v>2992.7</v>
      </c>
      <c r="F68" s="172">
        <f t="shared" si="9"/>
        <v>1040321.0459506847</v>
      </c>
      <c r="G68" s="172">
        <f t="shared" si="4"/>
        <v>1000126.7459506846</v>
      </c>
    </row>
    <row r="69" spans="1:7" x14ac:dyDescent="0.25">
      <c r="A69" s="36">
        <v>44221</v>
      </c>
      <c r="B69" s="168">
        <f t="shared" si="7"/>
        <v>7</v>
      </c>
      <c r="C69" s="172">
        <f t="shared" si="10"/>
        <v>43187</v>
      </c>
      <c r="D69" s="173">
        <f t="shared" ref="D69:D92" si="11">C69-E69</f>
        <v>40309.919999999998</v>
      </c>
      <c r="E69" s="172">
        <f t="shared" si="8"/>
        <v>2877.08</v>
      </c>
      <c r="F69" s="172">
        <f t="shared" si="9"/>
        <v>1000126.7459506846</v>
      </c>
      <c r="G69" s="172">
        <f t="shared" si="4"/>
        <v>959816.82595068461</v>
      </c>
    </row>
    <row r="70" spans="1:7" x14ac:dyDescent="0.25">
      <c r="A70" s="36">
        <v>44228</v>
      </c>
      <c r="B70" s="168">
        <f t="shared" si="7"/>
        <v>7</v>
      </c>
      <c r="C70" s="172">
        <f t="shared" si="10"/>
        <v>43187</v>
      </c>
      <c r="D70" s="173">
        <f t="shared" si="11"/>
        <v>40425.879999999997</v>
      </c>
      <c r="E70" s="172">
        <f t="shared" si="8"/>
        <v>2761.12</v>
      </c>
      <c r="F70" s="172">
        <f t="shared" si="9"/>
        <v>959816.82595068461</v>
      </c>
      <c r="G70" s="172">
        <f t="shared" ref="G70:G92" si="12">F70-D70</f>
        <v>919390.9459506846</v>
      </c>
    </row>
    <row r="71" spans="1:7" x14ac:dyDescent="0.25">
      <c r="A71" s="36">
        <v>44235</v>
      </c>
      <c r="B71" s="168">
        <f t="shared" si="7"/>
        <v>7</v>
      </c>
      <c r="C71" s="172">
        <f t="shared" si="10"/>
        <v>43187</v>
      </c>
      <c r="D71" s="173">
        <f t="shared" si="11"/>
        <v>40542.18</v>
      </c>
      <c r="E71" s="172">
        <f t="shared" si="8"/>
        <v>2644.82</v>
      </c>
      <c r="F71" s="172">
        <f t="shared" si="9"/>
        <v>919390.9459506846</v>
      </c>
      <c r="G71" s="172">
        <f t="shared" si="12"/>
        <v>878848.76595068455</v>
      </c>
    </row>
    <row r="72" spans="1:7" x14ac:dyDescent="0.25">
      <c r="A72" s="36">
        <v>44242</v>
      </c>
      <c r="B72" s="168">
        <f t="shared" si="7"/>
        <v>7</v>
      </c>
      <c r="C72" s="172">
        <f t="shared" si="10"/>
        <v>43187</v>
      </c>
      <c r="D72" s="173">
        <f t="shared" si="11"/>
        <v>40658.800000000003</v>
      </c>
      <c r="E72" s="172">
        <f t="shared" si="8"/>
        <v>2528.1999999999998</v>
      </c>
      <c r="F72" s="172">
        <f t="shared" si="9"/>
        <v>878848.76595068455</v>
      </c>
      <c r="G72" s="172">
        <f t="shared" si="12"/>
        <v>838189.96595068451</v>
      </c>
    </row>
    <row r="73" spans="1:7" x14ac:dyDescent="0.25">
      <c r="A73" s="36">
        <v>44249</v>
      </c>
      <c r="B73" s="168">
        <f t="shared" si="7"/>
        <v>7</v>
      </c>
      <c r="C73" s="172">
        <f t="shared" si="10"/>
        <v>43187</v>
      </c>
      <c r="D73" s="173">
        <f t="shared" si="11"/>
        <v>40775.769999999997</v>
      </c>
      <c r="E73" s="172">
        <f t="shared" si="8"/>
        <v>2411.23</v>
      </c>
      <c r="F73" s="172">
        <f t="shared" si="9"/>
        <v>838189.96595068451</v>
      </c>
      <c r="G73" s="172">
        <f t="shared" si="12"/>
        <v>797414.19595068449</v>
      </c>
    </row>
    <row r="74" spans="1:7" x14ac:dyDescent="0.25">
      <c r="A74" s="36">
        <v>44256</v>
      </c>
      <c r="B74" s="168">
        <f t="shared" si="7"/>
        <v>7</v>
      </c>
      <c r="C74" s="172">
        <f t="shared" si="10"/>
        <v>43187</v>
      </c>
      <c r="D74" s="173">
        <f t="shared" si="11"/>
        <v>40893.07</v>
      </c>
      <c r="E74" s="172">
        <f t="shared" si="8"/>
        <v>2293.9299999999998</v>
      </c>
      <c r="F74" s="172">
        <f t="shared" si="9"/>
        <v>797414.19595068449</v>
      </c>
      <c r="G74" s="172">
        <f t="shared" si="12"/>
        <v>756521.12595068454</v>
      </c>
    </row>
    <row r="75" spans="1:7" x14ac:dyDescent="0.25">
      <c r="A75" s="36">
        <v>44263</v>
      </c>
      <c r="B75" s="168">
        <f t="shared" si="7"/>
        <v>7</v>
      </c>
      <c r="C75" s="172">
        <f t="shared" si="10"/>
        <v>43187</v>
      </c>
      <c r="D75" s="173">
        <f t="shared" si="11"/>
        <v>41010.71</v>
      </c>
      <c r="E75" s="172">
        <f t="shared" si="8"/>
        <v>2176.29</v>
      </c>
      <c r="F75" s="172">
        <f t="shared" si="9"/>
        <v>756521.12595068454</v>
      </c>
      <c r="G75" s="172">
        <f t="shared" si="12"/>
        <v>715510.41595068458</v>
      </c>
    </row>
    <row r="76" spans="1:7" x14ac:dyDescent="0.25">
      <c r="A76" s="36">
        <v>44270</v>
      </c>
      <c r="B76" s="168">
        <f t="shared" si="7"/>
        <v>7</v>
      </c>
      <c r="C76" s="172">
        <f t="shared" si="10"/>
        <v>43187</v>
      </c>
      <c r="D76" s="173">
        <f t="shared" si="11"/>
        <v>41128.68</v>
      </c>
      <c r="E76" s="172">
        <f t="shared" si="8"/>
        <v>2058.3200000000002</v>
      </c>
      <c r="F76" s="172">
        <f t="shared" si="9"/>
        <v>715510.41595068458</v>
      </c>
      <c r="G76" s="172">
        <f t="shared" si="12"/>
        <v>674381.73595068452</v>
      </c>
    </row>
    <row r="77" spans="1:7" x14ac:dyDescent="0.25">
      <c r="A77" s="36">
        <v>44277</v>
      </c>
      <c r="B77" s="168">
        <f t="shared" si="7"/>
        <v>7</v>
      </c>
      <c r="C77" s="172">
        <f t="shared" si="10"/>
        <v>43187</v>
      </c>
      <c r="D77" s="173">
        <f t="shared" si="11"/>
        <v>41247</v>
      </c>
      <c r="E77" s="172">
        <f t="shared" si="8"/>
        <v>1940</v>
      </c>
      <c r="F77" s="172">
        <f t="shared" si="9"/>
        <v>674381.73595068452</v>
      </c>
      <c r="G77" s="172">
        <f t="shared" si="12"/>
        <v>633134.73595068452</v>
      </c>
    </row>
    <row r="78" spans="1:7" x14ac:dyDescent="0.25">
      <c r="A78" s="36">
        <v>44284</v>
      </c>
      <c r="B78" s="168">
        <f t="shared" si="7"/>
        <v>7</v>
      </c>
      <c r="C78" s="172">
        <f t="shared" si="10"/>
        <v>43187</v>
      </c>
      <c r="D78" s="173">
        <f t="shared" si="11"/>
        <v>41365.65</v>
      </c>
      <c r="E78" s="172">
        <f t="shared" si="8"/>
        <v>1821.35</v>
      </c>
      <c r="F78" s="172">
        <f t="shared" si="9"/>
        <v>633134.73595068452</v>
      </c>
      <c r="G78" s="172">
        <f t="shared" si="12"/>
        <v>591769.0859506845</v>
      </c>
    </row>
    <row r="79" spans="1:7" x14ac:dyDescent="0.25">
      <c r="A79" s="36">
        <v>44291</v>
      </c>
      <c r="B79" s="168">
        <f t="shared" si="7"/>
        <v>7</v>
      </c>
      <c r="C79" s="172">
        <f t="shared" si="10"/>
        <v>43187</v>
      </c>
      <c r="D79" s="173">
        <f t="shared" si="11"/>
        <v>41484.65</v>
      </c>
      <c r="E79" s="172">
        <f t="shared" si="8"/>
        <v>1702.35</v>
      </c>
      <c r="F79" s="172">
        <f t="shared" si="9"/>
        <v>591769.0859506845</v>
      </c>
      <c r="G79" s="172">
        <f t="shared" si="12"/>
        <v>550284.43595068448</v>
      </c>
    </row>
    <row r="80" spans="1:7" x14ac:dyDescent="0.25">
      <c r="A80" s="36">
        <v>44298</v>
      </c>
      <c r="B80" s="168">
        <f t="shared" si="7"/>
        <v>7</v>
      </c>
      <c r="C80" s="172">
        <f t="shared" si="10"/>
        <v>43187</v>
      </c>
      <c r="D80" s="173">
        <f t="shared" si="11"/>
        <v>41603.99</v>
      </c>
      <c r="E80" s="172">
        <f t="shared" si="8"/>
        <v>1583.01</v>
      </c>
      <c r="F80" s="172">
        <f t="shared" si="9"/>
        <v>550284.43595068448</v>
      </c>
      <c r="G80" s="172">
        <f t="shared" si="12"/>
        <v>508680.44595068449</v>
      </c>
    </row>
    <row r="81" spans="1:7" x14ac:dyDescent="0.25">
      <c r="A81" s="36">
        <v>44305</v>
      </c>
      <c r="B81" s="168">
        <f t="shared" si="7"/>
        <v>7</v>
      </c>
      <c r="C81" s="172">
        <f t="shared" si="10"/>
        <v>43187</v>
      </c>
      <c r="D81" s="173">
        <f t="shared" si="11"/>
        <v>41723.67</v>
      </c>
      <c r="E81" s="172">
        <f t="shared" si="8"/>
        <v>1463.33</v>
      </c>
      <c r="F81" s="172">
        <f t="shared" si="9"/>
        <v>508680.44595068449</v>
      </c>
      <c r="G81" s="172">
        <f t="shared" si="12"/>
        <v>466956.7759506845</v>
      </c>
    </row>
    <row r="82" spans="1:7" x14ac:dyDescent="0.25">
      <c r="A82" s="36">
        <v>44312</v>
      </c>
      <c r="B82" s="168">
        <f t="shared" si="7"/>
        <v>7</v>
      </c>
      <c r="C82" s="172">
        <f t="shared" si="10"/>
        <v>43187</v>
      </c>
      <c r="D82" s="173">
        <f t="shared" si="11"/>
        <v>41843.699999999997</v>
      </c>
      <c r="E82" s="172">
        <f t="shared" si="8"/>
        <v>1343.3</v>
      </c>
      <c r="F82" s="172">
        <f t="shared" si="9"/>
        <v>466956.7759506845</v>
      </c>
      <c r="G82" s="172">
        <f t="shared" si="12"/>
        <v>425113.07595068449</v>
      </c>
    </row>
    <row r="83" spans="1:7" x14ac:dyDescent="0.25">
      <c r="A83" s="36">
        <v>44319</v>
      </c>
      <c r="B83" s="168">
        <f t="shared" si="7"/>
        <v>7</v>
      </c>
      <c r="C83" s="172">
        <f t="shared" si="10"/>
        <v>43187</v>
      </c>
      <c r="D83" s="173">
        <f t="shared" si="11"/>
        <v>41964.07</v>
      </c>
      <c r="E83" s="172">
        <f t="shared" si="8"/>
        <v>1222.93</v>
      </c>
      <c r="F83" s="172">
        <f t="shared" si="9"/>
        <v>425113.07595068449</v>
      </c>
      <c r="G83" s="172">
        <f t="shared" si="12"/>
        <v>383149.00595068448</v>
      </c>
    </row>
    <row r="84" spans="1:7" x14ac:dyDescent="0.25">
      <c r="A84" s="36">
        <v>44326</v>
      </c>
      <c r="B84" s="168">
        <f t="shared" si="7"/>
        <v>7</v>
      </c>
      <c r="C84" s="172">
        <f t="shared" si="10"/>
        <v>43187</v>
      </c>
      <c r="D84" s="173">
        <f t="shared" si="11"/>
        <v>42084.79</v>
      </c>
      <c r="E84" s="172">
        <f t="shared" si="8"/>
        <v>1102.21</v>
      </c>
      <c r="F84" s="172">
        <f t="shared" si="9"/>
        <v>383149.00595068448</v>
      </c>
      <c r="G84" s="172">
        <f t="shared" si="12"/>
        <v>341064.21595068451</v>
      </c>
    </row>
    <row r="85" spans="1:7" x14ac:dyDescent="0.25">
      <c r="A85" s="36">
        <v>44333</v>
      </c>
      <c r="B85" s="168">
        <f t="shared" si="7"/>
        <v>7</v>
      </c>
      <c r="C85" s="172">
        <f t="shared" si="10"/>
        <v>43187</v>
      </c>
      <c r="D85" s="173">
        <f t="shared" si="11"/>
        <v>42205.86</v>
      </c>
      <c r="E85" s="172">
        <f t="shared" si="8"/>
        <v>981.14</v>
      </c>
      <c r="F85" s="172">
        <f t="shared" si="9"/>
        <v>341064.21595068451</v>
      </c>
      <c r="G85" s="172">
        <f t="shared" si="12"/>
        <v>298858.35595068452</v>
      </c>
    </row>
    <row r="86" spans="1:7" x14ac:dyDescent="0.25">
      <c r="A86" s="36">
        <v>44340</v>
      </c>
      <c r="B86" s="168">
        <f t="shared" si="7"/>
        <v>7</v>
      </c>
      <c r="C86" s="172">
        <f t="shared" si="10"/>
        <v>43187</v>
      </c>
      <c r="D86" s="173">
        <f t="shared" si="11"/>
        <v>42327.27</v>
      </c>
      <c r="E86" s="172">
        <f t="shared" si="8"/>
        <v>859.73</v>
      </c>
      <c r="F86" s="172">
        <f t="shared" si="9"/>
        <v>298858.35595068452</v>
      </c>
      <c r="G86" s="172">
        <f t="shared" si="12"/>
        <v>256531.08595068453</v>
      </c>
    </row>
    <row r="87" spans="1:7" x14ac:dyDescent="0.25">
      <c r="A87" s="36">
        <v>44347</v>
      </c>
      <c r="B87" s="168">
        <f t="shared" si="7"/>
        <v>7</v>
      </c>
      <c r="C87" s="172">
        <f t="shared" si="10"/>
        <v>43187</v>
      </c>
      <c r="D87" s="173">
        <f t="shared" si="11"/>
        <v>42449.03</v>
      </c>
      <c r="E87" s="172">
        <f t="shared" si="8"/>
        <v>737.97</v>
      </c>
      <c r="F87" s="172">
        <f t="shared" si="9"/>
        <v>256531.08595068453</v>
      </c>
      <c r="G87" s="172">
        <f t="shared" si="12"/>
        <v>214082.05595068453</v>
      </c>
    </row>
    <row r="88" spans="1:7" x14ac:dyDescent="0.25">
      <c r="A88" s="36">
        <v>44354</v>
      </c>
      <c r="B88" s="168">
        <f t="shared" si="7"/>
        <v>7</v>
      </c>
      <c r="C88" s="172">
        <f t="shared" si="10"/>
        <v>43187</v>
      </c>
      <c r="D88" s="173">
        <f t="shared" si="11"/>
        <v>42571.15</v>
      </c>
      <c r="E88" s="172">
        <f t="shared" si="8"/>
        <v>615.85</v>
      </c>
      <c r="F88" s="172">
        <f t="shared" si="9"/>
        <v>214082.05595068453</v>
      </c>
      <c r="G88" s="172">
        <f t="shared" si="12"/>
        <v>171510.90595068454</v>
      </c>
    </row>
    <row r="89" spans="1:7" x14ac:dyDescent="0.25">
      <c r="A89" s="36">
        <v>44361</v>
      </c>
      <c r="B89" s="168">
        <f t="shared" si="7"/>
        <v>7</v>
      </c>
      <c r="C89" s="172">
        <f t="shared" si="10"/>
        <v>43187</v>
      </c>
      <c r="D89" s="173">
        <f t="shared" si="11"/>
        <v>42693.61</v>
      </c>
      <c r="E89" s="172">
        <f t="shared" si="8"/>
        <v>493.39</v>
      </c>
      <c r="F89" s="172">
        <f t="shared" si="9"/>
        <v>171510.90595068454</v>
      </c>
      <c r="G89" s="172">
        <f t="shared" si="12"/>
        <v>128817.29595068454</v>
      </c>
    </row>
    <row r="90" spans="1:7" x14ac:dyDescent="0.25">
      <c r="A90" s="36">
        <v>44368</v>
      </c>
      <c r="B90" s="168">
        <f t="shared" si="7"/>
        <v>7</v>
      </c>
      <c r="C90" s="172">
        <f t="shared" si="10"/>
        <v>43187</v>
      </c>
      <c r="D90" s="173">
        <f t="shared" si="11"/>
        <v>42816.43</v>
      </c>
      <c r="E90" s="172">
        <f t="shared" si="8"/>
        <v>370.57</v>
      </c>
      <c r="F90" s="172">
        <f t="shared" si="9"/>
        <v>128817.29595068454</v>
      </c>
      <c r="G90" s="172">
        <f t="shared" si="12"/>
        <v>86000.865950684529</v>
      </c>
    </row>
    <row r="91" spans="1:7" x14ac:dyDescent="0.25">
      <c r="A91" s="36">
        <v>44375</v>
      </c>
      <c r="B91" s="168">
        <f t="shared" si="7"/>
        <v>7</v>
      </c>
      <c r="C91" s="172">
        <f t="shared" si="10"/>
        <v>43187</v>
      </c>
      <c r="D91" s="173">
        <f t="shared" si="11"/>
        <v>42939.6</v>
      </c>
      <c r="E91" s="172">
        <f t="shared" si="8"/>
        <v>247.4</v>
      </c>
      <c r="F91" s="172">
        <f t="shared" si="9"/>
        <v>86000.865950684529</v>
      </c>
      <c r="G91" s="172">
        <f t="shared" si="12"/>
        <v>43061.26595068453</v>
      </c>
    </row>
    <row r="92" spans="1:7" x14ac:dyDescent="0.25">
      <c r="A92" s="36">
        <v>44382</v>
      </c>
      <c r="B92" s="168">
        <f t="shared" si="7"/>
        <v>7</v>
      </c>
      <c r="C92" s="172">
        <f t="shared" si="10"/>
        <v>43187</v>
      </c>
      <c r="D92" s="173">
        <f t="shared" si="11"/>
        <v>43061.26595068453</v>
      </c>
      <c r="E92" s="172">
        <v>125.73404931546713</v>
      </c>
      <c r="F92" s="172">
        <f t="shared" si="9"/>
        <v>43061.26595068453</v>
      </c>
      <c r="G92" s="172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767AB0-187D-437D-B794-92D738CBFFC4}">
  <dimension ref="A1:H92"/>
  <sheetViews>
    <sheetView zoomScale="86" zoomScaleNormal="80" workbookViewId="0">
      <pane ySplit="3" topLeftCell="A74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ROUNDUP(43148.6684862728,0)</f>
        <v>43149</v>
      </c>
      <c r="G1" s="83" t="s">
        <v>52</v>
      </c>
      <c r="H1" s="81">
        <v>44109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127</v>
      </c>
      <c r="H2" s="83">
        <v>56000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68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8" x14ac:dyDescent="0.25">
      <c r="A6" s="36">
        <v>44060</v>
      </c>
      <c r="B6" s="46">
        <f t="shared" ref="B6:B52" si="1">DAYS360(A5,A6,TRUE)</f>
        <v>7</v>
      </c>
      <c r="C6" s="47">
        <f t="shared" ref="C6:C52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52" si="5">F6-D6</f>
        <v>1922213.3900000001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8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36">
        <v>44109</v>
      </c>
      <c r="B53" s="169">
        <f t="shared" ref="B53:G53" si="6">B13</f>
        <v>7</v>
      </c>
      <c r="C53" s="170">
        <f t="shared" si="6"/>
        <v>44670</v>
      </c>
      <c r="D53" s="171">
        <f t="shared" si="6"/>
        <v>39754.479999999996</v>
      </c>
      <c r="E53" s="170">
        <f t="shared" si="6"/>
        <v>4915.5200000000004</v>
      </c>
      <c r="F53" s="170">
        <f t="shared" si="6"/>
        <v>1685322.59</v>
      </c>
      <c r="G53" s="170">
        <f t="shared" si="6"/>
        <v>1645568.11</v>
      </c>
    </row>
    <row r="54" spans="1:7" x14ac:dyDescent="0.25">
      <c r="A54" s="36">
        <v>44116</v>
      </c>
      <c r="B54" s="168">
        <f>DAYS360(A53,A54,TRUE)</f>
        <v>7</v>
      </c>
      <c r="C54" s="172">
        <f>$F$1</f>
        <v>43149</v>
      </c>
      <c r="D54" s="173">
        <f t="shared" si="0"/>
        <v>38512.76</v>
      </c>
      <c r="E54" s="172">
        <f>ROUND(F54*$B$2*B54/360,2)</f>
        <v>4636.24</v>
      </c>
      <c r="F54" s="172">
        <f>G53-H2</f>
        <v>1589568.11</v>
      </c>
      <c r="G54" s="172">
        <f t="shared" ref="G54:G92" si="7">F54-D54</f>
        <v>1551055.35</v>
      </c>
    </row>
    <row r="55" spans="1:7" x14ac:dyDescent="0.25">
      <c r="A55" s="36">
        <v>44123</v>
      </c>
      <c r="B55" s="168">
        <f t="shared" ref="B55:B92" si="8">DAYS360(A54,A55,TRUE)</f>
        <v>7</v>
      </c>
      <c r="C55" s="172">
        <f t="shared" ref="C55:C92" si="9">$F$1</f>
        <v>43149</v>
      </c>
      <c r="D55" s="173">
        <f t="shared" si="0"/>
        <v>38625.089999999997</v>
      </c>
      <c r="E55" s="172">
        <f t="shared" ref="E55:E91" si="10">ROUND(F55*$B$2*B55/360,2)</f>
        <v>4523.91</v>
      </c>
      <c r="F55" s="172">
        <f t="shared" ref="F55:F92" si="11">G54</f>
        <v>1551055.35</v>
      </c>
      <c r="G55" s="172">
        <f t="shared" si="7"/>
        <v>1512430.26</v>
      </c>
    </row>
    <row r="56" spans="1:7" x14ac:dyDescent="0.25">
      <c r="A56" s="36">
        <v>44130</v>
      </c>
      <c r="B56" s="168">
        <f t="shared" si="8"/>
        <v>7</v>
      </c>
      <c r="C56" s="172">
        <f t="shared" si="9"/>
        <v>43149</v>
      </c>
      <c r="D56" s="173">
        <f t="shared" si="0"/>
        <v>38737.75</v>
      </c>
      <c r="E56" s="172">
        <f t="shared" si="10"/>
        <v>4411.25</v>
      </c>
      <c r="F56" s="172">
        <f t="shared" si="11"/>
        <v>1512430.26</v>
      </c>
      <c r="G56" s="172">
        <f t="shared" si="7"/>
        <v>1473692.51</v>
      </c>
    </row>
    <row r="57" spans="1:7" x14ac:dyDescent="0.25">
      <c r="A57" s="36">
        <v>44137</v>
      </c>
      <c r="B57" s="168">
        <f t="shared" si="8"/>
        <v>6</v>
      </c>
      <c r="C57" s="172">
        <f t="shared" si="9"/>
        <v>43149</v>
      </c>
      <c r="D57" s="173">
        <f t="shared" si="0"/>
        <v>39464.769999999997</v>
      </c>
      <c r="E57" s="172">
        <f t="shared" si="10"/>
        <v>3684.23</v>
      </c>
      <c r="F57" s="172">
        <f t="shared" si="11"/>
        <v>1473692.51</v>
      </c>
      <c r="G57" s="172">
        <f t="shared" si="7"/>
        <v>1434227.74</v>
      </c>
    </row>
    <row r="58" spans="1:7" x14ac:dyDescent="0.25">
      <c r="A58" s="36">
        <v>44144</v>
      </c>
      <c r="B58" s="168">
        <f t="shared" si="8"/>
        <v>7</v>
      </c>
      <c r="C58" s="172">
        <f t="shared" si="9"/>
        <v>43149</v>
      </c>
      <c r="D58" s="173">
        <f t="shared" si="0"/>
        <v>38965.839999999997</v>
      </c>
      <c r="E58" s="172">
        <f t="shared" si="10"/>
        <v>4183.16</v>
      </c>
      <c r="F58" s="172">
        <f t="shared" si="11"/>
        <v>1434227.74</v>
      </c>
      <c r="G58" s="172">
        <f t="shared" si="7"/>
        <v>1395261.9</v>
      </c>
    </row>
    <row r="59" spans="1:7" x14ac:dyDescent="0.25">
      <c r="A59" s="36">
        <v>44151</v>
      </c>
      <c r="B59" s="168">
        <f t="shared" si="8"/>
        <v>7</v>
      </c>
      <c r="C59" s="172">
        <f t="shared" si="9"/>
        <v>43149</v>
      </c>
      <c r="D59" s="173">
        <f t="shared" si="0"/>
        <v>39079.49</v>
      </c>
      <c r="E59" s="172">
        <f t="shared" si="10"/>
        <v>4069.51</v>
      </c>
      <c r="F59" s="172">
        <f t="shared" si="11"/>
        <v>1395261.9</v>
      </c>
      <c r="G59" s="172">
        <f t="shared" si="7"/>
        <v>1356182.41</v>
      </c>
    </row>
    <row r="60" spans="1:7" x14ac:dyDescent="0.25">
      <c r="A60" s="36">
        <v>44158</v>
      </c>
      <c r="B60" s="168">
        <f t="shared" si="8"/>
        <v>7</v>
      </c>
      <c r="C60" s="172">
        <f t="shared" si="9"/>
        <v>43149</v>
      </c>
      <c r="D60" s="173">
        <f t="shared" si="0"/>
        <v>39193.47</v>
      </c>
      <c r="E60" s="172">
        <f t="shared" si="10"/>
        <v>3955.53</v>
      </c>
      <c r="F60" s="172">
        <f t="shared" si="11"/>
        <v>1356182.41</v>
      </c>
      <c r="G60" s="172">
        <f t="shared" si="7"/>
        <v>1316988.94</v>
      </c>
    </row>
    <row r="61" spans="1:7" x14ac:dyDescent="0.25">
      <c r="A61" s="36">
        <v>44165</v>
      </c>
      <c r="B61" s="168">
        <f t="shared" si="8"/>
        <v>7</v>
      </c>
      <c r="C61" s="172">
        <f t="shared" si="9"/>
        <v>43149</v>
      </c>
      <c r="D61" s="173">
        <f t="shared" si="0"/>
        <v>39307.78</v>
      </c>
      <c r="E61" s="172">
        <f t="shared" si="10"/>
        <v>3841.22</v>
      </c>
      <c r="F61" s="172">
        <f t="shared" si="11"/>
        <v>1316988.94</v>
      </c>
      <c r="G61" s="172">
        <f t="shared" si="7"/>
        <v>1277681.1599999999</v>
      </c>
    </row>
    <row r="62" spans="1:7" x14ac:dyDescent="0.25">
      <c r="A62" s="36">
        <v>44172</v>
      </c>
      <c r="B62" s="168">
        <f t="shared" si="8"/>
        <v>7</v>
      </c>
      <c r="C62" s="172">
        <f t="shared" si="9"/>
        <v>43149</v>
      </c>
      <c r="D62" s="173">
        <f t="shared" si="0"/>
        <v>39422.43</v>
      </c>
      <c r="E62" s="172">
        <f t="shared" si="10"/>
        <v>3726.57</v>
      </c>
      <c r="F62" s="172">
        <f t="shared" si="11"/>
        <v>1277681.1599999999</v>
      </c>
      <c r="G62" s="172">
        <f t="shared" si="7"/>
        <v>1238258.73</v>
      </c>
    </row>
    <row r="63" spans="1:7" x14ac:dyDescent="0.25">
      <c r="A63" s="36">
        <v>44179</v>
      </c>
      <c r="B63" s="168">
        <f t="shared" si="8"/>
        <v>7</v>
      </c>
      <c r="C63" s="172">
        <f t="shared" si="9"/>
        <v>43149</v>
      </c>
      <c r="D63" s="173">
        <f t="shared" si="0"/>
        <v>39537.410000000003</v>
      </c>
      <c r="E63" s="172">
        <f t="shared" si="10"/>
        <v>3611.59</v>
      </c>
      <c r="F63" s="172">
        <f t="shared" si="11"/>
        <v>1238258.73</v>
      </c>
      <c r="G63" s="172">
        <f t="shared" si="7"/>
        <v>1198721.32</v>
      </c>
    </row>
    <row r="64" spans="1:7" x14ac:dyDescent="0.25">
      <c r="A64" s="36">
        <v>44186</v>
      </c>
      <c r="B64" s="168">
        <f t="shared" si="8"/>
        <v>7</v>
      </c>
      <c r="C64" s="172">
        <f t="shared" si="9"/>
        <v>43149</v>
      </c>
      <c r="D64" s="173">
        <f t="shared" si="0"/>
        <v>39652.730000000003</v>
      </c>
      <c r="E64" s="172">
        <f t="shared" si="10"/>
        <v>3496.27</v>
      </c>
      <c r="F64" s="172">
        <f t="shared" si="11"/>
        <v>1198721.32</v>
      </c>
      <c r="G64" s="172">
        <f t="shared" si="7"/>
        <v>1159068.5900000001</v>
      </c>
    </row>
    <row r="65" spans="1:7" x14ac:dyDescent="0.25">
      <c r="A65" s="36">
        <v>44193</v>
      </c>
      <c r="B65" s="168">
        <f t="shared" si="8"/>
        <v>7</v>
      </c>
      <c r="C65" s="172">
        <f t="shared" si="9"/>
        <v>43149</v>
      </c>
      <c r="D65" s="173">
        <f t="shared" si="0"/>
        <v>39768.379999999997</v>
      </c>
      <c r="E65" s="172">
        <f t="shared" si="10"/>
        <v>3380.62</v>
      </c>
      <c r="F65" s="172">
        <f t="shared" si="11"/>
        <v>1159068.5900000001</v>
      </c>
      <c r="G65" s="172">
        <f t="shared" si="7"/>
        <v>1119300.2100000002</v>
      </c>
    </row>
    <row r="66" spans="1:7" x14ac:dyDescent="0.25">
      <c r="A66" s="36">
        <v>44200</v>
      </c>
      <c r="B66" s="168">
        <f t="shared" si="8"/>
        <v>6</v>
      </c>
      <c r="C66" s="172">
        <f t="shared" si="9"/>
        <v>43149</v>
      </c>
      <c r="D66" s="173">
        <f t="shared" si="0"/>
        <v>40350.75</v>
      </c>
      <c r="E66" s="172">
        <f t="shared" si="10"/>
        <v>2798.25</v>
      </c>
      <c r="F66" s="172">
        <f t="shared" si="11"/>
        <v>1119300.2100000002</v>
      </c>
      <c r="G66" s="172">
        <f t="shared" si="7"/>
        <v>1078949.4600000002</v>
      </c>
    </row>
    <row r="67" spans="1:7" x14ac:dyDescent="0.25">
      <c r="A67" s="36">
        <v>44207</v>
      </c>
      <c r="B67" s="168">
        <f t="shared" si="8"/>
        <v>7</v>
      </c>
      <c r="C67" s="172">
        <f t="shared" si="9"/>
        <v>43149</v>
      </c>
      <c r="D67" s="173">
        <f t="shared" si="0"/>
        <v>40002.06</v>
      </c>
      <c r="E67" s="172">
        <f t="shared" si="10"/>
        <v>3146.94</v>
      </c>
      <c r="F67" s="172">
        <f t="shared" si="11"/>
        <v>1078949.4600000002</v>
      </c>
      <c r="G67" s="172">
        <f t="shared" si="7"/>
        <v>1038947.4000000001</v>
      </c>
    </row>
    <row r="68" spans="1:7" x14ac:dyDescent="0.25">
      <c r="A68" s="36">
        <v>44214</v>
      </c>
      <c r="B68" s="168">
        <f t="shared" si="8"/>
        <v>7</v>
      </c>
      <c r="C68" s="172">
        <f t="shared" si="9"/>
        <v>43149</v>
      </c>
      <c r="D68" s="173">
        <f t="shared" si="0"/>
        <v>40118.74</v>
      </c>
      <c r="E68" s="172">
        <f t="shared" si="10"/>
        <v>3030.26</v>
      </c>
      <c r="F68" s="172">
        <f t="shared" si="11"/>
        <v>1038947.4000000001</v>
      </c>
      <c r="G68" s="172">
        <f t="shared" si="7"/>
        <v>998828.66000000015</v>
      </c>
    </row>
    <row r="69" spans="1:7" x14ac:dyDescent="0.25">
      <c r="A69" s="36">
        <v>44221</v>
      </c>
      <c r="B69" s="168">
        <f t="shared" si="8"/>
        <v>7</v>
      </c>
      <c r="C69" s="172">
        <f t="shared" si="9"/>
        <v>43149</v>
      </c>
      <c r="D69" s="173">
        <f t="shared" ref="D69:D92" si="12">C69-E69</f>
        <v>40235.75</v>
      </c>
      <c r="E69" s="172">
        <f t="shared" si="10"/>
        <v>2913.25</v>
      </c>
      <c r="F69" s="172">
        <f t="shared" si="11"/>
        <v>998828.66000000015</v>
      </c>
      <c r="G69" s="172">
        <f t="shared" si="7"/>
        <v>958592.91000000015</v>
      </c>
    </row>
    <row r="70" spans="1:7" x14ac:dyDescent="0.25">
      <c r="A70" s="36">
        <v>44228</v>
      </c>
      <c r="B70" s="168">
        <f t="shared" si="8"/>
        <v>6</v>
      </c>
      <c r="C70" s="172">
        <f t="shared" si="9"/>
        <v>43149</v>
      </c>
      <c r="D70" s="173">
        <f t="shared" si="12"/>
        <v>40752.519999999997</v>
      </c>
      <c r="E70" s="172">
        <f t="shared" si="10"/>
        <v>2396.48</v>
      </c>
      <c r="F70" s="172">
        <f t="shared" si="11"/>
        <v>958592.91000000015</v>
      </c>
      <c r="G70" s="172">
        <f t="shared" si="7"/>
        <v>917840.39000000013</v>
      </c>
    </row>
    <row r="71" spans="1:7" x14ac:dyDescent="0.25">
      <c r="A71" s="36">
        <v>44235</v>
      </c>
      <c r="B71" s="168">
        <f t="shared" si="8"/>
        <v>7</v>
      </c>
      <c r="C71" s="172">
        <f t="shared" si="9"/>
        <v>43149</v>
      </c>
      <c r="D71" s="173">
        <f t="shared" si="12"/>
        <v>40471.97</v>
      </c>
      <c r="E71" s="172">
        <f t="shared" si="10"/>
        <v>2677.03</v>
      </c>
      <c r="F71" s="172">
        <f t="shared" si="11"/>
        <v>917840.39000000013</v>
      </c>
      <c r="G71" s="172">
        <f t="shared" si="7"/>
        <v>877368.42000000016</v>
      </c>
    </row>
    <row r="72" spans="1:7" x14ac:dyDescent="0.25">
      <c r="A72" s="36">
        <v>44242</v>
      </c>
      <c r="B72" s="168">
        <f t="shared" si="8"/>
        <v>7</v>
      </c>
      <c r="C72" s="172">
        <f t="shared" si="9"/>
        <v>43149</v>
      </c>
      <c r="D72" s="173">
        <f t="shared" si="12"/>
        <v>40590.01</v>
      </c>
      <c r="E72" s="172">
        <f t="shared" si="10"/>
        <v>2558.9899999999998</v>
      </c>
      <c r="F72" s="172">
        <f t="shared" si="11"/>
        <v>877368.42000000016</v>
      </c>
      <c r="G72" s="172">
        <f t="shared" si="7"/>
        <v>836778.41000000015</v>
      </c>
    </row>
    <row r="73" spans="1:7" x14ac:dyDescent="0.25">
      <c r="A73" s="36">
        <v>44249</v>
      </c>
      <c r="B73" s="168">
        <f t="shared" si="8"/>
        <v>7</v>
      </c>
      <c r="C73" s="172">
        <f t="shared" si="9"/>
        <v>43149</v>
      </c>
      <c r="D73" s="173">
        <f t="shared" si="12"/>
        <v>40708.400000000001</v>
      </c>
      <c r="E73" s="172">
        <f t="shared" si="10"/>
        <v>2440.6</v>
      </c>
      <c r="F73" s="172">
        <f t="shared" si="11"/>
        <v>836778.41000000015</v>
      </c>
      <c r="G73" s="172">
        <f t="shared" si="7"/>
        <v>796070.01000000013</v>
      </c>
    </row>
    <row r="74" spans="1:7" x14ac:dyDescent="0.25">
      <c r="A74" s="36">
        <v>44256</v>
      </c>
      <c r="B74" s="168">
        <f t="shared" si="8"/>
        <v>9</v>
      </c>
      <c r="C74" s="172">
        <f t="shared" si="9"/>
        <v>43149</v>
      </c>
      <c r="D74" s="173">
        <f t="shared" si="12"/>
        <v>40163.74</v>
      </c>
      <c r="E74" s="172">
        <f t="shared" si="10"/>
        <v>2985.26</v>
      </c>
      <c r="F74" s="172">
        <f t="shared" si="11"/>
        <v>796070.01000000013</v>
      </c>
      <c r="G74" s="172">
        <f t="shared" si="7"/>
        <v>755906.27000000014</v>
      </c>
    </row>
    <row r="75" spans="1:7" x14ac:dyDescent="0.25">
      <c r="A75" s="36">
        <v>44263</v>
      </c>
      <c r="B75" s="168">
        <f t="shared" si="8"/>
        <v>7</v>
      </c>
      <c r="C75" s="172">
        <f t="shared" si="9"/>
        <v>43149</v>
      </c>
      <c r="D75" s="173">
        <f t="shared" si="12"/>
        <v>40944.269999999997</v>
      </c>
      <c r="E75" s="172">
        <f t="shared" si="10"/>
        <v>2204.73</v>
      </c>
      <c r="F75" s="172">
        <f t="shared" si="11"/>
        <v>755906.27000000014</v>
      </c>
      <c r="G75" s="172">
        <f t="shared" si="7"/>
        <v>714962.00000000012</v>
      </c>
    </row>
    <row r="76" spans="1:7" x14ac:dyDescent="0.25">
      <c r="A76" s="36">
        <v>44270</v>
      </c>
      <c r="B76" s="168">
        <f t="shared" si="8"/>
        <v>7</v>
      </c>
      <c r="C76" s="172">
        <f t="shared" si="9"/>
        <v>43149</v>
      </c>
      <c r="D76" s="173">
        <f t="shared" si="12"/>
        <v>41063.69</v>
      </c>
      <c r="E76" s="172">
        <f t="shared" si="10"/>
        <v>2085.31</v>
      </c>
      <c r="F76" s="172">
        <f t="shared" si="11"/>
        <v>714962.00000000012</v>
      </c>
      <c r="G76" s="172">
        <f t="shared" si="7"/>
        <v>673898.31</v>
      </c>
    </row>
    <row r="77" spans="1:7" x14ac:dyDescent="0.25">
      <c r="A77" s="36">
        <v>44277</v>
      </c>
      <c r="B77" s="168">
        <f t="shared" si="8"/>
        <v>7</v>
      </c>
      <c r="C77" s="172">
        <f t="shared" si="9"/>
        <v>43149</v>
      </c>
      <c r="D77" s="173">
        <f t="shared" si="12"/>
        <v>41183.46</v>
      </c>
      <c r="E77" s="172">
        <f t="shared" si="10"/>
        <v>1965.54</v>
      </c>
      <c r="F77" s="172">
        <f t="shared" si="11"/>
        <v>673898.31</v>
      </c>
      <c r="G77" s="172">
        <f t="shared" si="7"/>
        <v>632714.85000000009</v>
      </c>
    </row>
    <row r="78" spans="1:7" x14ac:dyDescent="0.25">
      <c r="A78" s="36">
        <v>44284</v>
      </c>
      <c r="B78" s="168">
        <f t="shared" si="8"/>
        <v>7</v>
      </c>
      <c r="C78" s="172">
        <f t="shared" si="9"/>
        <v>43149</v>
      </c>
      <c r="D78" s="173">
        <f t="shared" si="12"/>
        <v>41303.58</v>
      </c>
      <c r="E78" s="172">
        <f t="shared" si="10"/>
        <v>1845.42</v>
      </c>
      <c r="F78" s="172">
        <f t="shared" si="11"/>
        <v>632714.85000000009</v>
      </c>
      <c r="G78" s="172">
        <f t="shared" si="7"/>
        <v>591411.27000000014</v>
      </c>
    </row>
    <row r="79" spans="1:7" x14ac:dyDescent="0.25">
      <c r="A79" s="36">
        <v>44291</v>
      </c>
      <c r="B79" s="168">
        <f t="shared" si="8"/>
        <v>6</v>
      </c>
      <c r="C79" s="172">
        <f t="shared" si="9"/>
        <v>43149</v>
      </c>
      <c r="D79" s="173">
        <f t="shared" si="12"/>
        <v>41670.47</v>
      </c>
      <c r="E79" s="172">
        <f t="shared" si="10"/>
        <v>1478.53</v>
      </c>
      <c r="F79" s="172">
        <f t="shared" si="11"/>
        <v>591411.27000000014</v>
      </c>
      <c r="G79" s="172">
        <f t="shared" si="7"/>
        <v>549740.80000000016</v>
      </c>
    </row>
    <row r="80" spans="1:7" x14ac:dyDescent="0.25">
      <c r="A80" s="36">
        <v>44298</v>
      </c>
      <c r="B80" s="168">
        <f t="shared" si="8"/>
        <v>7</v>
      </c>
      <c r="C80" s="172">
        <f t="shared" si="9"/>
        <v>43149</v>
      </c>
      <c r="D80" s="173">
        <f t="shared" si="12"/>
        <v>41545.589999999997</v>
      </c>
      <c r="E80" s="172">
        <f t="shared" si="10"/>
        <v>1603.41</v>
      </c>
      <c r="F80" s="172">
        <f t="shared" si="11"/>
        <v>549740.80000000016</v>
      </c>
      <c r="G80" s="172">
        <f t="shared" si="7"/>
        <v>508195.2100000002</v>
      </c>
    </row>
    <row r="81" spans="1:7" x14ac:dyDescent="0.25">
      <c r="A81" s="36">
        <v>44305</v>
      </c>
      <c r="B81" s="168">
        <f t="shared" si="8"/>
        <v>7</v>
      </c>
      <c r="C81" s="172">
        <f t="shared" si="9"/>
        <v>43149</v>
      </c>
      <c r="D81" s="173">
        <f t="shared" si="12"/>
        <v>41666.76</v>
      </c>
      <c r="E81" s="172">
        <f t="shared" si="10"/>
        <v>1482.24</v>
      </c>
      <c r="F81" s="172">
        <f t="shared" si="11"/>
        <v>508195.2100000002</v>
      </c>
      <c r="G81" s="172">
        <f t="shared" si="7"/>
        <v>466528.45000000019</v>
      </c>
    </row>
    <row r="82" spans="1:7" x14ac:dyDescent="0.25">
      <c r="A82" s="36">
        <v>44312</v>
      </c>
      <c r="B82" s="168">
        <f t="shared" si="8"/>
        <v>7</v>
      </c>
      <c r="C82" s="172">
        <f t="shared" si="9"/>
        <v>43149</v>
      </c>
      <c r="D82" s="173">
        <f t="shared" si="12"/>
        <v>41788.29</v>
      </c>
      <c r="E82" s="172">
        <f t="shared" si="10"/>
        <v>1360.71</v>
      </c>
      <c r="F82" s="172">
        <f t="shared" si="11"/>
        <v>466528.45000000019</v>
      </c>
      <c r="G82" s="172">
        <f t="shared" si="7"/>
        <v>424740.16000000021</v>
      </c>
    </row>
    <row r="83" spans="1:7" x14ac:dyDescent="0.25">
      <c r="A83" s="36">
        <v>44319</v>
      </c>
      <c r="B83" s="168">
        <f t="shared" si="8"/>
        <v>7</v>
      </c>
      <c r="C83" s="172">
        <f t="shared" si="9"/>
        <v>43149</v>
      </c>
      <c r="D83" s="173">
        <f t="shared" si="12"/>
        <v>41910.17</v>
      </c>
      <c r="E83" s="172">
        <f t="shared" si="10"/>
        <v>1238.83</v>
      </c>
      <c r="F83" s="172">
        <f t="shared" si="11"/>
        <v>424740.16000000021</v>
      </c>
      <c r="G83" s="172">
        <f t="shared" si="7"/>
        <v>382829.99000000022</v>
      </c>
    </row>
    <row r="84" spans="1:7" x14ac:dyDescent="0.25">
      <c r="A84" s="36">
        <v>44326</v>
      </c>
      <c r="B84" s="168">
        <f t="shared" si="8"/>
        <v>7</v>
      </c>
      <c r="C84" s="172">
        <f t="shared" si="9"/>
        <v>43149</v>
      </c>
      <c r="D84" s="173">
        <f t="shared" si="12"/>
        <v>42032.41</v>
      </c>
      <c r="E84" s="172">
        <f t="shared" si="10"/>
        <v>1116.5899999999999</v>
      </c>
      <c r="F84" s="172">
        <f t="shared" si="11"/>
        <v>382829.99000000022</v>
      </c>
      <c r="G84" s="172">
        <f t="shared" si="7"/>
        <v>340797.58000000019</v>
      </c>
    </row>
    <row r="85" spans="1:7" x14ac:dyDescent="0.25">
      <c r="A85" s="36">
        <v>44333</v>
      </c>
      <c r="B85" s="168">
        <f t="shared" si="8"/>
        <v>7</v>
      </c>
      <c r="C85" s="172">
        <f t="shared" si="9"/>
        <v>43149</v>
      </c>
      <c r="D85" s="173">
        <f t="shared" si="12"/>
        <v>42155.01</v>
      </c>
      <c r="E85" s="172">
        <f t="shared" si="10"/>
        <v>993.99</v>
      </c>
      <c r="F85" s="172">
        <f t="shared" si="11"/>
        <v>340797.58000000019</v>
      </c>
      <c r="G85" s="172">
        <f t="shared" si="7"/>
        <v>298642.57000000018</v>
      </c>
    </row>
    <row r="86" spans="1:7" x14ac:dyDescent="0.25">
      <c r="A86" s="36">
        <v>44340</v>
      </c>
      <c r="B86" s="168">
        <f t="shared" si="8"/>
        <v>7</v>
      </c>
      <c r="C86" s="172">
        <f t="shared" si="9"/>
        <v>43149</v>
      </c>
      <c r="D86" s="173">
        <f t="shared" si="12"/>
        <v>42277.96</v>
      </c>
      <c r="E86" s="172">
        <f t="shared" si="10"/>
        <v>871.04</v>
      </c>
      <c r="F86" s="172">
        <f t="shared" si="11"/>
        <v>298642.57000000018</v>
      </c>
      <c r="G86" s="172">
        <f t="shared" si="7"/>
        <v>256364.61000000019</v>
      </c>
    </row>
    <row r="87" spans="1:7" x14ac:dyDescent="0.25">
      <c r="A87" s="36">
        <v>44347</v>
      </c>
      <c r="B87" s="168">
        <f t="shared" si="8"/>
        <v>6</v>
      </c>
      <c r="C87" s="172">
        <f t="shared" si="9"/>
        <v>43149</v>
      </c>
      <c r="D87" s="173">
        <f t="shared" si="12"/>
        <v>42508.09</v>
      </c>
      <c r="E87" s="172">
        <f t="shared" si="10"/>
        <v>640.91</v>
      </c>
      <c r="F87" s="172">
        <f t="shared" si="11"/>
        <v>256364.61000000019</v>
      </c>
      <c r="G87" s="172">
        <f t="shared" si="7"/>
        <v>213856.52000000019</v>
      </c>
    </row>
    <row r="88" spans="1:7" x14ac:dyDescent="0.25">
      <c r="A88" s="36">
        <v>44354</v>
      </c>
      <c r="B88" s="168">
        <f t="shared" si="8"/>
        <v>7</v>
      </c>
      <c r="C88" s="172">
        <f t="shared" si="9"/>
        <v>43149</v>
      </c>
      <c r="D88" s="173">
        <f t="shared" si="12"/>
        <v>42525.25</v>
      </c>
      <c r="E88" s="172">
        <f t="shared" si="10"/>
        <v>623.75</v>
      </c>
      <c r="F88" s="172">
        <f t="shared" si="11"/>
        <v>213856.52000000019</v>
      </c>
      <c r="G88" s="172">
        <f t="shared" si="7"/>
        <v>171331.27000000019</v>
      </c>
    </row>
    <row r="89" spans="1:7" x14ac:dyDescent="0.25">
      <c r="A89" s="36">
        <v>44361</v>
      </c>
      <c r="B89" s="168">
        <f t="shared" si="8"/>
        <v>7</v>
      </c>
      <c r="C89" s="172">
        <f t="shared" si="9"/>
        <v>43149</v>
      </c>
      <c r="D89" s="173">
        <f t="shared" si="12"/>
        <v>42649.279999999999</v>
      </c>
      <c r="E89" s="172">
        <f t="shared" si="10"/>
        <v>499.72</v>
      </c>
      <c r="F89" s="172">
        <f t="shared" si="11"/>
        <v>171331.27000000019</v>
      </c>
      <c r="G89" s="172">
        <f t="shared" si="7"/>
        <v>128681.99000000019</v>
      </c>
    </row>
    <row r="90" spans="1:7" x14ac:dyDescent="0.25">
      <c r="A90" s="36">
        <v>44368</v>
      </c>
      <c r="B90" s="168">
        <f t="shared" si="8"/>
        <v>7</v>
      </c>
      <c r="C90" s="172">
        <f t="shared" si="9"/>
        <v>43149</v>
      </c>
      <c r="D90" s="173">
        <f t="shared" si="12"/>
        <v>42773.68</v>
      </c>
      <c r="E90" s="172">
        <f t="shared" si="10"/>
        <v>375.32</v>
      </c>
      <c r="F90" s="172">
        <f t="shared" si="11"/>
        <v>128681.99000000019</v>
      </c>
      <c r="G90" s="172">
        <f t="shared" si="7"/>
        <v>85908.310000000201</v>
      </c>
    </row>
    <row r="91" spans="1:7" x14ac:dyDescent="0.25">
      <c r="A91" s="36">
        <v>44375</v>
      </c>
      <c r="B91" s="168">
        <f t="shared" si="8"/>
        <v>7</v>
      </c>
      <c r="C91" s="172">
        <f t="shared" si="9"/>
        <v>43149</v>
      </c>
      <c r="D91" s="173">
        <f t="shared" si="12"/>
        <v>42898.43</v>
      </c>
      <c r="E91" s="172">
        <f t="shared" si="10"/>
        <v>250.57</v>
      </c>
      <c r="F91" s="172">
        <f t="shared" si="11"/>
        <v>85908.310000000201</v>
      </c>
      <c r="G91" s="172">
        <f t="shared" si="7"/>
        <v>43009.880000000201</v>
      </c>
    </row>
    <row r="92" spans="1:7" x14ac:dyDescent="0.25">
      <c r="A92" s="36">
        <v>44382</v>
      </c>
      <c r="B92" s="168">
        <f t="shared" si="8"/>
        <v>7</v>
      </c>
      <c r="C92" s="172">
        <f t="shared" si="9"/>
        <v>43149</v>
      </c>
      <c r="D92" s="173">
        <f t="shared" si="12"/>
        <v>43009.880000000201</v>
      </c>
      <c r="E92" s="172">
        <v>139.11999999979713</v>
      </c>
      <c r="F92" s="172">
        <f t="shared" si="11"/>
        <v>43009.880000000201</v>
      </c>
      <c r="G92" s="172">
        <f t="shared" si="7"/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6273A4-5F1F-4346-B8C0-EA94C617D0B7}">
  <dimension ref="A1:J92"/>
  <sheetViews>
    <sheetView zoomScale="86" zoomScaleNormal="80" workbookViewId="0">
      <pane ySplit="3" topLeftCell="A4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7.28515625" customWidth="1"/>
    <col min="10" max="10" width="12.85546875" customWidth="1"/>
  </cols>
  <sheetData>
    <row r="1" spans="1:10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ROUNDUP(43186.9563118535,0)</f>
        <v>43187</v>
      </c>
      <c r="G1" s="83" t="s">
        <v>52</v>
      </c>
      <c r="H1" s="81">
        <v>44105</v>
      </c>
      <c r="I1" t="s">
        <v>382</v>
      </c>
      <c r="J1">
        <f>DAYS360(A12,H1,TRUE)</f>
        <v>3</v>
      </c>
    </row>
    <row r="2" spans="1:10" x14ac:dyDescent="0.25">
      <c r="A2" s="75" t="s">
        <v>34</v>
      </c>
      <c r="B2" s="76">
        <v>0.15</v>
      </c>
      <c r="C2" s="167">
        <v>2000000</v>
      </c>
      <c r="G2" s="83" t="s">
        <v>127</v>
      </c>
      <c r="H2" s="83">
        <v>56000</v>
      </c>
      <c r="I2" t="s">
        <v>383</v>
      </c>
      <c r="J2">
        <f>DAYS360(H1,A13,TRUE)</f>
        <v>4</v>
      </c>
    </row>
    <row r="3" spans="1:10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0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f>C2</f>
        <v>2000000</v>
      </c>
      <c r="G4" s="47">
        <f>F4-D4</f>
        <v>2000000</v>
      </c>
    </row>
    <row r="5" spans="1:10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68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10" x14ac:dyDescent="0.25">
      <c r="A6" s="36">
        <v>44060</v>
      </c>
      <c r="B6" s="46">
        <f t="shared" ref="B6:B52" si="1">DAYS360(A5,A6,TRUE)</f>
        <v>7</v>
      </c>
      <c r="C6" s="47">
        <f t="shared" ref="C6:C52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69" si="5">F6-D6</f>
        <v>1922213.3900000001</v>
      </c>
    </row>
    <row r="7" spans="1:10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10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10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10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10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10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10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10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10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10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174">
        <v>44109</v>
      </c>
      <c r="B53" s="175">
        <f>B13</f>
        <v>7</v>
      </c>
      <c r="C53" s="176">
        <f>$F$1</f>
        <v>43187</v>
      </c>
      <c r="D53" s="177">
        <f t="shared" si="0"/>
        <v>38364.809112499999</v>
      </c>
      <c r="E53" s="176">
        <f>(G12*B2*J1/360)+(F53*B2*J2/360)</f>
        <v>4822.1908875000008</v>
      </c>
      <c r="F53" s="176">
        <f>G12-H2</f>
        <v>1629322.59</v>
      </c>
      <c r="G53" s="176">
        <f t="shared" si="5"/>
        <v>1590957.7808875002</v>
      </c>
    </row>
    <row r="54" spans="1:7" x14ac:dyDescent="0.25">
      <c r="A54" s="36">
        <v>44116</v>
      </c>
      <c r="B54" s="168">
        <f>DAYS360(A53,A54,TRUE)</f>
        <v>7</v>
      </c>
      <c r="C54" s="172">
        <f>$F$1</f>
        <v>43187</v>
      </c>
      <c r="D54" s="173">
        <f t="shared" si="0"/>
        <v>38546.71</v>
      </c>
      <c r="E54" s="172">
        <f>ROUND(F54*$B$2*B54/360,2)</f>
        <v>4640.29</v>
      </c>
      <c r="F54" s="172">
        <f t="shared" ref="F54:F92" si="6">G53</f>
        <v>1590957.7808875002</v>
      </c>
      <c r="G54" s="172">
        <f t="shared" si="5"/>
        <v>1552411.0708875002</v>
      </c>
    </row>
    <row r="55" spans="1:7" x14ac:dyDescent="0.25">
      <c r="A55" s="36">
        <v>44123</v>
      </c>
      <c r="B55" s="168">
        <f t="shared" ref="B55:B92" si="7">DAYS360(A54,A55,TRUE)</f>
        <v>7</v>
      </c>
      <c r="C55" s="172">
        <f t="shared" ref="C55:C92" si="8">$F$1</f>
        <v>43187</v>
      </c>
      <c r="D55" s="173">
        <f t="shared" si="0"/>
        <v>38659.129999999997</v>
      </c>
      <c r="E55" s="172">
        <f t="shared" ref="E55:E91" si="9">ROUND(F55*$B$2*B55/360,2)</f>
        <v>4527.87</v>
      </c>
      <c r="F55" s="172">
        <f t="shared" si="6"/>
        <v>1552411.0708875002</v>
      </c>
      <c r="G55" s="172">
        <f t="shared" si="5"/>
        <v>1513751.9408875003</v>
      </c>
    </row>
    <row r="56" spans="1:7" x14ac:dyDescent="0.25">
      <c r="A56" s="36">
        <v>44130</v>
      </c>
      <c r="B56" s="168">
        <f t="shared" si="7"/>
        <v>7</v>
      </c>
      <c r="C56" s="172">
        <f t="shared" si="8"/>
        <v>43187</v>
      </c>
      <c r="D56" s="173">
        <f t="shared" si="0"/>
        <v>38771.89</v>
      </c>
      <c r="E56" s="172">
        <f t="shared" si="9"/>
        <v>4415.1099999999997</v>
      </c>
      <c r="F56" s="172">
        <f t="shared" si="6"/>
        <v>1513751.9408875003</v>
      </c>
      <c r="G56" s="172">
        <f t="shared" si="5"/>
        <v>1474980.0508875004</v>
      </c>
    </row>
    <row r="57" spans="1:7" x14ac:dyDescent="0.25">
      <c r="A57" s="36">
        <v>44137</v>
      </c>
      <c r="B57" s="168">
        <f t="shared" si="7"/>
        <v>6</v>
      </c>
      <c r="C57" s="172">
        <f t="shared" si="8"/>
        <v>43187</v>
      </c>
      <c r="D57" s="173">
        <f t="shared" si="0"/>
        <v>39499.550000000003</v>
      </c>
      <c r="E57" s="172">
        <f t="shared" si="9"/>
        <v>3687.45</v>
      </c>
      <c r="F57" s="172">
        <f t="shared" si="6"/>
        <v>1474980.0508875004</v>
      </c>
      <c r="G57" s="172">
        <f t="shared" si="5"/>
        <v>1435480.5008875004</v>
      </c>
    </row>
    <row r="58" spans="1:7" x14ac:dyDescent="0.25">
      <c r="A58" s="36">
        <v>44144</v>
      </c>
      <c r="B58" s="168">
        <f t="shared" si="7"/>
        <v>7</v>
      </c>
      <c r="C58" s="172">
        <f t="shared" si="8"/>
        <v>43187</v>
      </c>
      <c r="D58" s="173">
        <f t="shared" si="0"/>
        <v>39000.18</v>
      </c>
      <c r="E58" s="172">
        <f t="shared" si="9"/>
        <v>4186.82</v>
      </c>
      <c r="F58" s="172">
        <f t="shared" si="6"/>
        <v>1435480.5008875004</v>
      </c>
      <c r="G58" s="172">
        <f t="shared" si="5"/>
        <v>1396480.3208875004</v>
      </c>
    </row>
    <row r="59" spans="1:7" x14ac:dyDescent="0.25">
      <c r="A59" s="36">
        <v>44151</v>
      </c>
      <c r="B59" s="168">
        <f t="shared" si="7"/>
        <v>7</v>
      </c>
      <c r="C59" s="172">
        <f t="shared" si="8"/>
        <v>43187</v>
      </c>
      <c r="D59" s="173">
        <f t="shared" si="0"/>
        <v>39113.93</v>
      </c>
      <c r="E59" s="172">
        <f t="shared" si="9"/>
        <v>4073.07</v>
      </c>
      <c r="F59" s="172">
        <f t="shared" si="6"/>
        <v>1396480.3208875004</v>
      </c>
      <c r="G59" s="172">
        <f t="shared" si="5"/>
        <v>1357366.3908875005</v>
      </c>
    </row>
    <row r="60" spans="1:7" x14ac:dyDescent="0.25">
      <c r="A60" s="36">
        <v>44158</v>
      </c>
      <c r="B60" s="168">
        <f t="shared" si="7"/>
        <v>7</v>
      </c>
      <c r="C60" s="172">
        <f t="shared" si="8"/>
        <v>43187</v>
      </c>
      <c r="D60" s="173">
        <f t="shared" si="0"/>
        <v>39228.01</v>
      </c>
      <c r="E60" s="172">
        <f t="shared" si="9"/>
        <v>3958.99</v>
      </c>
      <c r="F60" s="172">
        <f t="shared" si="6"/>
        <v>1357366.3908875005</v>
      </c>
      <c r="G60" s="172">
        <f t="shared" si="5"/>
        <v>1318138.3808875005</v>
      </c>
    </row>
    <row r="61" spans="1:7" x14ac:dyDescent="0.25">
      <c r="A61" s="36">
        <v>44165</v>
      </c>
      <c r="B61" s="168">
        <f t="shared" si="7"/>
        <v>7</v>
      </c>
      <c r="C61" s="172">
        <f t="shared" si="8"/>
        <v>43187</v>
      </c>
      <c r="D61" s="173">
        <f t="shared" si="0"/>
        <v>39342.43</v>
      </c>
      <c r="E61" s="172">
        <f t="shared" si="9"/>
        <v>3844.57</v>
      </c>
      <c r="F61" s="172">
        <f t="shared" si="6"/>
        <v>1318138.3808875005</v>
      </c>
      <c r="G61" s="172">
        <f t="shared" si="5"/>
        <v>1278795.9508875005</v>
      </c>
    </row>
    <row r="62" spans="1:7" x14ac:dyDescent="0.25">
      <c r="A62" s="36">
        <v>44172</v>
      </c>
      <c r="B62" s="168">
        <f t="shared" si="7"/>
        <v>7</v>
      </c>
      <c r="C62" s="172">
        <f t="shared" si="8"/>
        <v>43187</v>
      </c>
      <c r="D62" s="173">
        <f t="shared" si="0"/>
        <v>39457.18</v>
      </c>
      <c r="E62" s="172">
        <f t="shared" si="9"/>
        <v>3729.82</v>
      </c>
      <c r="F62" s="172">
        <f t="shared" si="6"/>
        <v>1278795.9508875005</v>
      </c>
      <c r="G62" s="172">
        <f t="shared" si="5"/>
        <v>1239338.7708875006</v>
      </c>
    </row>
    <row r="63" spans="1:7" x14ac:dyDescent="0.25">
      <c r="A63" s="36">
        <v>44179</v>
      </c>
      <c r="B63" s="168">
        <f t="shared" si="7"/>
        <v>7</v>
      </c>
      <c r="C63" s="172">
        <f t="shared" si="8"/>
        <v>43187</v>
      </c>
      <c r="D63" s="173">
        <f t="shared" si="0"/>
        <v>39572.26</v>
      </c>
      <c r="E63" s="172">
        <f t="shared" si="9"/>
        <v>3614.74</v>
      </c>
      <c r="F63" s="172">
        <f t="shared" si="6"/>
        <v>1239338.7708875006</v>
      </c>
      <c r="G63" s="172">
        <f t="shared" si="5"/>
        <v>1199766.5108875006</v>
      </c>
    </row>
    <row r="64" spans="1:7" x14ac:dyDescent="0.25">
      <c r="A64" s="36">
        <v>44186</v>
      </c>
      <c r="B64" s="168">
        <f t="shared" si="7"/>
        <v>7</v>
      </c>
      <c r="C64" s="172">
        <f t="shared" si="8"/>
        <v>43187</v>
      </c>
      <c r="D64" s="173">
        <f t="shared" si="0"/>
        <v>39687.68</v>
      </c>
      <c r="E64" s="172">
        <f t="shared" si="9"/>
        <v>3499.32</v>
      </c>
      <c r="F64" s="172">
        <f t="shared" si="6"/>
        <v>1199766.5108875006</v>
      </c>
      <c r="G64" s="172">
        <f t="shared" si="5"/>
        <v>1160078.8308875007</v>
      </c>
    </row>
    <row r="65" spans="1:7" x14ac:dyDescent="0.25">
      <c r="A65" s="36">
        <v>44193</v>
      </c>
      <c r="B65" s="168">
        <f t="shared" si="7"/>
        <v>7</v>
      </c>
      <c r="C65" s="172">
        <f t="shared" si="8"/>
        <v>43187</v>
      </c>
      <c r="D65" s="173">
        <f t="shared" si="0"/>
        <v>39803.440000000002</v>
      </c>
      <c r="E65" s="172">
        <f t="shared" si="9"/>
        <v>3383.56</v>
      </c>
      <c r="F65" s="172">
        <f t="shared" si="6"/>
        <v>1160078.8308875007</v>
      </c>
      <c r="G65" s="172">
        <f t="shared" si="5"/>
        <v>1120275.3908875007</v>
      </c>
    </row>
    <row r="66" spans="1:7" x14ac:dyDescent="0.25">
      <c r="A66" s="36">
        <v>44200</v>
      </c>
      <c r="B66" s="168">
        <f t="shared" si="7"/>
        <v>6</v>
      </c>
      <c r="C66" s="172">
        <f t="shared" si="8"/>
        <v>43187</v>
      </c>
      <c r="D66" s="173">
        <f t="shared" si="0"/>
        <v>40386.31</v>
      </c>
      <c r="E66" s="172">
        <f t="shared" si="9"/>
        <v>2800.69</v>
      </c>
      <c r="F66" s="172">
        <f t="shared" si="6"/>
        <v>1120275.3908875007</v>
      </c>
      <c r="G66" s="172">
        <f t="shared" si="5"/>
        <v>1079889.0808875007</v>
      </c>
    </row>
    <row r="67" spans="1:7" x14ac:dyDescent="0.25">
      <c r="A67" s="36">
        <v>44207</v>
      </c>
      <c r="B67" s="168">
        <f t="shared" si="7"/>
        <v>7</v>
      </c>
      <c r="C67" s="172">
        <f t="shared" si="8"/>
        <v>43187</v>
      </c>
      <c r="D67" s="173">
        <f t="shared" si="0"/>
        <v>40037.32</v>
      </c>
      <c r="E67" s="172">
        <f t="shared" si="9"/>
        <v>3149.68</v>
      </c>
      <c r="F67" s="172">
        <f t="shared" si="6"/>
        <v>1079889.0808875007</v>
      </c>
      <c r="G67" s="172">
        <f t="shared" si="5"/>
        <v>1039851.7608875007</v>
      </c>
    </row>
    <row r="68" spans="1:7" x14ac:dyDescent="0.25">
      <c r="A68" s="36">
        <v>44214</v>
      </c>
      <c r="B68" s="168">
        <f t="shared" si="7"/>
        <v>7</v>
      </c>
      <c r="C68" s="172">
        <f t="shared" si="8"/>
        <v>43187</v>
      </c>
      <c r="D68" s="173">
        <f t="shared" si="0"/>
        <v>40154.1</v>
      </c>
      <c r="E68" s="172">
        <f t="shared" si="9"/>
        <v>3032.9</v>
      </c>
      <c r="F68" s="172">
        <f t="shared" si="6"/>
        <v>1039851.7608875007</v>
      </c>
      <c r="G68" s="172">
        <f t="shared" si="5"/>
        <v>999697.66088750074</v>
      </c>
    </row>
    <row r="69" spans="1:7" x14ac:dyDescent="0.25">
      <c r="A69" s="36">
        <v>44221</v>
      </c>
      <c r="B69" s="168">
        <f t="shared" si="7"/>
        <v>7</v>
      </c>
      <c r="C69" s="172">
        <f t="shared" si="8"/>
        <v>43187</v>
      </c>
      <c r="D69" s="173">
        <f t="shared" ref="D69:D92" si="10">C69-E69</f>
        <v>40271.22</v>
      </c>
      <c r="E69" s="172">
        <f t="shared" si="9"/>
        <v>2915.78</v>
      </c>
      <c r="F69" s="172">
        <f t="shared" si="6"/>
        <v>999697.66088750074</v>
      </c>
      <c r="G69" s="172">
        <f t="shared" si="5"/>
        <v>959426.44088750076</v>
      </c>
    </row>
    <row r="70" spans="1:7" x14ac:dyDescent="0.25">
      <c r="A70" s="36">
        <v>44228</v>
      </c>
      <c r="B70" s="168">
        <f t="shared" si="7"/>
        <v>6</v>
      </c>
      <c r="C70" s="172">
        <f t="shared" si="8"/>
        <v>43187</v>
      </c>
      <c r="D70" s="173">
        <f t="shared" si="10"/>
        <v>40788.43</v>
      </c>
      <c r="E70" s="172">
        <f t="shared" si="9"/>
        <v>2398.5700000000002</v>
      </c>
      <c r="F70" s="172">
        <f t="shared" si="6"/>
        <v>959426.44088750076</v>
      </c>
      <c r="G70" s="172">
        <f t="shared" ref="G70:G92" si="11">F70-D70</f>
        <v>918638.01088750071</v>
      </c>
    </row>
    <row r="71" spans="1:7" x14ac:dyDescent="0.25">
      <c r="A71" s="36">
        <v>44235</v>
      </c>
      <c r="B71" s="168">
        <f t="shared" si="7"/>
        <v>7</v>
      </c>
      <c r="C71" s="172">
        <f t="shared" si="8"/>
        <v>43187</v>
      </c>
      <c r="D71" s="173">
        <f t="shared" si="10"/>
        <v>40507.64</v>
      </c>
      <c r="E71" s="172">
        <f t="shared" si="9"/>
        <v>2679.36</v>
      </c>
      <c r="F71" s="172">
        <f t="shared" si="6"/>
        <v>918638.01088750071</v>
      </c>
      <c r="G71" s="172">
        <f t="shared" si="11"/>
        <v>878130.3708875007</v>
      </c>
    </row>
    <row r="72" spans="1:7" x14ac:dyDescent="0.25">
      <c r="A72" s="36">
        <v>44242</v>
      </c>
      <c r="B72" s="168">
        <f t="shared" si="7"/>
        <v>7</v>
      </c>
      <c r="C72" s="172">
        <f t="shared" si="8"/>
        <v>43187</v>
      </c>
      <c r="D72" s="173">
        <f t="shared" si="10"/>
        <v>40625.79</v>
      </c>
      <c r="E72" s="172">
        <f t="shared" si="9"/>
        <v>2561.21</v>
      </c>
      <c r="F72" s="172">
        <f t="shared" si="6"/>
        <v>878130.3708875007</v>
      </c>
      <c r="G72" s="172">
        <f t="shared" si="11"/>
        <v>837504.58088750066</v>
      </c>
    </row>
    <row r="73" spans="1:7" x14ac:dyDescent="0.25">
      <c r="A73" s="36">
        <v>44249</v>
      </c>
      <c r="B73" s="168">
        <f t="shared" si="7"/>
        <v>7</v>
      </c>
      <c r="C73" s="172">
        <f t="shared" si="8"/>
        <v>43187</v>
      </c>
      <c r="D73" s="173">
        <f t="shared" si="10"/>
        <v>40744.28</v>
      </c>
      <c r="E73" s="172">
        <f t="shared" si="9"/>
        <v>2442.7199999999998</v>
      </c>
      <c r="F73" s="172">
        <f t="shared" si="6"/>
        <v>837504.58088750066</v>
      </c>
      <c r="G73" s="172">
        <f t="shared" si="11"/>
        <v>796760.30088750063</v>
      </c>
    </row>
    <row r="74" spans="1:7" x14ac:dyDescent="0.25">
      <c r="A74" s="36">
        <v>44256</v>
      </c>
      <c r="B74" s="168">
        <f t="shared" si="7"/>
        <v>9</v>
      </c>
      <c r="C74" s="172">
        <f t="shared" si="8"/>
        <v>43187</v>
      </c>
      <c r="D74" s="173">
        <f t="shared" si="10"/>
        <v>40199.15</v>
      </c>
      <c r="E74" s="172">
        <f t="shared" si="9"/>
        <v>2987.85</v>
      </c>
      <c r="F74" s="172">
        <f t="shared" si="6"/>
        <v>796760.30088750063</v>
      </c>
      <c r="G74" s="172">
        <f t="shared" si="11"/>
        <v>756561.15088750061</v>
      </c>
    </row>
    <row r="75" spans="1:7" x14ac:dyDescent="0.25">
      <c r="A75" s="36">
        <v>44263</v>
      </c>
      <c r="B75" s="168">
        <f t="shared" si="7"/>
        <v>7</v>
      </c>
      <c r="C75" s="172">
        <f t="shared" si="8"/>
        <v>43187</v>
      </c>
      <c r="D75" s="173">
        <f t="shared" si="10"/>
        <v>40980.36</v>
      </c>
      <c r="E75" s="172">
        <f t="shared" si="9"/>
        <v>2206.64</v>
      </c>
      <c r="F75" s="172">
        <f t="shared" si="6"/>
        <v>756561.15088750061</v>
      </c>
      <c r="G75" s="172">
        <f t="shared" si="11"/>
        <v>715580.79088750063</v>
      </c>
    </row>
    <row r="76" spans="1:7" x14ac:dyDescent="0.25">
      <c r="A76" s="36">
        <v>44270</v>
      </c>
      <c r="B76" s="168">
        <f t="shared" si="7"/>
        <v>7</v>
      </c>
      <c r="C76" s="172">
        <f t="shared" si="8"/>
        <v>43187</v>
      </c>
      <c r="D76" s="173">
        <f t="shared" si="10"/>
        <v>41099.89</v>
      </c>
      <c r="E76" s="172">
        <f t="shared" si="9"/>
        <v>2087.11</v>
      </c>
      <c r="F76" s="172">
        <f t="shared" si="6"/>
        <v>715580.79088750063</v>
      </c>
      <c r="G76" s="172">
        <f t="shared" si="11"/>
        <v>674480.90088750061</v>
      </c>
    </row>
    <row r="77" spans="1:7" x14ac:dyDescent="0.25">
      <c r="A77" s="36">
        <v>44277</v>
      </c>
      <c r="B77" s="168">
        <f t="shared" si="7"/>
        <v>7</v>
      </c>
      <c r="C77" s="172">
        <f t="shared" si="8"/>
        <v>43187</v>
      </c>
      <c r="D77" s="173">
        <f t="shared" si="10"/>
        <v>41219.760000000002</v>
      </c>
      <c r="E77" s="172">
        <f t="shared" si="9"/>
        <v>1967.24</v>
      </c>
      <c r="F77" s="172">
        <f t="shared" si="6"/>
        <v>674480.90088750061</v>
      </c>
      <c r="G77" s="172">
        <f t="shared" si="11"/>
        <v>633261.1408875006</v>
      </c>
    </row>
    <row r="78" spans="1:7" x14ac:dyDescent="0.25">
      <c r="A78" s="36">
        <v>44284</v>
      </c>
      <c r="B78" s="168">
        <f t="shared" si="7"/>
        <v>7</v>
      </c>
      <c r="C78" s="172">
        <f t="shared" si="8"/>
        <v>43187</v>
      </c>
      <c r="D78" s="173">
        <f t="shared" si="10"/>
        <v>41339.99</v>
      </c>
      <c r="E78" s="172">
        <f t="shared" si="9"/>
        <v>1847.01</v>
      </c>
      <c r="F78" s="172">
        <f t="shared" si="6"/>
        <v>633261.1408875006</v>
      </c>
      <c r="G78" s="172">
        <f t="shared" si="11"/>
        <v>591921.15088750061</v>
      </c>
    </row>
    <row r="79" spans="1:7" x14ac:dyDescent="0.25">
      <c r="A79" s="36">
        <v>44291</v>
      </c>
      <c r="B79" s="168">
        <f t="shared" si="7"/>
        <v>6</v>
      </c>
      <c r="C79" s="172">
        <f t="shared" si="8"/>
        <v>43187</v>
      </c>
      <c r="D79" s="173">
        <f t="shared" si="10"/>
        <v>41707.199999999997</v>
      </c>
      <c r="E79" s="172">
        <f t="shared" si="9"/>
        <v>1479.8</v>
      </c>
      <c r="F79" s="172">
        <f t="shared" si="6"/>
        <v>591921.15088750061</v>
      </c>
      <c r="G79" s="172">
        <f t="shared" si="11"/>
        <v>550213.95088750066</v>
      </c>
    </row>
    <row r="80" spans="1:7" x14ac:dyDescent="0.25">
      <c r="A80" s="36">
        <v>44298</v>
      </c>
      <c r="B80" s="168">
        <f t="shared" si="7"/>
        <v>7</v>
      </c>
      <c r="C80" s="172">
        <f t="shared" si="8"/>
        <v>43187</v>
      </c>
      <c r="D80" s="173">
        <f t="shared" si="10"/>
        <v>41582.21</v>
      </c>
      <c r="E80" s="172">
        <f t="shared" si="9"/>
        <v>1604.79</v>
      </c>
      <c r="F80" s="172">
        <f t="shared" si="6"/>
        <v>550213.95088750066</v>
      </c>
      <c r="G80" s="172">
        <f t="shared" si="11"/>
        <v>508631.74088750064</v>
      </c>
    </row>
    <row r="81" spans="1:7" x14ac:dyDescent="0.25">
      <c r="A81" s="36">
        <v>44305</v>
      </c>
      <c r="B81" s="168">
        <f t="shared" si="7"/>
        <v>7</v>
      </c>
      <c r="C81" s="172">
        <f t="shared" si="8"/>
        <v>43187</v>
      </c>
      <c r="D81" s="173">
        <f t="shared" si="10"/>
        <v>41703.49</v>
      </c>
      <c r="E81" s="172">
        <f t="shared" si="9"/>
        <v>1483.51</v>
      </c>
      <c r="F81" s="172">
        <f t="shared" si="6"/>
        <v>508631.74088750064</v>
      </c>
      <c r="G81" s="172">
        <f t="shared" si="11"/>
        <v>466928.25088750065</v>
      </c>
    </row>
    <row r="82" spans="1:7" x14ac:dyDescent="0.25">
      <c r="A82" s="36">
        <v>44312</v>
      </c>
      <c r="B82" s="168">
        <f t="shared" si="7"/>
        <v>7</v>
      </c>
      <c r="C82" s="172">
        <f t="shared" si="8"/>
        <v>43187</v>
      </c>
      <c r="D82" s="173">
        <f t="shared" si="10"/>
        <v>41825.129999999997</v>
      </c>
      <c r="E82" s="172">
        <f t="shared" si="9"/>
        <v>1361.87</v>
      </c>
      <c r="F82" s="172">
        <f t="shared" si="6"/>
        <v>466928.25088750065</v>
      </c>
      <c r="G82" s="172">
        <f t="shared" si="11"/>
        <v>425103.12088750064</v>
      </c>
    </row>
    <row r="83" spans="1:7" x14ac:dyDescent="0.25">
      <c r="A83" s="36">
        <v>44319</v>
      </c>
      <c r="B83" s="168">
        <f t="shared" si="7"/>
        <v>7</v>
      </c>
      <c r="C83" s="172">
        <f t="shared" si="8"/>
        <v>43187</v>
      </c>
      <c r="D83" s="173">
        <f t="shared" si="10"/>
        <v>41947.12</v>
      </c>
      <c r="E83" s="172">
        <f t="shared" si="9"/>
        <v>1239.8800000000001</v>
      </c>
      <c r="F83" s="172">
        <f t="shared" si="6"/>
        <v>425103.12088750064</v>
      </c>
      <c r="G83" s="172">
        <f t="shared" si="11"/>
        <v>383156.00088750065</v>
      </c>
    </row>
    <row r="84" spans="1:7" x14ac:dyDescent="0.25">
      <c r="A84" s="36">
        <v>44326</v>
      </c>
      <c r="B84" s="168">
        <f t="shared" si="7"/>
        <v>7</v>
      </c>
      <c r="C84" s="172">
        <f t="shared" si="8"/>
        <v>43187</v>
      </c>
      <c r="D84" s="173">
        <f t="shared" si="10"/>
        <v>42069.46</v>
      </c>
      <c r="E84" s="172">
        <f t="shared" si="9"/>
        <v>1117.54</v>
      </c>
      <c r="F84" s="172">
        <f t="shared" si="6"/>
        <v>383156.00088750065</v>
      </c>
      <c r="G84" s="172">
        <f t="shared" si="11"/>
        <v>341086.54088750063</v>
      </c>
    </row>
    <row r="85" spans="1:7" x14ac:dyDescent="0.25">
      <c r="A85" s="36">
        <v>44333</v>
      </c>
      <c r="B85" s="168">
        <f t="shared" si="7"/>
        <v>7</v>
      </c>
      <c r="C85" s="172">
        <f t="shared" si="8"/>
        <v>43187</v>
      </c>
      <c r="D85" s="173">
        <f t="shared" si="10"/>
        <v>42192.160000000003</v>
      </c>
      <c r="E85" s="172">
        <f t="shared" si="9"/>
        <v>994.84</v>
      </c>
      <c r="F85" s="172">
        <f t="shared" si="6"/>
        <v>341086.54088750063</v>
      </c>
      <c r="G85" s="172">
        <f t="shared" si="11"/>
        <v>298894.38088750059</v>
      </c>
    </row>
    <row r="86" spans="1:7" x14ac:dyDescent="0.25">
      <c r="A86" s="36">
        <v>44340</v>
      </c>
      <c r="B86" s="168">
        <f t="shared" si="7"/>
        <v>7</v>
      </c>
      <c r="C86" s="172">
        <f t="shared" si="8"/>
        <v>43187</v>
      </c>
      <c r="D86" s="173">
        <f t="shared" si="10"/>
        <v>42315.22</v>
      </c>
      <c r="E86" s="172">
        <f t="shared" si="9"/>
        <v>871.78</v>
      </c>
      <c r="F86" s="172">
        <f t="shared" si="6"/>
        <v>298894.38088750059</v>
      </c>
      <c r="G86" s="172">
        <f t="shared" si="11"/>
        <v>256579.16088750059</v>
      </c>
    </row>
    <row r="87" spans="1:7" x14ac:dyDescent="0.25">
      <c r="A87" s="36">
        <v>44347</v>
      </c>
      <c r="B87" s="168">
        <f t="shared" si="7"/>
        <v>6</v>
      </c>
      <c r="C87" s="172">
        <f t="shared" si="8"/>
        <v>43187</v>
      </c>
      <c r="D87" s="173">
        <f t="shared" si="10"/>
        <v>42545.55</v>
      </c>
      <c r="E87" s="172">
        <f t="shared" si="9"/>
        <v>641.45000000000005</v>
      </c>
      <c r="F87" s="172">
        <f t="shared" si="6"/>
        <v>256579.16088750059</v>
      </c>
      <c r="G87" s="172">
        <f t="shared" si="11"/>
        <v>214033.61088750057</v>
      </c>
    </row>
    <row r="88" spans="1:7" x14ac:dyDescent="0.25">
      <c r="A88" s="36">
        <v>44354</v>
      </c>
      <c r="B88" s="168">
        <f t="shared" si="7"/>
        <v>7</v>
      </c>
      <c r="C88" s="172">
        <f t="shared" si="8"/>
        <v>43187</v>
      </c>
      <c r="D88" s="173">
        <f t="shared" si="10"/>
        <v>42562.74</v>
      </c>
      <c r="E88" s="172">
        <f t="shared" si="9"/>
        <v>624.26</v>
      </c>
      <c r="F88" s="172">
        <f t="shared" si="6"/>
        <v>214033.61088750057</v>
      </c>
      <c r="G88" s="172">
        <f t="shared" si="11"/>
        <v>171470.87088750058</v>
      </c>
    </row>
    <row r="89" spans="1:7" x14ac:dyDescent="0.25">
      <c r="A89" s="36">
        <v>44361</v>
      </c>
      <c r="B89" s="168">
        <f t="shared" si="7"/>
        <v>7</v>
      </c>
      <c r="C89" s="172">
        <f t="shared" si="8"/>
        <v>43187</v>
      </c>
      <c r="D89" s="173">
        <f t="shared" si="10"/>
        <v>42686.879999999997</v>
      </c>
      <c r="E89" s="172">
        <f t="shared" si="9"/>
        <v>500.12</v>
      </c>
      <c r="F89" s="172">
        <f t="shared" si="6"/>
        <v>171470.87088750058</v>
      </c>
      <c r="G89" s="172">
        <f t="shared" si="11"/>
        <v>128783.99088750058</v>
      </c>
    </row>
    <row r="90" spans="1:7" x14ac:dyDescent="0.25">
      <c r="A90" s="36">
        <v>44368</v>
      </c>
      <c r="B90" s="168">
        <f t="shared" si="7"/>
        <v>7</v>
      </c>
      <c r="C90" s="172">
        <f t="shared" si="8"/>
        <v>43187</v>
      </c>
      <c r="D90" s="173">
        <f t="shared" si="10"/>
        <v>42811.38</v>
      </c>
      <c r="E90" s="172">
        <f t="shared" si="9"/>
        <v>375.62</v>
      </c>
      <c r="F90" s="172">
        <f t="shared" si="6"/>
        <v>128783.99088750058</v>
      </c>
      <c r="G90" s="172">
        <f t="shared" si="11"/>
        <v>85972.610887500574</v>
      </c>
    </row>
    <row r="91" spans="1:7" x14ac:dyDescent="0.25">
      <c r="A91" s="36">
        <v>44375</v>
      </c>
      <c r="B91" s="168">
        <f t="shared" si="7"/>
        <v>7</v>
      </c>
      <c r="C91" s="172">
        <f t="shared" si="8"/>
        <v>43187</v>
      </c>
      <c r="D91" s="173">
        <f t="shared" si="10"/>
        <v>42936.25</v>
      </c>
      <c r="E91" s="172">
        <f t="shared" si="9"/>
        <v>250.75</v>
      </c>
      <c r="F91" s="172">
        <f t="shared" si="6"/>
        <v>85972.610887500574</v>
      </c>
      <c r="G91" s="172">
        <f t="shared" si="11"/>
        <v>43036.360887500574</v>
      </c>
    </row>
    <row r="92" spans="1:7" x14ac:dyDescent="0.25">
      <c r="A92" s="36">
        <v>44382</v>
      </c>
      <c r="B92" s="168">
        <f t="shared" si="7"/>
        <v>7</v>
      </c>
      <c r="C92" s="172">
        <f t="shared" si="8"/>
        <v>43187</v>
      </c>
      <c r="D92" s="173">
        <f t="shared" si="10"/>
        <v>43036.360887500574</v>
      </c>
      <c r="E92" s="172">
        <v>150.6391124994293</v>
      </c>
      <c r="F92" s="172">
        <f t="shared" si="6"/>
        <v>43036.360887500574</v>
      </c>
      <c r="G92" s="172">
        <f t="shared" si="11"/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46E41-2CAE-4982-9936-6DFE18B359DA}">
  <dimension ref="A1:H92"/>
  <sheetViews>
    <sheetView zoomScale="86" zoomScaleNormal="80" workbookViewId="0">
      <pane ySplit="3" topLeftCell="A42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ROUNDUP(45450.2313765953,0)</f>
        <v>45451</v>
      </c>
      <c r="G1" s="83" t="s">
        <v>52</v>
      </c>
      <c r="H1" s="81">
        <v>44130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0.2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A5-A4</f>
        <v>7</v>
      </c>
      <c r="C5" s="47">
        <f>$D$1</f>
        <v>44670</v>
      </c>
      <c r="D5" s="48">
        <f t="shared" ref="D5:D68" si="0">C5-E5</f>
        <v>38916.58</v>
      </c>
      <c r="E5" s="68">
        <f>ROUND(F5*$B$2*B5/365,2)</f>
        <v>5753.42</v>
      </c>
      <c r="F5" s="47">
        <f>G4</f>
        <v>2000000</v>
      </c>
      <c r="G5" s="47">
        <f>F5-D5</f>
        <v>1961083.42</v>
      </c>
    </row>
    <row r="6" spans="1:8" x14ac:dyDescent="0.25">
      <c r="A6" s="36">
        <v>44060</v>
      </c>
      <c r="B6" s="46">
        <f t="shared" ref="B6:B46" si="1">A6-A5</f>
        <v>7</v>
      </c>
      <c r="C6" s="47">
        <f t="shared" ref="C6:C52" si="2">$D$1</f>
        <v>44670</v>
      </c>
      <c r="D6" s="48">
        <f t="shared" si="0"/>
        <v>39028.53</v>
      </c>
      <c r="E6" s="68">
        <f>ROUND(F6*$B$2*B6/365,2)</f>
        <v>5641.47</v>
      </c>
      <c r="F6" s="47">
        <f t="shared" ref="F6:F52" si="3">G5</f>
        <v>1961083.42</v>
      </c>
      <c r="G6" s="47">
        <f t="shared" ref="G6:G52" si="4">F6-D6</f>
        <v>1922054.89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39140.800000000003</v>
      </c>
      <c r="E7" s="68">
        <f t="shared" ref="E7:E51" si="5">ROUND(F7*$B$2*B7/365,2)</f>
        <v>5529.2</v>
      </c>
      <c r="F7" s="47">
        <f t="shared" si="3"/>
        <v>1922054.89</v>
      </c>
      <c r="G7" s="47">
        <f t="shared" si="4"/>
        <v>1882914.0899999999</v>
      </c>
    </row>
    <row r="8" spans="1:8" x14ac:dyDescent="0.25">
      <c r="A8" s="36">
        <v>44074</v>
      </c>
      <c r="B8" s="46">
        <f t="shared" si="1"/>
        <v>7</v>
      </c>
      <c r="C8" s="47">
        <f t="shared" si="2"/>
        <v>44670</v>
      </c>
      <c r="D8" s="48">
        <f t="shared" si="0"/>
        <v>39253.4</v>
      </c>
      <c r="E8" s="68">
        <f t="shared" si="5"/>
        <v>5416.6</v>
      </c>
      <c r="F8" s="47">
        <f t="shared" si="3"/>
        <v>1882914.0899999999</v>
      </c>
      <c r="G8" s="47">
        <f t="shared" si="4"/>
        <v>1843660.69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39366.32</v>
      </c>
      <c r="E9" s="68">
        <f t="shared" si="5"/>
        <v>5303.68</v>
      </c>
      <c r="F9" s="47">
        <f t="shared" si="3"/>
        <v>1843660.69</v>
      </c>
      <c r="G9" s="47">
        <f t="shared" si="4"/>
        <v>1804294.3699999999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39479.56</v>
      </c>
      <c r="E10" s="68">
        <f t="shared" si="5"/>
        <v>5190.4399999999996</v>
      </c>
      <c r="F10" s="47">
        <f t="shared" si="3"/>
        <v>1804294.3699999999</v>
      </c>
      <c r="G10" s="47">
        <f t="shared" si="4"/>
        <v>1764814.8099999998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39593.14</v>
      </c>
      <c r="E11" s="68">
        <f t="shared" si="5"/>
        <v>5076.8599999999997</v>
      </c>
      <c r="F11" s="47">
        <f t="shared" si="3"/>
        <v>1764814.8099999998</v>
      </c>
      <c r="G11" s="47">
        <f t="shared" si="4"/>
        <v>1725221.67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39707.03</v>
      </c>
      <c r="E12" s="68">
        <f t="shared" si="5"/>
        <v>4962.97</v>
      </c>
      <c r="F12" s="47">
        <f t="shared" si="3"/>
        <v>1725221.67</v>
      </c>
      <c r="G12" s="47">
        <f t="shared" si="4"/>
        <v>1685514.64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39821.26</v>
      </c>
      <c r="E13" s="68">
        <f t="shared" si="5"/>
        <v>4848.74</v>
      </c>
      <c r="F13" s="47">
        <f t="shared" si="3"/>
        <v>1685514.64</v>
      </c>
      <c r="G13" s="47">
        <f t="shared" si="4"/>
        <v>1645693.38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39935.81</v>
      </c>
      <c r="E14" s="68">
        <f t="shared" si="5"/>
        <v>4734.1899999999996</v>
      </c>
      <c r="F14" s="47">
        <f t="shared" si="3"/>
        <v>1645693.38</v>
      </c>
      <c r="G14" s="47">
        <f t="shared" si="4"/>
        <v>1605757.5699999998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40050.699999999997</v>
      </c>
      <c r="E15" s="68">
        <f t="shared" si="5"/>
        <v>4619.3</v>
      </c>
      <c r="F15" s="47">
        <f t="shared" si="3"/>
        <v>1605757.5699999998</v>
      </c>
      <c r="G15" s="47">
        <f t="shared" si="4"/>
        <v>1565706.8699999999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40165.910000000003</v>
      </c>
      <c r="E16" s="68">
        <f t="shared" si="5"/>
        <v>4504.09</v>
      </c>
      <c r="F16" s="47">
        <f t="shared" si="3"/>
        <v>1565706.8699999999</v>
      </c>
      <c r="G16" s="47">
        <f t="shared" si="4"/>
        <v>1525540.96</v>
      </c>
    </row>
    <row r="17" spans="1:7" x14ac:dyDescent="0.25">
      <c r="A17" s="36">
        <v>44137</v>
      </c>
      <c r="B17" s="46">
        <f t="shared" si="1"/>
        <v>7</v>
      </c>
      <c r="C17" s="47">
        <f t="shared" si="2"/>
        <v>44670</v>
      </c>
      <c r="D17" s="48">
        <f t="shared" si="0"/>
        <v>40281.46</v>
      </c>
      <c r="E17" s="68">
        <f t="shared" si="5"/>
        <v>4388.54</v>
      </c>
      <c r="F17" s="47">
        <f t="shared" si="3"/>
        <v>1525540.96</v>
      </c>
      <c r="G17" s="47">
        <f t="shared" si="4"/>
        <v>1485259.5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40397.339999999997</v>
      </c>
      <c r="E18" s="68">
        <f t="shared" si="5"/>
        <v>4272.66</v>
      </c>
      <c r="F18" s="47">
        <f t="shared" si="3"/>
        <v>1485259.5</v>
      </c>
      <c r="G18" s="47">
        <f t="shared" si="4"/>
        <v>1444862.16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40513.550000000003</v>
      </c>
      <c r="E19" s="68">
        <f t="shared" si="5"/>
        <v>4156.45</v>
      </c>
      <c r="F19" s="47">
        <f t="shared" si="3"/>
        <v>1444862.16</v>
      </c>
      <c r="G19" s="47">
        <f t="shared" si="4"/>
        <v>1404348.6099999999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40630.089999999997</v>
      </c>
      <c r="E20" s="68">
        <f t="shared" si="5"/>
        <v>4039.91</v>
      </c>
      <c r="F20" s="47">
        <f t="shared" si="3"/>
        <v>1404348.6099999999</v>
      </c>
      <c r="G20" s="47">
        <f t="shared" si="4"/>
        <v>1363718.5199999998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40746.97</v>
      </c>
      <c r="E21" s="68">
        <f t="shared" si="5"/>
        <v>3923.03</v>
      </c>
      <c r="F21" s="47">
        <f t="shared" si="3"/>
        <v>1363718.5199999998</v>
      </c>
      <c r="G21" s="47">
        <f t="shared" si="4"/>
        <v>1322971.5499999998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40864.19</v>
      </c>
      <c r="E22" s="68">
        <f t="shared" si="5"/>
        <v>3805.81</v>
      </c>
      <c r="F22" s="47">
        <f t="shared" si="3"/>
        <v>1322971.5499999998</v>
      </c>
      <c r="G22" s="47">
        <f t="shared" si="4"/>
        <v>1282107.3599999999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40981.75</v>
      </c>
      <c r="E23" s="68">
        <f t="shared" si="5"/>
        <v>3688.25</v>
      </c>
      <c r="F23" s="47">
        <f t="shared" si="3"/>
        <v>1282107.3599999999</v>
      </c>
      <c r="G23" s="47">
        <f t="shared" si="4"/>
        <v>1241125.6099999999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41099.64</v>
      </c>
      <c r="E24" s="68">
        <f t="shared" si="5"/>
        <v>3570.36</v>
      </c>
      <c r="F24" s="47">
        <f t="shared" si="3"/>
        <v>1241125.6099999999</v>
      </c>
      <c r="G24" s="47">
        <f t="shared" si="4"/>
        <v>1200025.97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41217.870000000003</v>
      </c>
      <c r="E25" s="68">
        <f t="shared" si="5"/>
        <v>3452.13</v>
      </c>
      <c r="F25" s="47">
        <f t="shared" si="3"/>
        <v>1200025.97</v>
      </c>
      <c r="G25" s="47">
        <f t="shared" si="4"/>
        <v>1158808.0999999999</v>
      </c>
    </row>
    <row r="26" spans="1:7" x14ac:dyDescent="0.25">
      <c r="A26" s="36">
        <v>44200</v>
      </c>
      <c r="B26" s="46">
        <f t="shared" si="1"/>
        <v>7</v>
      </c>
      <c r="C26" s="47">
        <f t="shared" si="2"/>
        <v>44670</v>
      </c>
      <c r="D26" s="48">
        <f t="shared" si="0"/>
        <v>41336.44</v>
      </c>
      <c r="E26" s="68">
        <f t="shared" si="5"/>
        <v>3333.56</v>
      </c>
      <c r="F26" s="47">
        <f t="shared" si="3"/>
        <v>1158808.0999999999</v>
      </c>
      <c r="G26" s="47">
        <f t="shared" si="4"/>
        <v>1117471.6599999999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41455.360000000001</v>
      </c>
      <c r="E27" s="68">
        <f t="shared" si="5"/>
        <v>3214.64</v>
      </c>
      <c r="F27" s="47">
        <f t="shared" si="3"/>
        <v>1117471.6599999999</v>
      </c>
      <c r="G27" s="47">
        <f t="shared" si="4"/>
        <v>1076016.2999999998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41574.61</v>
      </c>
      <c r="E28" s="68">
        <f t="shared" si="5"/>
        <v>3095.39</v>
      </c>
      <c r="F28" s="47">
        <f t="shared" si="3"/>
        <v>1076016.2999999998</v>
      </c>
      <c r="G28" s="47">
        <f t="shared" si="4"/>
        <v>1034441.6899999998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41694.21</v>
      </c>
      <c r="E29" s="68">
        <f t="shared" si="5"/>
        <v>2975.79</v>
      </c>
      <c r="F29" s="47">
        <f t="shared" si="3"/>
        <v>1034441.6899999998</v>
      </c>
      <c r="G29" s="47">
        <f t="shared" si="4"/>
        <v>992747.47999999986</v>
      </c>
    </row>
    <row r="30" spans="1:7" x14ac:dyDescent="0.25">
      <c r="A30" s="36">
        <v>44228</v>
      </c>
      <c r="B30" s="46">
        <f t="shared" si="1"/>
        <v>7</v>
      </c>
      <c r="C30" s="47">
        <f t="shared" si="2"/>
        <v>44670</v>
      </c>
      <c r="D30" s="48">
        <f t="shared" si="0"/>
        <v>41814.15</v>
      </c>
      <c r="E30" s="68">
        <f t="shared" si="5"/>
        <v>2855.85</v>
      </c>
      <c r="F30" s="47">
        <f t="shared" si="3"/>
        <v>992747.47999999986</v>
      </c>
      <c r="G30" s="47">
        <f t="shared" si="4"/>
        <v>950933.32999999984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41934.44</v>
      </c>
      <c r="E31" s="68">
        <f t="shared" si="5"/>
        <v>2735.56</v>
      </c>
      <c r="F31" s="47">
        <f t="shared" si="3"/>
        <v>950933.32999999984</v>
      </c>
      <c r="G31" s="47">
        <f t="shared" si="4"/>
        <v>908998.8899999999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42055.07</v>
      </c>
      <c r="E32" s="68">
        <f t="shared" si="5"/>
        <v>2614.9299999999998</v>
      </c>
      <c r="F32" s="47">
        <f t="shared" si="3"/>
        <v>908998.8899999999</v>
      </c>
      <c r="G32" s="47">
        <f t="shared" si="4"/>
        <v>866943.82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42176.05</v>
      </c>
      <c r="E33" s="68">
        <f t="shared" si="5"/>
        <v>2493.9499999999998</v>
      </c>
      <c r="F33" s="47">
        <f t="shared" si="3"/>
        <v>866943.82</v>
      </c>
      <c r="G33" s="47">
        <f t="shared" si="4"/>
        <v>824767.7699999999</v>
      </c>
    </row>
    <row r="34" spans="1:7" x14ac:dyDescent="0.25">
      <c r="A34" s="36">
        <v>44256</v>
      </c>
      <c r="B34" s="46">
        <f t="shared" si="1"/>
        <v>7</v>
      </c>
      <c r="C34" s="47">
        <f t="shared" si="2"/>
        <v>44670</v>
      </c>
      <c r="D34" s="48">
        <f t="shared" si="0"/>
        <v>42297.38</v>
      </c>
      <c r="E34" s="68">
        <f t="shared" si="5"/>
        <v>2372.62</v>
      </c>
      <c r="F34" s="47">
        <f t="shared" si="3"/>
        <v>824767.7699999999</v>
      </c>
      <c r="G34" s="47">
        <f t="shared" si="4"/>
        <v>782470.3899999999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42419.06</v>
      </c>
      <c r="E35" s="68">
        <f t="shared" si="5"/>
        <v>2250.94</v>
      </c>
      <c r="F35" s="47">
        <f t="shared" si="3"/>
        <v>782470.3899999999</v>
      </c>
      <c r="G35" s="47">
        <f t="shared" si="4"/>
        <v>740051.32999999984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42541.09</v>
      </c>
      <c r="E36" s="68">
        <f t="shared" si="5"/>
        <v>2128.91</v>
      </c>
      <c r="F36" s="47">
        <f t="shared" si="3"/>
        <v>740051.32999999984</v>
      </c>
      <c r="G36" s="47">
        <f t="shared" si="4"/>
        <v>697510.23999999987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42663.46</v>
      </c>
      <c r="E37" s="68">
        <f t="shared" si="5"/>
        <v>2006.54</v>
      </c>
      <c r="F37" s="47">
        <f t="shared" si="3"/>
        <v>697510.23999999987</v>
      </c>
      <c r="G37" s="47">
        <f t="shared" si="4"/>
        <v>654846.77999999991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42786.19</v>
      </c>
      <c r="E38" s="68">
        <f t="shared" si="5"/>
        <v>1883.81</v>
      </c>
      <c r="F38" s="47">
        <f t="shared" si="3"/>
        <v>654846.77999999991</v>
      </c>
      <c r="G38" s="47">
        <f t="shared" si="4"/>
        <v>612060.58999999985</v>
      </c>
    </row>
    <row r="39" spans="1:7" x14ac:dyDescent="0.25">
      <c r="A39" s="36">
        <v>44291</v>
      </c>
      <c r="B39" s="46">
        <f t="shared" si="1"/>
        <v>7</v>
      </c>
      <c r="C39" s="47">
        <f t="shared" si="2"/>
        <v>44670</v>
      </c>
      <c r="D39" s="48">
        <f t="shared" si="0"/>
        <v>42909.279999999999</v>
      </c>
      <c r="E39" s="68">
        <f t="shared" si="5"/>
        <v>1760.72</v>
      </c>
      <c r="F39" s="47">
        <f t="shared" si="3"/>
        <v>612060.58999999985</v>
      </c>
      <c r="G39" s="47">
        <f t="shared" si="4"/>
        <v>569151.30999999982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43032.72</v>
      </c>
      <c r="E40" s="68">
        <f t="shared" si="5"/>
        <v>1637.28</v>
      </c>
      <c r="F40" s="47">
        <f t="shared" si="3"/>
        <v>569151.30999999982</v>
      </c>
      <c r="G40" s="47">
        <f t="shared" si="4"/>
        <v>526118.58999999985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43156.51</v>
      </c>
      <c r="E41" s="68">
        <f t="shared" si="5"/>
        <v>1513.49</v>
      </c>
      <c r="F41" s="47">
        <f t="shared" si="3"/>
        <v>526118.58999999985</v>
      </c>
      <c r="G41" s="47">
        <f t="shared" si="4"/>
        <v>482962.07999999984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43280.66</v>
      </c>
      <c r="E42" s="68">
        <f t="shared" si="5"/>
        <v>1389.34</v>
      </c>
      <c r="F42" s="47">
        <f t="shared" si="3"/>
        <v>482962.07999999984</v>
      </c>
      <c r="G42" s="47">
        <f t="shared" si="4"/>
        <v>439681.41999999981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43405.16</v>
      </c>
      <c r="E43" s="68">
        <f t="shared" si="5"/>
        <v>1264.8399999999999</v>
      </c>
      <c r="F43" s="47">
        <f t="shared" si="3"/>
        <v>439681.41999999981</v>
      </c>
      <c r="G43" s="47">
        <f t="shared" si="4"/>
        <v>396276.25999999978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43530.03</v>
      </c>
      <c r="E44" s="68">
        <f t="shared" si="5"/>
        <v>1139.97</v>
      </c>
      <c r="F44" s="47">
        <f t="shared" si="3"/>
        <v>396276.25999999978</v>
      </c>
      <c r="G44" s="47">
        <f t="shared" si="4"/>
        <v>352746.22999999975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43655.25</v>
      </c>
      <c r="E45" s="68">
        <f t="shared" si="5"/>
        <v>1014.75</v>
      </c>
      <c r="F45" s="47">
        <f t="shared" si="3"/>
        <v>352746.22999999975</v>
      </c>
      <c r="G45" s="47">
        <f t="shared" si="4"/>
        <v>309090.97999999975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43780.83</v>
      </c>
      <c r="E46" s="68">
        <f t="shared" si="5"/>
        <v>889.17</v>
      </c>
      <c r="F46" s="47">
        <f t="shared" si="3"/>
        <v>309090.97999999975</v>
      </c>
      <c r="G46" s="47">
        <f t="shared" si="4"/>
        <v>265310.14999999973</v>
      </c>
    </row>
    <row r="47" spans="1:7" x14ac:dyDescent="0.25">
      <c r="A47" s="36">
        <v>44347</v>
      </c>
      <c r="B47" s="168">
        <f t="shared" ref="B47" si="6">B5</f>
        <v>7</v>
      </c>
      <c r="C47" s="47">
        <f t="shared" si="2"/>
        <v>44670</v>
      </c>
      <c r="D47" s="48">
        <f t="shared" si="0"/>
        <v>43906.78</v>
      </c>
      <c r="E47" s="68">
        <f t="shared" si="5"/>
        <v>763.22</v>
      </c>
      <c r="F47" s="47">
        <f t="shared" si="3"/>
        <v>265310.14999999973</v>
      </c>
      <c r="G47" s="47">
        <f t="shared" si="4"/>
        <v>221403.36999999973</v>
      </c>
    </row>
    <row r="48" spans="1:7" x14ac:dyDescent="0.25">
      <c r="A48" s="36">
        <v>44354</v>
      </c>
      <c r="B48" s="46">
        <f t="shared" ref="B48:B92" si="7">A48-A47</f>
        <v>7</v>
      </c>
      <c r="C48" s="47">
        <f t="shared" si="2"/>
        <v>44670</v>
      </c>
      <c r="D48" s="48">
        <f t="shared" si="0"/>
        <v>44033.09</v>
      </c>
      <c r="E48" s="68">
        <f t="shared" si="5"/>
        <v>636.91</v>
      </c>
      <c r="F48" s="47">
        <f t="shared" si="3"/>
        <v>221403.36999999973</v>
      </c>
      <c r="G48" s="47">
        <f t="shared" si="4"/>
        <v>177370.27999999974</v>
      </c>
    </row>
    <row r="49" spans="1:7" x14ac:dyDescent="0.25">
      <c r="A49" s="36">
        <v>44361</v>
      </c>
      <c r="B49" s="46">
        <f t="shared" si="7"/>
        <v>7</v>
      </c>
      <c r="C49" s="47">
        <f t="shared" si="2"/>
        <v>44670</v>
      </c>
      <c r="D49" s="48">
        <f t="shared" si="0"/>
        <v>44159.76</v>
      </c>
      <c r="E49" s="68">
        <f t="shared" si="5"/>
        <v>510.24</v>
      </c>
      <c r="F49" s="47">
        <f t="shared" si="3"/>
        <v>177370.27999999974</v>
      </c>
      <c r="G49" s="47">
        <f t="shared" si="4"/>
        <v>133210.51999999973</v>
      </c>
    </row>
    <row r="50" spans="1:7" x14ac:dyDescent="0.25">
      <c r="A50" s="36">
        <v>44368</v>
      </c>
      <c r="B50" s="46">
        <f t="shared" si="7"/>
        <v>7</v>
      </c>
      <c r="C50" s="47">
        <f t="shared" si="2"/>
        <v>44670</v>
      </c>
      <c r="D50" s="48">
        <f t="shared" si="0"/>
        <v>44286.79</v>
      </c>
      <c r="E50" s="68">
        <f t="shared" si="5"/>
        <v>383.21</v>
      </c>
      <c r="F50" s="47">
        <f t="shared" si="3"/>
        <v>133210.51999999973</v>
      </c>
      <c r="G50" s="47">
        <f t="shared" si="4"/>
        <v>88923.729999999719</v>
      </c>
    </row>
    <row r="51" spans="1:7" x14ac:dyDescent="0.25">
      <c r="A51" s="36">
        <v>44375</v>
      </c>
      <c r="B51" s="46">
        <f t="shared" si="7"/>
        <v>7</v>
      </c>
      <c r="C51" s="47">
        <f t="shared" si="2"/>
        <v>44670</v>
      </c>
      <c r="D51" s="48">
        <f t="shared" si="0"/>
        <v>44414.19</v>
      </c>
      <c r="E51" s="68">
        <f t="shared" si="5"/>
        <v>255.81</v>
      </c>
      <c r="F51" s="47">
        <f t="shared" si="3"/>
        <v>88923.729999999719</v>
      </c>
      <c r="G51" s="47">
        <f t="shared" si="4"/>
        <v>44509.539999999717</v>
      </c>
    </row>
    <row r="52" spans="1:7" x14ac:dyDescent="0.25">
      <c r="A52" s="36">
        <v>44382</v>
      </c>
      <c r="B52" s="46">
        <f t="shared" si="7"/>
        <v>7</v>
      </c>
      <c r="C52" s="47">
        <f t="shared" si="2"/>
        <v>44670</v>
      </c>
      <c r="D52" s="48">
        <f t="shared" si="0"/>
        <v>44509.539999999717</v>
      </c>
      <c r="E52" s="68">
        <v>160.46000000028201</v>
      </c>
      <c r="F52" s="47">
        <f t="shared" si="3"/>
        <v>44509.539999999717</v>
      </c>
      <c r="G52" s="47">
        <f t="shared" si="4"/>
        <v>0</v>
      </c>
    </row>
    <row r="53" spans="1:7" x14ac:dyDescent="0.25">
      <c r="A53" s="36">
        <f t="shared" ref="A53:G56" si="8">A13</f>
        <v>44109</v>
      </c>
      <c r="B53" s="168">
        <f t="shared" si="8"/>
        <v>7</v>
      </c>
      <c r="C53" s="172">
        <f t="shared" si="8"/>
        <v>44670</v>
      </c>
      <c r="D53" s="173">
        <f t="shared" si="8"/>
        <v>39821.26</v>
      </c>
      <c r="E53" s="172">
        <f t="shared" si="8"/>
        <v>4848.74</v>
      </c>
      <c r="F53" s="172">
        <f t="shared" si="8"/>
        <v>1685514.64</v>
      </c>
      <c r="G53" s="172">
        <f t="shared" si="8"/>
        <v>1645693.38</v>
      </c>
    </row>
    <row r="54" spans="1:7" x14ac:dyDescent="0.25">
      <c r="A54" s="36">
        <f t="shared" si="8"/>
        <v>44116</v>
      </c>
      <c r="B54" s="168">
        <f t="shared" si="8"/>
        <v>7</v>
      </c>
      <c r="C54" s="172">
        <f t="shared" si="8"/>
        <v>44670</v>
      </c>
      <c r="D54" s="173">
        <f t="shared" si="8"/>
        <v>39935.81</v>
      </c>
      <c r="E54" s="172">
        <f t="shared" si="8"/>
        <v>4734.1899999999996</v>
      </c>
      <c r="F54" s="172">
        <f t="shared" si="8"/>
        <v>1645693.38</v>
      </c>
      <c r="G54" s="172">
        <f t="shared" si="8"/>
        <v>1605757.5699999998</v>
      </c>
    </row>
    <row r="55" spans="1:7" x14ac:dyDescent="0.25">
      <c r="A55" s="36">
        <f>A15</f>
        <v>44123</v>
      </c>
      <c r="B55" s="168">
        <f t="shared" si="8"/>
        <v>7</v>
      </c>
      <c r="C55" s="172">
        <f t="shared" si="8"/>
        <v>44670</v>
      </c>
      <c r="D55" s="173">
        <f t="shared" si="8"/>
        <v>40050.699999999997</v>
      </c>
      <c r="E55" s="172">
        <f t="shared" si="8"/>
        <v>4619.3</v>
      </c>
      <c r="F55" s="172">
        <f t="shared" si="8"/>
        <v>1605757.5699999998</v>
      </c>
      <c r="G55" s="172">
        <f t="shared" si="8"/>
        <v>1565706.8699999999</v>
      </c>
    </row>
    <row r="56" spans="1:7" x14ac:dyDescent="0.25">
      <c r="A56" s="36">
        <v>44130</v>
      </c>
      <c r="B56" s="168">
        <f t="shared" si="8"/>
        <v>7</v>
      </c>
      <c r="C56" s="172">
        <f t="shared" si="8"/>
        <v>44670</v>
      </c>
      <c r="D56" s="173">
        <f t="shared" si="8"/>
        <v>40165.910000000003</v>
      </c>
      <c r="E56" s="172">
        <f t="shared" si="8"/>
        <v>4504.09</v>
      </c>
      <c r="F56" s="172">
        <f t="shared" si="8"/>
        <v>1565706.8699999999</v>
      </c>
      <c r="G56" s="172">
        <f t="shared" si="8"/>
        <v>1525540.96</v>
      </c>
    </row>
    <row r="57" spans="1:7" x14ac:dyDescent="0.25">
      <c r="A57" s="179">
        <v>44137</v>
      </c>
      <c r="B57" s="169">
        <f>A57-A56</f>
        <v>7</v>
      </c>
      <c r="C57" s="170">
        <f t="shared" ref="C57:C92" si="9">$F$1</f>
        <v>45451</v>
      </c>
      <c r="D57" s="171">
        <f t="shared" si="0"/>
        <v>39599.61</v>
      </c>
      <c r="E57" s="170">
        <f>ROUND(F57*$H$2*B57/365,2)</f>
        <v>5851.39</v>
      </c>
      <c r="F57" s="170">
        <f>G16</f>
        <v>1525540.96</v>
      </c>
      <c r="G57" s="170">
        <f t="shared" ref="G57:G92" si="10">F57-D57</f>
        <v>1485941.3499999999</v>
      </c>
    </row>
    <row r="58" spans="1:7" x14ac:dyDescent="0.25">
      <c r="A58" s="36">
        <v>44144</v>
      </c>
      <c r="B58" s="168">
        <f t="shared" si="7"/>
        <v>7</v>
      </c>
      <c r="C58" s="172">
        <f t="shared" si="9"/>
        <v>45451</v>
      </c>
      <c r="D58" s="173">
        <f t="shared" si="0"/>
        <v>39751.5</v>
      </c>
      <c r="E58" s="172">
        <f>ROUND(F58*$H$2*B58/365,2)</f>
        <v>5699.5</v>
      </c>
      <c r="F58" s="172">
        <f t="shared" ref="F58:F92" si="11">G57</f>
        <v>1485941.3499999999</v>
      </c>
      <c r="G58" s="172">
        <f t="shared" si="10"/>
        <v>1446189.8499999999</v>
      </c>
    </row>
    <row r="59" spans="1:7" x14ac:dyDescent="0.25">
      <c r="A59" s="36">
        <v>44151</v>
      </c>
      <c r="B59" s="168">
        <f t="shared" si="7"/>
        <v>7</v>
      </c>
      <c r="C59" s="172">
        <f t="shared" si="9"/>
        <v>45451</v>
      </c>
      <c r="D59" s="173">
        <f t="shared" si="0"/>
        <v>39903.97</v>
      </c>
      <c r="E59" s="172">
        <f t="shared" ref="E59:E91" si="12">ROUND(F59*$H$2*B59/365,2)</f>
        <v>5547.03</v>
      </c>
      <c r="F59" s="172">
        <f t="shared" si="11"/>
        <v>1446189.8499999999</v>
      </c>
      <c r="G59" s="172">
        <f t="shared" si="10"/>
        <v>1406285.88</v>
      </c>
    </row>
    <row r="60" spans="1:7" x14ac:dyDescent="0.25">
      <c r="A60" s="36">
        <v>44158</v>
      </c>
      <c r="B60" s="168">
        <f t="shared" si="7"/>
        <v>7</v>
      </c>
      <c r="C60" s="172">
        <f t="shared" si="9"/>
        <v>45451</v>
      </c>
      <c r="D60" s="173">
        <f t="shared" si="0"/>
        <v>40057.03</v>
      </c>
      <c r="E60" s="172">
        <f t="shared" si="12"/>
        <v>5393.97</v>
      </c>
      <c r="F60" s="172">
        <f t="shared" si="11"/>
        <v>1406285.88</v>
      </c>
      <c r="G60" s="172">
        <f t="shared" si="10"/>
        <v>1366228.8499999999</v>
      </c>
    </row>
    <row r="61" spans="1:7" x14ac:dyDescent="0.25">
      <c r="A61" s="36">
        <v>44165</v>
      </c>
      <c r="B61" s="168">
        <f t="shared" si="7"/>
        <v>7</v>
      </c>
      <c r="C61" s="172">
        <f t="shared" si="9"/>
        <v>45451</v>
      </c>
      <c r="D61" s="173">
        <f t="shared" si="0"/>
        <v>40210.67</v>
      </c>
      <c r="E61" s="172">
        <f t="shared" si="12"/>
        <v>5240.33</v>
      </c>
      <c r="F61" s="172">
        <f t="shared" si="11"/>
        <v>1366228.8499999999</v>
      </c>
      <c r="G61" s="172">
        <f t="shared" si="10"/>
        <v>1326018.18</v>
      </c>
    </row>
    <row r="62" spans="1:7" x14ac:dyDescent="0.25">
      <c r="A62" s="36">
        <v>44172</v>
      </c>
      <c r="B62" s="168">
        <f t="shared" si="7"/>
        <v>7</v>
      </c>
      <c r="C62" s="172">
        <f t="shared" si="9"/>
        <v>45451</v>
      </c>
      <c r="D62" s="173">
        <f t="shared" si="0"/>
        <v>40364.9</v>
      </c>
      <c r="E62" s="172">
        <f t="shared" si="12"/>
        <v>5086.1000000000004</v>
      </c>
      <c r="F62" s="172">
        <f t="shared" si="11"/>
        <v>1326018.18</v>
      </c>
      <c r="G62" s="172">
        <f t="shared" si="10"/>
        <v>1285653.28</v>
      </c>
    </row>
    <row r="63" spans="1:7" x14ac:dyDescent="0.25">
      <c r="A63" s="36">
        <v>44179</v>
      </c>
      <c r="B63" s="168">
        <f t="shared" si="7"/>
        <v>7</v>
      </c>
      <c r="C63" s="172">
        <f t="shared" si="9"/>
        <v>45451</v>
      </c>
      <c r="D63" s="173">
        <f t="shared" si="0"/>
        <v>40519.729999999996</v>
      </c>
      <c r="E63" s="172">
        <f t="shared" si="12"/>
        <v>4931.2700000000004</v>
      </c>
      <c r="F63" s="172">
        <f t="shared" si="11"/>
        <v>1285653.28</v>
      </c>
      <c r="G63" s="172">
        <f t="shared" si="10"/>
        <v>1245133.55</v>
      </c>
    </row>
    <row r="64" spans="1:7" x14ac:dyDescent="0.25">
      <c r="A64" s="36">
        <v>44186</v>
      </c>
      <c r="B64" s="168">
        <f t="shared" si="7"/>
        <v>7</v>
      </c>
      <c r="C64" s="172">
        <f t="shared" si="9"/>
        <v>45451</v>
      </c>
      <c r="D64" s="173">
        <f t="shared" si="0"/>
        <v>40675.15</v>
      </c>
      <c r="E64" s="172">
        <f t="shared" si="12"/>
        <v>4775.8500000000004</v>
      </c>
      <c r="F64" s="172">
        <f t="shared" si="11"/>
        <v>1245133.55</v>
      </c>
      <c r="G64" s="172">
        <f t="shared" si="10"/>
        <v>1204458.4000000001</v>
      </c>
    </row>
    <row r="65" spans="1:7" x14ac:dyDescent="0.25">
      <c r="A65" s="36">
        <v>44193</v>
      </c>
      <c r="B65" s="168">
        <f t="shared" si="7"/>
        <v>7</v>
      </c>
      <c r="C65" s="172">
        <f t="shared" si="9"/>
        <v>45451</v>
      </c>
      <c r="D65" s="173">
        <f t="shared" si="0"/>
        <v>40831.160000000003</v>
      </c>
      <c r="E65" s="172">
        <f t="shared" si="12"/>
        <v>4619.84</v>
      </c>
      <c r="F65" s="172">
        <f t="shared" si="11"/>
        <v>1204458.4000000001</v>
      </c>
      <c r="G65" s="172">
        <f t="shared" si="10"/>
        <v>1163627.2400000002</v>
      </c>
    </row>
    <row r="66" spans="1:7" x14ac:dyDescent="0.25">
      <c r="A66" s="36">
        <v>44200</v>
      </c>
      <c r="B66" s="168">
        <f t="shared" si="7"/>
        <v>7</v>
      </c>
      <c r="C66" s="172">
        <f t="shared" si="9"/>
        <v>45451</v>
      </c>
      <c r="D66" s="173">
        <f t="shared" si="0"/>
        <v>40987.770000000004</v>
      </c>
      <c r="E66" s="172">
        <f t="shared" si="12"/>
        <v>4463.2299999999996</v>
      </c>
      <c r="F66" s="172">
        <f t="shared" si="11"/>
        <v>1163627.2400000002</v>
      </c>
      <c r="G66" s="172">
        <f t="shared" si="10"/>
        <v>1122639.4700000002</v>
      </c>
    </row>
    <row r="67" spans="1:7" x14ac:dyDescent="0.25">
      <c r="A67" s="36">
        <v>44207</v>
      </c>
      <c r="B67" s="168">
        <f t="shared" si="7"/>
        <v>7</v>
      </c>
      <c r="C67" s="172">
        <f t="shared" si="9"/>
        <v>45451</v>
      </c>
      <c r="D67" s="173">
        <f t="shared" si="0"/>
        <v>41144.99</v>
      </c>
      <c r="E67" s="172">
        <f t="shared" si="12"/>
        <v>4306.01</v>
      </c>
      <c r="F67" s="172">
        <f t="shared" si="11"/>
        <v>1122639.4700000002</v>
      </c>
      <c r="G67" s="172">
        <f t="shared" si="10"/>
        <v>1081494.4800000002</v>
      </c>
    </row>
    <row r="68" spans="1:7" x14ac:dyDescent="0.25">
      <c r="A68" s="36">
        <v>44214</v>
      </c>
      <c r="B68" s="168">
        <f t="shared" si="7"/>
        <v>7</v>
      </c>
      <c r="C68" s="172">
        <f t="shared" si="9"/>
        <v>45451</v>
      </c>
      <c r="D68" s="173">
        <f t="shared" si="0"/>
        <v>41302.800000000003</v>
      </c>
      <c r="E68" s="172">
        <f t="shared" si="12"/>
        <v>4148.2</v>
      </c>
      <c r="F68" s="172">
        <f t="shared" si="11"/>
        <v>1081494.4800000002</v>
      </c>
      <c r="G68" s="172">
        <f t="shared" si="10"/>
        <v>1040191.6800000002</v>
      </c>
    </row>
    <row r="69" spans="1:7" x14ac:dyDescent="0.25">
      <c r="A69" s="36">
        <v>44221</v>
      </c>
      <c r="B69" s="168">
        <f t="shared" si="7"/>
        <v>7</v>
      </c>
      <c r="C69" s="172">
        <f t="shared" si="9"/>
        <v>45451</v>
      </c>
      <c r="D69" s="173">
        <f t="shared" ref="D69:D92" si="13">C69-E69</f>
        <v>41461.22</v>
      </c>
      <c r="E69" s="172">
        <f t="shared" si="12"/>
        <v>3989.78</v>
      </c>
      <c r="F69" s="172">
        <f t="shared" si="11"/>
        <v>1040191.6800000002</v>
      </c>
      <c r="G69" s="172">
        <f t="shared" si="10"/>
        <v>998730.4600000002</v>
      </c>
    </row>
    <row r="70" spans="1:7" x14ac:dyDescent="0.25">
      <c r="A70" s="36">
        <v>44228</v>
      </c>
      <c r="B70" s="168">
        <f t="shared" si="7"/>
        <v>7</v>
      </c>
      <c r="C70" s="172">
        <f t="shared" si="9"/>
        <v>45451</v>
      </c>
      <c r="D70" s="173">
        <f t="shared" si="13"/>
        <v>41620.25</v>
      </c>
      <c r="E70" s="172">
        <f t="shared" si="12"/>
        <v>3830.75</v>
      </c>
      <c r="F70" s="172">
        <f t="shared" si="11"/>
        <v>998730.4600000002</v>
      </c>
      <c r="G70" s="172">
        <f t="shared" si="10"/>
        <v>957110.2100000002</v>
      </c>
    </row>
    <row r="71" spans="1:7" x14ac:dyDescent="0.25">
      <c r="A71" s="36">
        <v>44235</v>
      </c>
      <c r="B71" s="168">
        <f t="shared" si="7"/>
        <v>7</v>
      </c>
      <c r="C71" s="172">
        <f t="shared" si="9"/>
        <v>45451</v>
      </c>
      <c r="D71" s="173">
        <f t="shared" si="13"/>
        <v>41779.89</v>
      </c>
      <c r="E71" s="172">
        <f t="shared" si="12"/>
        <v>3671.11</v>
      </c>
      <c r="F71" s="172">
        <f t="shared" si="11"/>
        <v>957110.2100000002</v>
      </c>
      <c r="G71" s="172">
        <f t="shared" si="10"/>
        <v>915330.32000000018</v>
      </c>
    </row>
    <row r="72" spans="1:7" x14ac:dyDescent="0.25">
      <c r="A72" s="36">
        <v>44242</v>
      </c>
      <c r="B72" s="168">
        <f t="shared" si="7"/>
        <v>7</v>
      </c>
      <c r="C72" s="172">
        <f t="shared" si="9"/>
        <v>45451</v>
      </c>
      <c r="D72" s="173">
        <f t="shared" si="13"/>
        <v>41940.14</v>
      </c>
      <c r="E72" s="172">
        <f t="shared" si="12"/>
        <v>3510.86</v>
      </c>
      <c r="F72" s="172">
        <f t="shared" si="11"/>
        <v>915330.32000000018</v>
      </c>
      <c r="G72" s="172">
        <f t="shared" si="10"/>
        <v>873390.18000000017</v>
      </c>
    </row>
    <row r="73" spans="1:7" x14ac:dyDescent="0.25">
      <c r="A73" s="36">
        <v>44249</v>
      </c>
      <c r="B73" s="168">
        <f t="shared" si="7"/>
        <v>7</v>
      </c>
      <c r="C73" s="172">
        <f t="shared" si="9"/>
        <v>45451</v>
      </c>
      <c r="D73" s="173">
        <f t="shared" si="13"/>
        <v>42101.01</v>
      </c>
      <c r="E73" s="172">
        <f t="shared" si="12"/>
        <v>3349.99</v>
      </c>
      <c r="F73" s="172">
        <f t="shared" si="11"/>
        <v>873390.18000000017</v>
      </c>
      <c r="G73" s="172">
        <f t="shared" si="10"/>
        <v>831289.17000000016</v>
      </c>
    </row>
    <row r="74" spans="1:7" x14ac:dyDescent="0.25">
      <c r="A74" s="36">
        <v>44256</v>
      </c>
      <c r="B74" s="168">
        <f t="shared" si="7"/>
        <v>7</v>
      </c>
      <c r="C74" s="172">
        <f t="shared" si="9"/>
        <v>45451</v>
      </c>
      <c r="D74" s="173">
        <f t="shared" si="13"/>
        <v>42262.49</v>
      </c>
      <c r="E74" s="172">
        <f t="shared" si="12"/>
        <v>3188.51</v>
      </c>
      <c r="F74" s="172">
        <f t="shared" si="11"/>
        <v>831289.17000000016</v>
      </c>
      <c r="G74" s="172">
        <f t="shared" si="10"/>
        <v>789026.68000000017</v>
      </c>
    </row>
    <row r="75" spans="1:7" x14ac:dyDescent="0.25">
      <c r="A75" s="36">
        <v>44263</v>
      </c>
      <c r="B75" s="168">
        <f t="shared" si="7"/>
        <v>7</v>
      </c>
      <c r="C75" s="172">
        <f t="shared" si="9"/>
        <v>45451</v>
      </c>
      <c r="D75" s="173">
        <f t="shared" si="13"/>
        <v>42424.6</v>
      </c>
      <c r="E75" s="172">
        <f t="shared" si="12"/>
        <v>3026.4</v>
      </c>
      <c r="F75" s="172">
        <f t="shared" si="11"/>
        <v>789026.68000000017</v>
      </c>
      <c r="G75" s="172">
        <f t="shared" si="10"/>
        <v>746602.08000000019</v>
      </c>
    </row>
    <row r="76" spans="1:7" x14ac:dyDescent="0.25">
      <c r="A76" s="36">
        <v>44270</v>
      </c>
      <c r="B76" s="168">
        <f t="shared" si="7"/>
        <v>7</v>
      </c>
      <c r="C76" s="172">
        <f t="shared" si="9"/>
        <v>45451</v>
      </c>
      <c r="D76" s="173">
        <f t="shared" si="13"/>
        <v>42587.32</v>
      </c>
      <c r="E76" s="172">
        <f t="shared" si="12"/>
        <v>2863.68</v>
      </c>
      <c r="F76" s="172">
        <f t="shared" si="11"/>
        <v>746602.08000000019</v>
      </c>
      <c r="G76" s="172">
        <f t="shared" si="10"/>
        <v>704014.76000000024</v>
      </c>
    </row>
    <row r="77" spans="1:7" x14ac:dyDescent="0.25">
      <c r="A77" s="36">
        <v>44277</v>
      </c>
      <c r="B77" s="168">
        <f t="shared" si="7"/>
        <v>7</v>
      </c>
      <c r="C77" s="172">
        <f t="shared" si="9"/>
        <v>45451</v>
      </c>
      <c r="D77" s="173">
        <f t="shared" si="13"/>
        <v>42750.67</v>
      </c>
      <c r="E77" s="172">
        <f t="shared" si="12"/>
        <v>2700.33</v>
      </c>
      <c r="F77" s="172">
        <f t="shared" si="11"/>
        <v>704014.76000000024</v>
      </c>
      <c r="G77" s="172">
        <f t="shared" si="10"/>
        <v>661264.0900000002</v>
      </c>
    </row>
    <row r="78" spans="1:7" x14ac:dyDescent="0.25">
      <c r="A78" s="36">
        <v>44284</v>
      </c>
      <c r="B78" s="168">
        <f t="shared" si="7"/>
        <v>7</v>
      </c>
      <c r="C78" s="172">
        <f t="shared" si="9"/>
        <v>45451</v>
      </c>
      <c r="D78" s="173">
        <f t="shared" si="13"/>
        <v>42914.64</v>
      </c>
      <c r="E78" s="172">
        <f t="shared" si="12"/>
        <v>2536.36</v>
      </c>
      <c r="F78" s="172">
        <f t="shared" si="11"/>
        <v>661264.0900000002</v>
      </c>
      <c r="G78" s="172">
        <f t="shared" si="10"/>
        <v>618349.45000000019</v>
      </c>
    </row>
    <row r="79" spans="1:7" x14ac:dyDescent="0.25">
      <c r="A79" s="36">
        <v>44291</v>
      </c>
      <c r="B79" s="168">
        <f t="shared" si="7"/>
        <v>7</v>
      </c>
      <c r="C79" s="172">
        <f t="shared" si="9"/>
        <v>45451</v>
      </c>
      <c r="D79" s="173">
        <f t="shared" si="13"/>
        <v>43079.25</v>
      </c>
      <c r="E79" s="172">
        <f t="shared" si="12"/>
        <v>2371.75</v>
      </c>
      <c r="F79" s="172">
        <f t="shared" si="11"/>
        <v>618349.45000000019</v>
      </c>
      <c r="G79" s="172">
        <f t="shared" si="10"/>
        <v>575270.20000000019</v>
      </c>
    </row>
    <row r="80" spans="1:7" x14ac:dyDescent="0.25">
      <c r="A80" s="36">
        <v>44298</v>
      </c>
      <c r="B80" s="168">
        <f t="shared" si="7"/>
        <v>7</v>
      </c>
      <c r="C80" s="172">
        <f t="shared" si="9"/>
        <v>45451</v>
      </c>
      <c r="D80" s="173">
        <f t="shared" si="13"/>
        <v>43244.480000000003</v>
      </c>
      <c r="E80" s="172">
        <f t="shared" si="12"/>
        <v>2206.52</v>
      </c>
      <c r="F80" s="172">
        <f t="shared" si="11"/>
        <v>575270.20000000019</v>
      </c>
      <c r="G80" s="172">
        <f t="shared" si="10"/>
        <v>532025.7200000002</v>
      </c>
    </row>
    <row r="81" spans="1:7" x14ac:dyDescent="0.25">
      <c r="A81" s="36">
        <v>44305</v>
      </c>
      <c r="B81" s="168">
        <f t="shared" si="7"/>
        <v>7</v>
      </c>
      <c r="C81" s="172">
        <f t="shared" si="9"/>
        <v>45451</v>
      </c>
      <c r="D81" s="173">
        <f t="shared" si="13"/>
        <v>43410.35</v>
      </c>
      <c r="E81" s="172">
        <f t="shared" si="12"/>
        <v>2040.65</v>
      </c>
      <c r="F81" s="172">
        <f t="shared" si="11"/>
        <v>532025.7200000002</v>
      </c>
      <c r="G81" s="172">
        <f t="shared" si="10"/>
        <v>488615.37000000023</v>
      </c>
    </row>
    <row r="82" spans="1:7" x14ac:dyDescent="0.25">
      <c r="A82" s="36">
        <v>44312</v>
      </c>
      <c r="B82" s="168">
        <f t="shared" si="7"/>
        <v>7</v>
      </c>
      <c r="C82" s="172">
        <f t="shared" si="9"/>
        <v>45451</v>
      </c>
      <c r="D82" s="173">
        <f t="shared" si="13"/>
        <v>43576.86</v>
      </c>
      <c r="E82" s="172">
        <f t="shared" si="12"/>
        <v>1874.14</v>
      </c>
      <c r="F82" s="172">
        <f t="shared" si="11"/>
        <v>488615.37000000023</v>
      </c>
      <c r="G82" s="172">
        <f t="shared" si="10"/>
        <v>445038.51000000024</v>
      </c>
    </row>
    <row r="83" spans="1:7" x14ac:dyDescent="0.25">
      <c r="A83" s="36">
        <v>44319</v>
      </c>
      <c r="B83" s="168">
        <f t="shared" si="7"/>
        <v>7</v>
      </c>
      <c r="C83" s="172">
        <f t="shared" si="9"/>
        <v>45451</v>
      </c>
      <c r="D83" s="173">
        <f t="shared" si="13"/>
        <v>43744</v>
      </c>
      <c r="E83" s="172">
        <f t="shared" si="12"/>
        <v>1707</v>
      </c>
      <c r="F83" s="172">
        <f t="shared" si="11"/>
        <v>445038.51000000024</v>
      </c>
      <c r="G83" s="172">
        <f t="shared" si="10"/>
        <v>401294.51000000024</v>
      </c>
    </row>
    <row r="84" spans="1:7" x14ac:dyDescent="0.25">
      <c r="A84" s="36">
        <v>44326</v>
      </c>
      <c r="B84" s="168">
        <f t="shared" si="7"/>
        <v>7</v>
      </c>
      <c r="C84" s="172">
        <f t="shared" si="9"/>
        <v>45451</v>
      </c>
      <c r="D84" s="173">
        <f t="shared" si="13"/>
        <v>43911.79</v>
      </c>
      <c r="E84" s="172">
        <f t="shared" si="12"/>
        <v>1539.21</v>
      </c>
      <c r="F84" s="172">
        <f t="shared" si="11"/>
        <v>401294.51000000024</v>
      </c>
      <c r="G84" s="172">
        <f t="shared" si="10"/>
        <v>357382.72000000026</v>
      </c>
    </row>
    <row r="85" spans="1:7" x14ac:dyDescent="0.25">
      <c r="A85" s="36">
        <v>44333</v>
      </c>
      <c r="B85" s="168">
        <f t="shared" si="7"/>
        <v>7</v>
      </c>
      <c r="C85" s="172">
        <f t="shared" si="9"/>
        <v>45451</v>
      </c>
      <c r="D85" s="173">
        <f t="shared" si="13"/>
        <v>44080.22</v>
      </c>
      <c r="E85" s="172">
        <f t="shared" si="12"/>
        <v>1370.78</v>
      </c>
      <c r="F85" s="172">
        <f t="shared" si="11"/>
        <v>357382.72000000026</v>
      </c>
      <c r="G85" s="172">
        <f t="shared" si="10"/>
        <v>313302.50000000023</v>
      </c>
    </row>
    <row r="86" spans="1:7" x14ac:dyDescent="0.25">
      <c r="A86" s="36">
        <v>44340</v>
      </c>
      <c r="B86" s="168">
        <f t="shared" si="7"/>
        <v>7</v>
      </c>
      <c r="C86" s="172">
        <f t="shared" si="9"/>
        <v>45451</v>
      </c>
      <c r="D86" s="173">
        <f t="shared" si="13"/>
        <v>44249.29</v>
      </c>
      <c r="E86" s="172">
        <f t="shared" si="12"/>
        <v>1201.71</v>
      </c>
      <c r="F86" s="172">
        <f t="shared" si="11"/>
        <v>313302.50000000023</v>
      </c>
      <c r="G86" s="172">
        <f t="shared" si="10"/>
        <v>269053.21000000025</v>
      </c>
    </row>
    <row r="87" spans="1:7" x14ac:dyDescent="0.25">
      <c r="A87" s="36">
        <v>44347</v>
      </c>
      <c r="B87" s="168">
        <f t="shared" si="7"/>
        <v>7</v>
      </c>
      <c r="C87" s="172">
        <f t="shared" si="9"/>
        <v>45451</v>
      </c>
      <c r="D87" s="173">
        <f t="shared" si="13"/>
        <v>44419.02</v>
      </c>
      <c r="E87" s="172">
        <f t="shared" si="12"/>
        <v>1031.98</v>
      </c>
      <c r="F87" s="172">
        <f t="shared" si="11"/>
        <v>269053.21000000025</v>
      </c>
      <c r="G87" s="172">
        <f t="shared" si="10"/>
        <v>224634.19000000026</v>
      </c>
    </row>
    <row r="88" spans="1:7" x14ac:dyDescent="0.25">
      <c r="A88" s="36">
        <v>44354</v>
      </c>
      <c r="B88" s="168">
        <f t="shared" si="7"/>
        <v>7</v>
      </c>
      <c r="C88" s="172">
        <f t="shared" si="9"/>
        <v>45451</v>
      </c>
      <c r="D88" s="173">
        <f t="shared" si="13"/>
        <v>44589.39</v>
      </c>
      <c r="E88" s="172">
        <f t="shared" si="12"/>
        <v>861.61</v>
      </c>
      <c r="F88" s="172">
        <f t="shared" si="11"/>
        <v>224634.19000000026</v>
      </c>
      <c r="G88" s="172">
        <f t="shared" si="10"/>
        <v>180044.80000000028</v>
      </c>
    </row>
    <row r="89" spans="1:7" x14ac:dyDescent="0.25">
      <c r="A89" s="36">
        <v>44361</v>
      </c>
      <c r="B89" s="168">
        <f t="shared" si="7"/>
        <v>7</v>
      </c>
      <c r="C89" s="172">
        <f t="shared" si="9"/>
        <v>45451</v>
      </c>
      <c r="D89" s="173">
        <f t="shared" si="13"/>
        <v>44760.42</v>
      </c>
      <c r="E89" s="172">
        <f t="shared" si="12"/>
        <v>690.58</v>
      </c>
      <c r="F89" s="172">
        <f t="shared" si="11"/>
        <v>180044.80000000028</v>
      </c>
      <c r="G89" s="172">
        <f t="shared" si="10"/>
        <v>135284.3800000003</v>
      </c>
    </row>
    <row r="90" spans="1:7" x14ac:dyDescent="0.25">
      <c r="A90" s="36">
        <v>44368</v>
      </c>
      <c r="B90" s="168">
        <f t="shared" si="7"/>
        <v>7</v>
      </c>
      <c r="C90" s="172">
        <f t="shared" si="9"/>
        <v>45451</v>
      </c>
      <c r="D90" s="173">
        <f t="shared" si="13"/>
        <v>44932.1</v>
      </c>
      <c r="E90" s="172">
        <f t="shared" si="12"/>
        <v>518.9</v>
      </c>
      <c r="F90" s="172">
        <f t="shared" si="11"/>
        <v>135284.3800000003</v>
      </c>
      <c r="G90" s="172">
        <f t="shared" si="10"/>
        <v>90352.28000000029</v>
      </c>
    </row>
    <row r="91" spans="1:7" x14ac:dyDescent="0.25">
      <c r="A91" s="36">
        <v>44375</v>
      </c>
      <c r="B91" s="168">
        <f t="shared" si="7"/>
        <v>7</v>
      </c>
      <c r="C91" s="172">
        <f t="shared" si="9"/>
        <v>45451</v>
      </c>
      <c r="D91" s="173">
        <f t="shared" si="13"/>
        <v>45104.44</v>
      </c>
      <c r="E91" s="172">
        <f t="shared" si="12"/>
        <v>346.56</v>
      </c>
      <c r="F91" s="172">
        <f t="shared" si="11"/>
        <v>90352.28000000029</v>
      </c>
      <c r="G91" s="172">
        <f t="shared" si="10"/>
        <v>45247.840000000288</v>
      </c>
    </row>
    <row r="92" spans="1:7" x14ac:dyDescent="0.25">
      <c r="A92" s="36">
        <v>44382</v>
      </c>
      <c r="B92" s="168">
        <f t="shared" si="7"/>
        <v>7</v>
      </c>
      <c r="C92" s="172">
        <f t="shared" si="9"/>
        <v>45451</v>
      </c>
      <c r="D92" s="173">
        <f t="shared" si="13"/>
        <v>45247.840000000288</v>
      </c>
      <c r="E92" s="172">
        <v>203.15999999970956</v>
      </c>
      <c r="F92" s="172">
        <f t="shared" si="11"/>
        <v>45247.840000000288</v>
      </c>
      <c r="G92" s="172">
        <f t="shared" si="10"/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164098-A416-4427-9FE9-D36174CE762F}">
  <dimension ref="A1:H92"/>
  <sheetViews>
    <sheetView zoomScale="86" zoomScaleNormal="80" workbookViewId="0">
      <pane ySplit="3" topLeftCell="A73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</cols>
  <sheetData>
    <row r="1" spans="1:8" x14ac:dyDescent="0.25">
      <c r="A1" s="17" t="s">
        <v>33</v>
      </c>
      <c r="B1" s="78">
        <v>44045</v>
      </c>
      <c r="C1" s="17" t="s">
        <v>37</v>
      </c>
      <c r="D1" s="79">
        <f>ROUNDUP(44669.369619267,0)</f>
        <v>44670</v>
      </c>
      <c r="E1" s="83" t="s">
        <v>106</v>
      </c>
      <c r="F1" s="166">
        <f>ROUNDUP(45450.2313765953,0)</f>
        <v>45451</v>
      </c>
      <c r="G1" s="83" t="s">
        <v>52</v>
      </c>
      <c r="H1" s="81">
        <v>44130</v>
      </c>
    </row>
    <row r="2" spans="1:8" x14ac:dyDescent="0.25">
      <c r="A2" s="75" t="s">
        <v>34</v>
      </c>
      <c r="B2" s="76">
        <v>0.15</v>
      </c>
      <c r="C2" s="167">
        <v>2000000</v>
      </c>
      <c r="G2" s="83" t="s">
        <v>384</v>
      </c>
      <c r="H2" s="178">
        <v>0.2</v>
      </c>
    </row>
    <row r="3" spans="1:8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8" x14ac:dyDescent="0.25">
      <c r="A4" s="36">
        <v>44046</v>
      </c>
      <c r="B4" s="46">
        <f>DAYS360(B1,A4,TRUE)</f>
        <v>1</v>
      </c>
      <c r="C4" s="47">
        <v>0</v>
      </c>
      <c r="D4" s="48">
        <v>0</v>
      </c>
      <c r="E4" s="68">
        <f>ROUNDUP(F4*$B$2*B4/360,0)</f>
        <v>834</v>
      </c>
      <c r="F4" s="47">
        <f>C2</f>
        <v>2000000</v>
      </c>
      <c r="G4" s="47">
        <f>F4-D4</f>
        <v>2000000</v>
      </c>
    </row>
    <row r="5" spans="1:8" x14ac:dyDescent="0.25">
      <c r="A5" s="36">
        <v>44053</v>
      </c>
      <c r="B5" s="46">
        <f>DAYS360(A4,A5,TRUE)</f>
        <v>7</v>
      </c>
      <c r="C5" s="47">
        <f>$D$1</f>
        <v>44670</v>
      </c>
      <c r="D5" s="48">
        <f t="shared" ref="D5:D68" si="0">C5-E5</f>
        <v>38836.67</v>
      </c>
      <c r="E5" s="68">
        <f>ROUND(F5*$B$2*B5/360,2)</f>
        <v>5833.33</v>
      </c>
      <c r="F5" s="47">
        <f>G4</f>
        <v>2000000</v>
      </c>
      <c r="G5" s="47">
        <f>F5-D5</f>
        <v>1961163.33</v>
      </c>
    </row>
    <row r="6" spans="1:8" x14ac:dyDescent="0.25">
      <c r="A6" s="36">
        <v>44060</v>
      </c>
      <c r="B6" s="46">
        <f t="shared" ref="B6:B52" si="1">DAYS360(A5,A6,TRUE)</f>
        <v>7</v>
      </c>
      <c r="C6" s="47">
        <f t="shared" ref="C6:C52" si="2">$D$1</f>
        <v>44670</v>
      </c>
      <c r="D6" s="48">
        <f t="shared" si="0"/>
        <v>38949.94</v>
      </c>
      <c r="E6" s="68">
        <f t="shared" ref="E6:E51" si="3">ROUND(F6*$B$2*B6/360,2)</f>
        <v>5720.06</v>
      </c>
      <c r="F6" s="47">
        <f t="shared" ref="F6:F52" si="4">G5</f>
        <v>1961163.33</v>
      </c>
      <c r="G6" s="47">
        <f t="shared" ref="G6:G52" si="5">F6-D6</f>
        <v>1922213.3900000001</v>
      </c>
    </row>
    <row r="7" spans="1:8" x14ac:dyDescent="0.25">
      <c r="A7" s="36">
        <v>44067</v>
      </c>
      <c r="B7" s="46">
        <f t="shared" si="1"/>
        <v>7</v>
      </c>
      <c r="C7" s="47">
        <f t="shared" si="2"/>
        <v>44670</v>
      </c>
      <c r="D7" s="48">
        <f t="shared" si="0"/>
        <v>39063.54</v>
      </c>
      <c r="E7" s="68">
        <f t="shared" si="3"/>
        <v>5606.46</v>
      </c>
      <c r="F7" s="47">
        <f t="shared" si="4"/>
        <v>1922213.3900000001</v>
      </c>
      <c r="G7" s="47">
        <f t="shared" si="5"/>
        <v>1883149.85</v>
      </c>
    </row>
    <row r="8" spans="1:8" x14ac:dyDescent="0.25">
      <c r="A8" s="36">
        <v>44074</v>
      </c>
      <c r="B8" s="46">
        <f t="shared" si="1"/>
        <v>6</v>
      </c>
      <c r="C8" s="47">
        <f t="shared" si="2"/>
        <v>44670</v>
      </c>
      <c r="D8" s="48">
        <f t="shared" si="0"/>
        <v>39962.129999999997</v>
      </c>
      <c r="E8" s="68">
        <f t="shared" si="3"/>
        <v>4707.87</v>
      </c>
      <c r="F8" s="47">
        <f t="shared" si="4"/>
        <v>1883149.85</v>
      </c>
      <c r="G8" s="47">
        <f t="shared" si="5"/>
        <v>1843187.7200000002</v>
      </c>
    </row>
    <row r="9" spans="1:8" x14ac:dyDescent="0.25">
      <c r="A9" s="36">
        <v>44081</v>
      </c>
      <c r="B9" s="46">
        <f t="shared" si="1"/>
        <v>7</v>
      </c>
      <c r="C9" s="47">
        <f t="shared" si="2"/>
        <v>44670</v>
      </c>
      <c r="D9" s="48">
        <f t="shared" si="0"/>
        <v>39294.04</v>
      </c>
      <c r="E9" s="68">
        <f t="shared" si="3"/>
        <v>5375.96</v>
      </c>
      <c r="F9" s="47">
        <f t="shared" si="4"/>
        <v>1843187.7200000002</v>
      </c>
      <c r="G9" s="47">
        <f t="shared" si="5"/>
        <v>1803893.6800000002</v>
      </c>
    </row>
    <row r="10" spans="1:8" x14ac:dyDescent="0.25">
      <c r="A10" s="36">
        <v>44088</v>
      </c>
      <c r="B10" s="46">
        <f t="shared" si="1"/>
        <v>7</v>
      </c>
      <c r="C10" s="47">
        <f t="shared" si="2"/>
        <v>44670</v>
      </c>
      <c r="D10" s="48">
        <f t="shared" si="0"/>
        <v>39408.639999999999</v>
      </c>
      <c r="E10" s="68">
        <f t="shared" si="3"/>
        <v>5261.36</v>
      </c>
      <c r="F10" s="47">
        <f t="shared" si="4"/>
        <v>1803893.6800000002</v>
      </c>
      <c r="G10" s="47">
        <f t="shared" si="5"/>
        <v>1764485.0400000003</v>
      </c>
    </row>
    <row r="11" spans="1:8" x14ac:dyDescent="0.25">
      <c r="A11" s="36">
        <v>44095</v>
      </c>
      <c r="B11" s="46">
        <f t="shared" si="1"/>
        <v>7</v>
      </c>
      <c r="C11" s="47">
        <f t="shared" si="2"/>
        <v>44670</v>
      </c>
      <c r="D11" s="48">
        <f t="shared" si="0"/>
        <v>39523.589999999997</v>
      </c>
      <c r="E11" s="68">
        <f t="shared" si="3"/>
        <v>5146.41</v>
      </c>
      <c r="F11" s="47">
        <f t="shared" si="4"/>
        <v>1764485.0400000003</v>
      </c>
      <c r="G11" s="47">
        <f t="shared" si="5"/>
        <v>1724961.4500000002</v>
      </c>
    </row>
    <row r="12" spans="1:8" x14ac:dyDescent="0.25">
      <c r="A12" s="36">
        <v>44102</v>
      </c>
      <c r="B12" s="46">
        <f t="shared" si="1"/>
        <v>7</v>
      </c>
      <c r="C12" s="47">
        <f t="shared" si="2"/>
        <v>44670</v>
      </c>
      <c r="D12" s="48">
        <f t="shared" si="0"/>
        <v>39638.86</v>
      </c>
      <c r="E12" s="68">
        <f t="shared" si="3"/>
        <v>5031.1400000000003</v>
      </c>
      <c r="F12" s="47">
        <f t="shared" si="4"/>
        <v>1724961.4500000002</v>
      </c>
      <c r="G12" s="47">
        <f t="shared" si="5"/>
        <v>1685322.59</v>
      </c>
    </row>
    <row r="13" spans="1:8" x14ac:dyDescent="0.25">
      <c r="A13" s="36">
        <v>44109</v>
      </c>
      <c r="B13" s="46">
        <f t="shared" si="1"/>
        <v>7</v>
      </c>
      <c r="C13" s="47">
        <f t="shared" si="2"/>
        <v>44670</v>
      </c>
      <c r="D13" s="48">
        <f t="shared" si="0"/>
        <v>39754.479999999996</v>
      </c>
      <c r="E13" s="68">
        <f t="shared" si="3"/>
        <v>4915.5200000000004</v>
      </c>
      <c r="F13" s="47">
        <f t="shared" si="4"/>
        <v>1685322.59</v>
      </c>
      <c r="G13" s="47">
        <f t="shared" si="5"/>
        <v>1645568.11</v>
      </c>
    </row>
    <row r="14" spans="1:8" x14ac:dyDescent="0.25">
      <c r="A14" s="36">
        <v>44116</v>
      </c>
      <c r="B14" s="46">
        <f t="shared" si="1"/>
        <v>7</v>
      </c>
      <c r="C14" s="47">
        <f t="shared" si="2"/>
        <v>44670</v>
      </c>
      <c r="D14" s="48">
        <f t="shared" si="0"/>
        <v>39870.43</v>
      </c>
      <c r="E14" s="68">
        <f t="shared" si="3"/>
        <v>4799.57</v>
      </c>
      <c r="F14" s="47">
        <f t="shared" si="4"/>
        <v>1645568.11</v>
      </c>
      <c r="G14" s="47">
        <f t="shared" si="5"/>
        <v>1605697.6800000002</v>
      </c>
    </row>
    <row r="15" spans="1:8" x14ac:dyDescent="0.25">
      <c r="A15" s="36">
        <v>44123</v>
      </c>
      <c r="B15" s="46">
        <f t="shared" si="1"/>
        <v>7</v>
      </c>
      <c r="C15" s="47">
        <f t="shared" si="2"/>
        <v>44670</v>
      </c>
      <c r="D15" s="48">
        <f t="shared" si="0"/>
        <v>39986.720000000001</v>
      </c>
      <c r="E15" s="68">
        <f t="shared" si="3"/>
        <v>4683.28</v>
      </c>
      <c r="F15" s="47">
        <f t="shared" si="4"/>
        <v>1605697.6800000002</v>
      </c>
      <c r="G15" s="47">
        <f t="shared" si="5"/>
        <v>1565710.9600000002</v>
      </c>
    </row>
    <row r="16" spans="1:8" x14ac:dyDescent="0.25">
      <c r="A16" s="36">
        <v>44130</v>
      </c>
      <c r="B16" s="46">
        <f t="shared" si="1"/>
        <v>7</v>
      </c>
      <c r="C16" s="47">
        <f t="shared" si="2"/>
        <v>44670</v>
      </c>
      <c r="D16" s="48">
        <f t="shared" si="0"/>
        <v>40103.339999999997</v>
      </c>
      <c r="E16" s="68">
        <f t="shared" si="3"/>
        <v>4566.66</v>
      </c>
      <c r="F16" s="47">
        <f t="shared" si="4"/>
        <v>1565710.9600000002</v>
      </c>
      <c r="G16" s="47">
        <f t="shared" si="5"/>
        <v>1525607.62</v>
      </c>
    </row>
    <row r="17" spans="1:7" x14ac:dyDescent="0.25">
      <c r="A17" s="36">
        <v>44137</v>
      </c>
      <c r="B17" s="46">
        <f t="shared" si="1"/>
        <v>6</v>
      </c>
      <c r="C17" s="47">
        <f t="shared" si="2"/>
        <v>44670</v>
      </c>
      <c r="D17" s="48">
        <f t="shared" si="0"/>
        <v>40855.980000000003</v>
      </c>
      <c r="E17" s="68">
        <f t="shared" si="3"/>
        <v>3814.02</v>
      </c>
      <c r="F17" s="47">
        <f t="shared" si="4"/>
        <v>1525607.62</v>
      </c>
      <c r="G17" s="47">
        <f t="shared" si="5"/>
        <v>1484751.6400000001</v>
      </c>
    </row>
    <row r="18" spans="1:7" x14ac:dyDescent="0.25">
      <c r="A18" s="36">
        <v>44144</v>
      </c>
      <c r="B18" s="46">
        <f t="shared" si="1"/>
        <v>7</v>
      </c>
      <c r="C18" s="47">
        <f t="shared" si="2"/>
        <v>44670</v>
      </c>
      <c r="D18" s="48">
        <f t="shared" si="0"/>
        <v>40339.47</v>
      </c>
      <c r="E18" s="68">
        <f t="shared" si="3"/>
        <v>4330.53</v>
      </c>
      <c r="F18" s="47">
        <f t="shared" si="4"/>
        <v>1484751.6400000001</v>
      </c>
      <c r="G18" s="47">
        <f t="shared" si="5"/>
        <v>1444412.1700000002</v>
      </c>
    </row>
    <row r="19" spans="1:7" x14ac:dyDescent="0.25">
      <c r="A19" s="36">
        <v>44151</v>
      </c>
      <c r="B19" s="46">
        <f t="shared" si="1"/>
        <v>7</v>
      </c>
      <c r="C19" s="47">
        <f t="shared" si="2"/>
        <v>44670</v>
      </c>
      <c r="D19" s="48">
        <f t="shared" si="0"/>
        <v>40457.129999999997</v>
      </c>
      <c r="E19" s="68">
        <f t="shared" si="3"/>
        <v>4212.87</v>
      </c>
      <c r="F19" s="47">
        <f t="shared" si="4"/>
        <v>1444412.1700000002</v>
      </c>
      <c r="G19" s="47">
        <f t="shared" si="5"/>
        <v>1403955.0400000003</v>
      </c>
    </row>
    <row r="20" spans="1:7" x14ac:dyDescent="0.25">
      <c r="A20" s="36">
        <v>44158</v>
      </c>
      <c r="B20" s="46">
        <f t="shared" si="1"/>
        <v>7</v>
      </c>
      <c r="C20" s="47">
        <f t="shared" si="2"/>
        <v>44670</v>
      </c>
      <c r="D20" s="48">
        <f t="shared" si="0"/>
        <v>40575.129999999997</v>
      </c>
      <c r="E20" s="68">
        <f t="shared" si="3"/>
        <v>4094.87</v>
      </c>
      <c r="F20" s="47">
        <f t="shared" si="4"/>
        <v>1403955.0400000003</v>
      </c>
      <c r="G20" s="47">
        <f t="shared" si="5"/>
        <v>1363379.9100000004</v>
      </c>
    </row>
    <row r="21" spans="1:7" x14ac:dyDescent="0.25">
      <c r="A21" s="36">
        <v>44165</v>
      </c>
      <c r="B21" s="46">
        <f t="shared" si="1"/>
        <v>7</v>
      </c>
      <c r="C21" s="47">
        <f t="shared" si="2"/>
        <v>44670</v>
      </c>
      <c r="D21" s="48">
        <f t="shared" si="0"/>
        <v>40693.480000000003</v>
      </c>
      <c r="E21" s="68">
        <f t="shared" si="3"/>
        <v>3976.52</v>
      </c>
      <c r="F21" s="47">
        <f t="shared" si="4"/>
        <v>1363379.9100000004</v>
      </c>
      <c r="G21" s="47">
        <f t="shared" si="5"/>
        <v>1322686.4300000004</v>
      </c>
    </row>
    <row r="22" spans="1:7" x14ac:dyDescent="0.25">
      <c r="A22" s="36">
        <v>44172</v>
      </c>
      <c r="B22" s="46">
        <f t="shared" si="1"/>
        <v>7</v>
      </c>
      <c r="C22" s="47">
        <f t="shared" si="2"/>
        <v>44670</v>
      </c>
      <c r="D22" s="48">
        <f t="shared" si="0"/>
        <v>40812.160000000003</v>
      </c>
      <c r="E22" s="68">
        <f t="shared" si="3"/>
        <v>3857.84</v>
      </c>
      <c r="F22" s="47">
        <f t="shared" si="4"/>
        <v>1322686.4300000004</v>
      </c>
      <c r="G22" s="47">
        <f t="shared" si="5"/>
        <v>1281874.2700000005</v>
      </c>
    </row>
    <row r="23" spans="1:7" x14ac:dyDescent="0.25">
      <c r="A23" s="36">
        <v>44179</v>
      </c>
      <c r="B23" s="46">
        <f t="shared" si="1"/>
        <v>7</v>
      </c>
      <c r="C23" s="47">
        <f t="shared" si="2"/>
        <v>44670</v>
      </c>
      <c r="D23" s="48">
        <f t="shared" si="0"/>
        <v>40931.199999999997</v>
      </c>
      <c r="E23" s="68">
        <f t="shared" si="3"/>
        <v>3738.8</v>
      </c>
      <c r="F23" s="47">
        <f t="shared" si="4"/>
        <v>1281874.2700000005</v>
      </c>
      <c r="G23" s="47">
        <f t="shared" si="5"/>
        <v>1240943.0700000005</v>
      </c>
    </row>
    <row r="24" spans="1:7" x14ac:dyDescent="0.25">
      <c r="A24" s="36">
        <v>44186</v>
      </c>
      <c r="B24" s="46">
        <f t="shared" si="1"/>
        <v>7</v>
      </c>
      <c r="C24" s="47">
        <f t="shared" si="2"/>
        <v>44670</v>
      </c>
      <c r="D24" s="48">
        <f t="shared" si="0"/>
        <v>41050.58</v>
      </c>
      <c r="E24" s="68">
        <f t="shared" si="3"/>
        <v>3619.42</v>
      </c>
      <c r="F24" s="47">
        <f t="shared" si="4"/>
        <v>1240943.0700000005</v>
      </c>
      <c r="G24" s="47">
        <f t="shared" si="5"/>
        <v>1199892.4900000005</v>
      </c>
    </row>
    <row r="25" spans="1:7" x14ac:dyDescent="0.25">
      <c r="A25" s="36">
        <v>44193</v>
      </c>
      <c r="B25" s="46">
        <f t="shared" si="1"/>
        <v>7</v>
      </c>
      <c r="C25" s="47">
        <f t="shared" si="2"/>
        <v>44670</v>
      </c>
      <c r="D25" s="48">
        <f t="shared" si="0"/>
        <v>41170.31</v>
      </c>
      <c r="E25" s="68">
        <f t="shared" si="3"/>
        <v>3499.69</v>
      </c>
      <c r="F25" s="47">
        <f t="shared" si="4"/>
        <v>1199892.4900000005</v>
      </c>
      <c r="G25" s="47">
        <f t="shared" si="5"/>
        <v>1158722.1800000004</v>
      </c>
    </row>
    <row r="26" spans="1:7" x14ac:dyDescent="0.25">
      <c r="A26" s="36">
        <v>44200</v>
      </c>
      <c r="B26" s="46">
        <f t="shared" si="1"/>
        <v>6</v>
      </c>
      <c r="C26" s="47">
        <f t="shared" si="2"/>
        <v>44670</v>
      </c>
      <c r="D26" s="48">
        <f t="shared" si="0"/>
        <v>41773.19</v>
      </c>
      <c r="E26" s="68">
        <f t="shared" si="3"/>
        <v>2896.81</v>
      </c>
      <c r="F26" s="47">
        <f t="shared" si="4"/>
        <v>1158722.1800000004</v>
      </c>
      <c r="G26" s="47">
        <f t="shared" si="5"/>
        <v>1116948.9900000005</v>
      </c>
    </row>
    <row r="27" spans="1:7" x14ac:dyDescent="0.25">
      <c r="A27" s="36">
        <v>44207</v>
      </c>
      <c r="B27" s="46">
        <f t="shared" si="1"/>
        <v>7</v>
      </c>
      <c r="C27" s="47">
        <f t="shared" si="2"/>
        <v>44670</v>
      </c>
      <c r="D27" s="48">
        <f t="shared" si="0"/>
        <v>41412.230000000003</v>
      </c>
      <c r="E27" s="68">
        <f t="shared" si="3"/>
        <v>3257.77</v>
      </c>
      <c r="F27" s="47">
        <f t="shared" si="4"/>
        <v>1116948.9900000005</v>
      </c>
      <c r="G27" s="47">
        <f t="shared" si="5"/>
        <v>1075536.7600000005</v>
      </c>
    </row>
    <row r="28" spans="1:7" x14ac:dyDescent="0.25">
      <c r="A28" s="36">
        <v>44214</v>
      </c>
      <c r="B28" s="46">
        <f t="shared" si="1"/>
        <v>7</v>
      </c>
      <c r="C28" s="47">
        <f t="shared" si="2"/>
        <v>44670</v>
      </c>
      <c r="D28" s="48">
        <f t="shared" si="0"/>
        <v>41533.019999999997</v>
      </c>
      <c r="E28" s="68">
        <f t="shared" si="3"/>
        <v>3136.98</v>
      </c>
      <c r="F28" s="47">
        <f t="shared" si="4"/>
        <v>1075536.7600000005</v>
      </c>
      <c r="G28" s="47">
        <f t="shared" si="5"/>
        <v>1034003.7400000005</v>
      </c>
    </row>
    <row r="29" spans="1:7" x14ac:dyDescent="0.25">
      <c r="A29" s="36">
        <v>44221</v>
      </c>
      <c r="B29" s="46">
        <f t="shared" si="1"/>
        <v>7</v>
      </c>
      <c r="C29" s="47">
        <f t="shared" si="2"/>
        <v>44670</v>
      </c>
      <c r="D29" s="48">
        <f t="shared" si="0"/>
        <v>41654.160000000003</v>
      </c>
      <c r="E29" s="68">
        <f t="shared" si="3"/>
        <v>3015.84</v>
      </c>
      <c r="F29" s="47">
        <f t="shared" si="4"/>
        <v>1034003.7400000005</v>
      </c>
      <c r="G29" s="47">
        <f t="shared" si="5"/>
        <v>992349.58000000042</v>
      </c>
    </row>
    <row r="30" spans="1:7" x14ac:dyDescent="0.25">
      <c r="A30" s="36">
        <v>44228</v>
      </c>
      <c r="B30" s="46">
        <f t="shared" si="1"/>
        <v>6</v>
      </c>
      <c r="C30" s="47">
        <f t="shared" si="2"/>
        <v>44670</v>
      </c>
      <c r="D30" s="48">
        <f t="shared" si="0"/>
        <v>42189.13</v>
      </c>
      <c r="E30" s="68">
        <f t="shared" si="3"/>
        <v>2480.87</v>
      </c>
      <c r="F30" s="47">
        <f t="shared" si="4"/>
        <v>992349.58000000042</v>
      </c>
      <c r="G30" s="47">
        <f t="shared" si="5"/>
        <v>950160.45000000042</v>
      </c>
    </row>
    <row r="31" spans="1:7" x14ac:dyDescent="0.25">
      <c r="A31" s="36">
        <v>44235</v>
      </c>
      <c r="B31" s="46">
        <f t="shared" si="1"/>
        <v>7</v>
      </c>
      <c r="C31" s="47">
        <f t="shared" si="2"/>
        <v>44670</v>
      </c>
      <c r="D31" s="48">
        <f t="shared" si="0"/>
        <v>41898.699999999997</v>
      </c>
      <c r="E31" s="68">
        <f t="shared" si="3"/>
        <v>2771.3</v>
      </c>
      <c r="F31" s="47">
        <f t="shared" si="4"/>
        <v>950160.45000000042</v>
      </c>
      <c r="G31" s="47">
        <f t="shared" si="5"/>
        <v>908261.75000000047</v>
      </c>
    </row>
    <row r="32" spans="1:7" x14ac:dyDescent="0.25">
      <c r="A32" s="36">
        <v>44242</v>
      </c>
      <c r="B32" s="46">
        <f t="shared" si="1"/>
        <v>7</v>
      </c>
      <c r="C32" s="47">
        <f t="shared" si="2"/>
        <v>44670</v>
      </c>
      <c r="D32" s="48">
        <f t="shared" si="0"/>
        <v>42020.9</v>
      </c>
      <c r="E32" s="68">
        <f t="shared" si="3"/>
        <v>2649.1</v>
      </c>
      <c r="F32" s="47">
        <f t="shared" si="4"/>
        <v>908261.75000000047</v>
      </c>
      <c r="G32" s="47">
        <f t="shared" si="5"/>
        <v>866240.85000000044</v>
      </c>
    </row>
    <row r="33" spans="1:7" x14ac:dyDescent="0.25">
      <c r="A33" s="36">
        <v>44249</v>
      </c>
      <c r="B33" s="46">
        <f t="shared" si="1"/>
        <v>7</v>
      </c>
      <c r="C33" s="47">
        <f t="shared" si="2"/>
        <v>44670</v>
      </c>
      <c r="D33" s="48">
        <f t="shared" si="0"/>
        <v>42143.46</v>
      </c>
      <c r="E33" s="68">
        <f t="shared" si="3"/>
        <v>2526.54</v>
      </c>
      <c r="F33" s="47">
        <f t="shared" si="4"/>
        <v>866240.85000000044</v>
      </c>
      <c r="G33" s="47">
        <f t="shared" si="5"/>
        <v>824097.39000000048</v>
      </c>
    </row>
    <row r="34" spans="1:7" x14ac:dyDescent="0.25">
      <c r="A34" s="36">
        <v>44256</v>
      </c>
      <c r="B34" s="46">
        <f t="shared" si="1"/>
        <v>9</v>
      </c>
      <c r="C34" s="47">
        <f t="shared" si="2"/>
        <v>44670</v>
      </c>
      <c r="D34" s="48">
        <f t="shared" si="0"/>
        <v>41579.629999999997</v>
      </c>
      <c r="E34" s="68">
        <f t="shared" si="3"/>
        <v>3090.37</v>
      </c>
      <c r="F34" s="47">
        <f t="shared" si="4"/>
        <v>824097.39000000048</v>
      </c>
      <c r="G34" s="47">
        <f t="shared" si="5"/>
        <v>782517.76000000047</v>
      </c>
    </row>
    <row r="35" spans="1:7" x14ac:dyDescent="0.25">
      <c r="A35" s="36">
        <v>44263</v>
      </c>
      <c r="B35" s="46">
        <f t="shared" si="1"/>
        <v>7</v>
      </c>
      <c r="C35" s="47">
        <f t="shared" si="2"/>
        <v>44670</v>
      </c>
      <c r="D35" s="48">
        <f t="shared" si="0"/>
        <v>42387.66</v>
      </c>
      <c r="E35" s="68">
        <f t="shared" si="3"/>
        <v>2282.34</v>
      </c>
      <c r="F35" s="47">
        <f t="shared" si="4"/>
        <v>782517.76000000047</v>
      </c>
      <c r="G35" s="47">
        <f t="shared" si="5"/>
        <v>740130.10000000044</v>
      </c>
    </row>
    <row r="36" spans="1:7" x14ac:dyDescent="0.25">
      <c r="A36" s="36">
        <v>44270</v>
      </c>
      <c r="B36" s="46">
        <f t="shared" si="1"/>
        <v>7</v>
      </c>
      <c r="C36" s="47">
        <f t="shared" si="2"/>
        <v>44670</v>
      </c>
      <c r="D36" s="48">
        <f t="shared" si="0"/>
        <v>42511.29</v>
      </c>
      <c r="E36" s="68">
        <f t="shared" si="3"/>
        <v>2158.71</v>
      </c>
      <c r="F36" s="47">
        <f t="shared" si="4"/>
        <v>740130.10000000044</v>
      </c>
      <c r="G36" s="47">
        <f t="shared" si="5"/>
        <v>697618.81000000041</v>
      </c>
    </row>
    <row r="37" spans="1:7" x14ac:dyDescent="0.25">
      <c r="A37" s="36">
        <v>44277</v>
      </c>
      <c r="B37" s="46">
        <f t="shared" si="1"/>
        <v>7</v>
      </c>
      <c r="C37" s="47">
        <f t="shared" si="2"/>
        <v>44670</v>
      </c>
      <c r="D37" s="48">
        <f t="shared" si="0"/>
        <v>42635.28</v>
      </c>
      <c r="E37" s="68">
        <f t="shared" si="3"/>
        <v>2034.72</v>
      </c>
      <c r="F37" s="47">
        <f t="shared" si="4"/>
        <v>697618.81000000041</v>
      </c>
      <c r="G37" s="47">
        <f t="shared" si="5"/>
        <v>654983.53000000038</v>
      </c>
    </row>
    <row r="38" spans="1:7" x14ac:dyDescent="0.25">
      <c r="A38" s="36">
        <v>44284</v>
      </c>
      <c r="B38" s="46">
        <f t="shared" si="1"/>
        <v>7</v>
      </c>
      <c r="C38" s="47">
        <f t="shared" si="2"/>
        <v>44670</v>
      </c>
      <c r="D38" s="48">
        <f t="shared" si="0"/>
        <v>42759.63</v>
      </c>
      <c r="E38" s="68">
        <f t="shared" si="3"/>
        <v>1910.37</v>
      </c>
      <c r="F38" s="47">
        <f t="shared" si="4"/>
        <v>654983.53000000038</v>
      </c>
      <c r="G38" s="47">
        <f t="shared" si="5"/>
        <v>612223.90000000037</v>
      </c>
    </row>
    <row r="39" spans="1:7" x14ac:dyDescent="0.25">
      <c r="A39" s="36">
        <v>44291</v>
      </c>
      <c r="B39" s="46">
        <f t="shared" si="1"/>
        <v>6</v>
      </c>
      <c r="C39" s="47">
        <f t="shared" si="2"/>
        <v>44670</v>
      </c>
      <c r="D39" s="48">
        <f t="shared" si="0"/>
        <v>43139.44</v>
      </c>
      <c r="E39" s="68">
        <f t="shared" si="3"/>
        <v>1530.56</v>
      </c>
      <c r="F39" s="47">
        <f t="shared" si="4"/>
        <v>612223.90000000037</v>
      </c>
      <c r="G39" s="47">
        <f t="shared" si="5"/>
        <v>569084.46000000043</v>
      </c>
    </row>
    <row r="40" spans="1:7" x14ac:dyDescent="0.25">
      <c r="A40" s="36">
        <v>44298</v>
      </c>
      <c r="B40" s="46">
        <f t="shared" si="1"/>
        <v>7</v>
      </c>
      <c r="C40" s="47">
        <f t="shared" si="2"/>
        <v>44670</v>
      </c>
      <c r="D40" s="48">
        <f t="shared" si="0"/>
        <v>43010.17</v>
      </c>
      <c r="E40" s="68">
        <f t="shared" si="3"/>
        <v>1659.83</v>
      </c>
      <c r="F40" s="47">
        <f t="shared" si="4"/>
        <v>569084.46000000043</v>
      </c>
      <c r="G40" s="47">
        <f t="shared" si="5"/>
        <v>526074.29000000039</v>
      </c>
    </row>
    <row r="41" spans="1:7" x14ac:dyDescent="0.25">
      <c r="A41" s="36">
        <v>44305</v>
      </c>
      <c r="B41" s="46">
        <f t="shared" si="1"/>
        <v>7</v>
      </c>
      <c r="C41" s="47">
        <f t="shared" si="2"/>
        <v>44670</v>
      </c>
      <c r="D41" s="48">
        <f t="shared" si="0"/>
        <v>43135.62</v>
      </c>
      <c r="E41" s="68">
        <f t="shared" si="3"/>
        <v>1534.38</v>
      </c>
      <c r="F41" s="47">
        <f t="shared" si="4"/>
        <v>526074.29000000039</v>
      </c>
      <c r="G41" s="47">
        <f t="shared" si="5"/>
        <v>482938.67000000039</v>
      </c>
    </row>
    <row r="42" spans="1:7" x14ac:dyDescent="0.25">
      <c r="A42" s="36">
        <v>44312</v>
      </c>
      <c r="B42" s="46">
        <f t="shared" si="1"/>
        <v>7</v>
      </c>
      <c r="C42" s="47">
        <f t="shared" si="2"/>
        <v>44670</v>
      </c>
      <c r="D42" s="48">
        <f t="shared" si="0"/>
        <v>43261.43</v>
      </c>
      <c r="E42" s="68">
        <f t="shared" si="3"/>
        <v>1408.57</v>
      </c>
      <c r="F42" s="47">
        <f t="shared" si="4"/>
        <v>482938.67000000039</v>
      </c>
      <c r="G42" s="47">
        <f t="shared" si="5"/>
        <v>439677.2400000004</v>
      </c>
    </row>
    <row r="43" spans="1:7" x14ac:dyDescent="0.25">
      <c r="A43" s="36">
        <v>44319</v>
      </c>
      <c r="B43" s="46">
        <f t="shared" si="1"/>
        <v>7</v>
      </c>
      <c r="C43" s="47">
        <f t="shared" si="2"/>
        <v>44670</v>
      </c>
      <c r="D43" s="48">
        <f t="shared" si="0"/>
        <v>43387.61</v>
      </c>
      <c r="E43" s="68">
        <f t="shared" si="3"/>
        <v>1282.3900000000001</v>
      </c>
      <c r="F43" s="47">
        <f t="shared" si="4"/>
        <v>439677.2400000004</v>
      </c>
      <c r="G43" s="47">
        <f t="shared" si="5"/>
        <v>396289.63000000041</v>
      </c>
    </row>
    <row r="44" spans="1:7" x14ac:dyDescent="0.25">
      <c r="A44" s="36">
        <v>44326</v>
      </c>
      <c r="B44" s="46">
        <f t="shared" si="1"/>
        <v>7</v>
      </c>
      <c r="C44" s="47">
        <f t="shared" si="2"/>
        <v>44670</v>
      </c>
      <c r="D44" s="48">
        <f t="shared" si="0"/>
        <v>43514.16</v>
      </c>
      <c r="E44" s="68">
        <f t="shared" si="3"/>
        <v>1155.8399999999999</v>
      </c>
      <c r="F44" s="47">
        <f t="shared" si="4"/>
        <v>396289.63000000041</v>
      </c>
      <c r="G44" s="47">
        <f t="shared" si="5"/>
        <v>352775.47000000044</v>
      </c>
    </row>
    <row r="45" spans="1:7" x14ac:dyDescent="0.25">
      <c r="A45" s="36">
        <v>44333</v>
      </c>
      <c r="B45" s="46">
        <f t="shared" si="1"/>
        <v>7</v>
      </c>
      <c r="C45" s="47">
        <f t="shared" si="2"/>
        <v>44670</v>
      </c>
      <c r="D45" s="48">
        <f t="shared" si="0"/>
        <v>43641.07</v>
      </c>
      <c r="E45" s="68">
        <f t="shared" si="3"/>
        <v>1028.93</v>
      </c>
      <c r="F45" s="47">
        <f t="shared" si="4"/>
        <v>352775.47000000044</v>
      </c>
      <c r="G45" s="47">
        <f t="shared" si="5"/>
        <v>309134.40000000043</v>
      </c>
    </row>
    <row r="46" spans="1:7" x14ac:dyDescent="0.25">
      <c r="A46" s="36">
        <v>44340</v>
      </c>
      <c r="B46" s="46">
        <f t="shared" si="1"/>
        <v>7</v>
      </c>
      <c r="C46" s="47">
        <f t="shared" si="2"/>
        <v>44670</v>
      </c>
      <c r="D46" s="48">
        <f t="shared" si="0"/>
        <v>43768.36</v>
      </c>
      <c r="E46" s="68">
        <f t="shared" si="3"/>
        <v>901.64</v>
      </c>
      <c r="F46" s="47">
        <f t="shared" si="4"/>
        <v>309134.40000000043</v>
      </c>
      <c r="G46" s="47">
        <f t="shared" si="5"/>
        <v>265366.04000000044</v>
      </c>
    </row>
    <row r="47" spans="1:7" x14ac:dyDescent="0.25">
      <c r="A47" s="36">
        <v>44347</v>
      </c>
      <c r="B47" s="46">
        <f t="shared" si="1"/>
        <v>6</v>
      </c>
      <c r="C47" s="47">
        <f t="shared" si="2"/>
        <v>44670</v>
      </c>
      <c r="D47" s="48">
        <f t="shared" si="0"/>
        <v>44006.58</v>
      </c>
      <c r="E47" s="68">
        <f t="shared" si="3"/>
        <v>663.42</v>
      </c>
      <c r="F47" s="47">
        <f t="shared" si="4"/>
        <v>265366.04000000044</v>
      </c>
      <c r="G47" s="47">
        <f t="shared" si="5"/>
        <v>221359.46000000043</v>
      </c>
    </row>
    <row r="48" spans="1:7" x14ac:dyDescent="0.25">
      <c r="A48" s="36">
        <v>44354</v>
      </c>
      <c r="B48" s="46">
        <f t="shared" si="1"/>
        <v>7</v>
      </c>
      <c r="C48" s="47">
        <f t="shared" si="2"/>
        <v>44670</v>
      </c>
      <c r="D48" s="48">
        <f t="shared" si="0"/>
        <v>44024.37</v>
      </c>
      <c r="E48" s="68">
        <f t="shared" si="3"/>
        <v>645.63</v>
      </c>
      <c r="F48" s="47">
        <f t="shared" si="4"/>
        <v>221359.46000000043</v>
      </c>
      <c r="G48" s="47">
        <f t="shared" si="5"/>
        <v>177335.09000000043</v>
      </c>
    </row>
    <row r="49" spans="1:7" x14ac:dyDescent="0.25">
      <c r="A49" s="36">
        <v>44361</v>
      </c>
      <c r="B49" s="46">
        <f t="shared" si="1"/>
        <v>7</v>
      </c>
      <c r="C49" s="47">
        <f t="shared" si="2"/>
        <v>44670</v>
      </c>
      <c r="D49" s="48">
        <f t="shared" si="0"/>
        <v>44152.77</v>
      </c>
      <c r="E49" s="68">
        <f t="shared" si="3"/>
        <v>517.23</v>
      </c>
      <c r="F49" s="47">
        <f t="shared" si="4"/>
        <v>177335.09000000043</v>
      </c>
      <c r="G49" s="47">
        <f t="shared" si="5"/>
        <v>133182.32000000044</v>
      </c>
    </row>
    <row r="50" spans="1:7" x14ac:dyDescent="0.25">
      <c r="A50" s="36">
        <v>44368</v>
      </c>
      <c r="B50" s="46">
        <f t="shared" si="1"/>
        <v>7</v>
      </c>
      <c r="C50" s="47">
        <f t="shared" si="2"/>
        <v>44670</v>
      </c>
      <c r="D50" s="48">
        <f t="shared" si="0"/>
        <v>44281.55</v>
      </c>
      <c r="E50" s="68">
        <f t="shared" si="3"/>
        <v>388.45</v>
      </c>
      <c r="F50" s="47">
        <f t="shared" si="4"/>
        <v>133182.32000000044</v>
      </c>
      <c r="G50" s="47">
        <f t="shared" si="5"/>
        <v>88900.770000000441</v>
      </c>
    </row>
    <row r="51" spans="1:7" x14ac:dyDescent="0.25">
      <c r="A51" s="36">
        <v>44375</v>
      </c>
      <c r="B51" s="46">
        <f t="shared" si="1"/>
        <v>7</v>
      </c>
      <c r="C51" s="47">
        <f t="shared" si="2"/>
        <v>44670</v>
      </c>
      <c r="D51" s="48">
        <f t="shared" si="0"/>
        <v>44410.71</v>
      </c>
      <c r="E51" s="68">
        <f t="shared" si="3"/>
        <v>259.29000000000002</v>
      </c>
      <c r="F51" s="47">
        <f t="shared" si="4"/>
        <v>88900.770000000441</v>
      </c>
      <c r="G51" s="47">
        <f t="shared" si="5"/>
        <v>44490.060000000442</v>
      </c>
    </row>
    <row r="52" spans="1:7" x14ac:dyDescent="0.25">
      <c r="A52" s="36">
        <v>44382</v>
      </c>
      <c r="B52" s="46">
        <f t="shared" si="1"/>
        <v>7</v>
      </c>
      <c r="C52" s="47">
        <f t="shared" si="2"/>
        <v>44670</v>
      </c>
      <c r="D52" s="48">
        <f t="shared" si="0"/>
        <v>44490.060000000442</v>
      </c>
      <c r="E52" s="68">
        <v>179.93999999955645</v>
      </c>
      <c r="F52" s="47">
        <f t="shared" si="4"/>
        <v>44490.060000000442</v>
      </c>
      <c r="G52" s="47">
        <f t="shared" si="5"/>
        <v>0</v>
      </c>
    </row>
    <row r="53" spans="1:7" x14ac:dyDescent="0.25">
      <c r="A53" s="36">
        <f t="shared" ref="A53:G56" si="6">A13</f>
        <v>44109</v>
      </c>
      <c r="B53" s="168">
        <f t="shared" si="6"/>
        <v>7</v>
      </c>
      <c r="C53" s="172">
        <f t="shared" si="6"/>
        <v>44670</v>
      </c>
      <c r="D53" s="173">
        <f t="shared" si="6"/>
        <v>39754.479999999996</v>
      </c>
      <c r="E53" s="172">
        <f t="shared" si="6"/>
        <v>4915.5200000000004</v>
      </c>
      <c r="F53" s="172">
        <f t="shared" si="6"/>
        <v>1685322.59</v>
      </c>
      <c r="G53" s="172">
        <f t="shared" si="6"/>
        <v>1645568.11</v>
      </c>
    </row>
    <row r="54" spans="1:7" x14ac:dyDescent="0.25">
      <c r="A54" s="36">
        <f t="shared" si="6"/>
        <v>44116</v>
      </c>
      <c r="B54" s="168">
        <f t="shared" si="6"/>
        <v>7</v>
      </c>
      <c r="C54" s="172">
        <f t="shared" si="6"/>
        <v>44670</v>
      </c>
      <c r="D54" s="173">
        <f t="shared" si="6"/>
        <v>39870.43</v>
      </c>
      <c r="E54" s="172">
        <f t="shared" si="6"/>
        <v>4799.57</v>
      </c>
      <c r="F54" s="172">
        <f t="shared" si="6"/>
        <v>1645568.11</v>
      </c>
      <c r="G54" s="172">
        <f t="shared" si="6"/>
        <v>1605697.6800000002</v>
      </c>
    </row>
    <row r="55" spans="1:7" x14ac:dyDescent="0.25">
      <c r="A55" s="36">
        <f>A15</f>
        <v>44123</v>
      </c>
      <c r="B55" s="168">
        <f t="shared" si="6"/>
        <v>7</v>
      </c>
      <c r="C55" s="172">
        <f t="shared" si="6"/>
        <v>44670</v>
      </c>
      <c r="D55" s="173">
        <f t="shared" si="6"/>
        <v>39986.720000000001</v>
      </c>
      <c r="E55" s="172">
        <f t="shared" si="6"/>
        <v>4683.28</v>
      </c>
      <c r="F55" s="172">
        <f t="shared" si="6"/>
        <v>1605697.6800000002</v>
      </c>
      <c r="G55" s="172">
        <f t="shared" si="6"/>
        <v>1565710.9600000002</v>
      </c>
    </row>
    <row r="56" spans="1:7" x14ac:dyDescent="0.25">
      <c r="A56" s="36">
        <v>44130</v>
      </c>
      <c r="B56" s="168">
        <f t="shared" si="6"/>
        <v>7</v>
      </c>
      <c r="C56" s="172">
        <f t="shared" si="6"/>
        <v>44670</v>
      </c>
      <c r="D56" s="173">
        <f t="shared" si="6"/>
        <v>40103.339999999997</v>
      </c>
      <c r="E56" s="172">
        <f t="shared" si="6"/>
        <v>4566.66</v>
      </c>
      <c r="F56" s="172">
        <f t="shared" si="6"/>
        <v>1565710.9600000002</v>
      </c>
      <c r="G56" s="172">
        <f t="shared" si="6"/>
        <v>1525607.62</v>
      </c>
    </row>
    <row r="57" spans="1:7" x14ac:dyDescent="0.25">
      <c r="A57" s="179">
        <v>44137</v>
      </c>
      <c r="B57" s="169">
        <f>DAYS360(A56,A57,TRUE)</f>
        <v>6</v>
      </c>
      <c r="C57" s="170">
        <f t="shared" ref="C57:C92" si="7">$F$1</f>
        <v>45451</v>
      </c>
      <c r="D57" s="171">
        <f t="shared" si="0"/>
        <v>40365.64</v>
      </c>
      <c r="E57" s="170">
        <f>ROUND(F57*$H$2*B57/360,2)</f>
        <v>5085.3599999999997</v>
      </c>
      <c r="F57" s="170">
        <f>G16</f>
        <v>1525607.62</v>
      </c>
      <c r="G57" s="170">
        <f t="shared" ref="G57:G92" si="8">F57-D57</f>
        <v>1485241.9800000002</v>
      </c>
    </row>
    <row r="58" spans="1:7" x14ac:dyDescent="0.25">
      <c r="A58" s="36">
        <v>44144</v>
      </c>
      <c r="B58" s="168">
        <f>DAYS360(A57,A58,TRUE)</f>
        <v>7</v>
      </c>
      <c r="C58" s="172">
        <f t="shared" si="7"/>
        <v>45451</v>
      </c>
      <c r="D58" s="173">
        <f t="shared" si="0"/>
        <v>39675.06</v>
      </c>
      <c r="E58" s="172">
        <f>ROUND(F58*$H$2*B58/360,2)</f>
        <v>5775.94</v>
      </c>
      <c r="F58" s="172">
        <f t="shared" ref="F58:F92" si="9">G57</f>
        <v>1485241.9800000002</v>
      </c>
      <c r="G58" s="172">
        <f t="shared" si="8"/>
        <v>1445566.9200000002</v>
      </c>
    </row>
    <row r="59" spans="1:7" x14ac:dyDescent="0.25">
      <c r="A59" s="36">
        <v>44151</v>
      </c>
      <c r="B59" s="168">
        <f t="shared" ref="B59:B92" si="10">DAYS360(A58,A59,TRUE)</f>
        <v>7</v>
      </c>
      <c r="C59" s="172">
        <f t="shared" si="7"/>
        <v>45451</v>
      </c>
      <c r="D59" s="173">
        <f t="shared" si="0"/>
        <v>39829.35</v>
      </c>
      <c r="E59" s="172">
        <f t="shared" ref="E59:E91" si="11">ROUND(F59*$H$2*B59/360,2)</f>
        <v>5621.65</v>
      </c>
      <c r="F59" s="172">
        <f t="shared" si="9"/>
        <v>1445566.9200000002</v>
      </c>
      <c r="G59" s="172">
        <f t="shared" si="8"/>
        <v>1405737.57</v>
      </c>
    </row>
    <row r="60" spans="1:7" x14ac:dyDescent="0.25">
      <c r="A60" s="36">
        <v>44158</v>
      </c>
      <c r="B60" s="168">
        <f t="shared" si="10"/>
        <v>7</v>
      </c>
      <c r="C60" s="172">
        <f t="shared" si="7"/>
        <v>45451</v>
      </c>
      <c r="D60" s="173">
        <f t="shared" si="0"/>
        <v>39984.239999999998</v>
      </c>
      <c r="E60" s="172">
        <f t="shared" si="11"/>
        <v>5466.76</v>
      </c>
      <c r="F60" s="172">
        <f t="shared" si="9"/>
        <v>1405737.57</v>
      </c>
      <c r="G60" s="172">
        <f t="shared" si="8"/>
        <v>1365753.33</v>
      </c>
    </row>
    <row r="61" spans="1:7" x14ac:dyDescent="0.25">
      <c r="A61" s="36">
        <v>44165</v>
      </c>
      <c r="B61" s="168">
        <f t="shared" si="10"/>
        <v>7</v>
      </c>
      <c r="C61" s="172">
        <f t="shared" si="7"/>
        <v>45451</v>
      </c>
      <c r="D61" s="173">
        <f t="shared" si="0"/>
        <v>40139.74</v>
      </c>
      <c r="E61" s="172">
        <f t="shared" si="11"/>
        <v>5311.26</v>
      </c>
      <c r="F61" s="172">
        <f t="shared" si="9"/>
        <v>1365753.33</v>
      </c>
      <c r="G61" s="172">
        <f t="shared" si="8"/>
        <v>1325613.5900000001</v>
      </c>
    </row>
    <row r="62" spans="1:7" x14ac:dyDescent="0.25">
      <c r="A62" s="36">
        <v>44172</v>
      </c>
      <c r="B62" s="168">
        <f t="shared" si="10"/>
        <v>7</v>
      </c>
      <c r="C62" s="172">
        <f t="shared" si="7"/>
        <v>45451</v>
      </c>
      <c r="D62" s="173">
        <f t="shared" si="0"/>
        <v>40295.839999999997</v>
      </c>
      <c r="E62" s="172">
        <f t="shared" si="11"/>
        <v>5155.16</v>
      </c>
      <c r="F62" s="172">
        <f t="shared" si="9"/>
        <v>1325613.5900000001</v>
      </c>
      <c r="G62" s="172">
        <f t="shared" si="8"/>
        <v>1285317.75</v>
      </c>
    </row>
    <row r="63" spans="1:7" x14ac:dyDescent="0.25">
      <c r="A63" s="36">
        <v>44179</v>
      </c>
      <c r="B63" s="168">
        <f t="shared" si="10"/>
        <v>7</v>
      </c>
      <c r="C63" s="172">
        <f t="shared" si="7"/>
        <v>45451</v>
      </c>
      <c r="D63" s="173">
        <f t="shared" si="0"/>
        <v>40452.54</v>
      </c>
      <c r="E63" s="172">
        <f t="shared" si="11"/>
        <v>4998.46</v>
      </c>
      <c r="F63" s="172">
        <f t="shared" si="9"/>
        <v>1285317.75</v>
      </c>
      <c r="G63" s="172">
        <f t="shared" si="8"/>
        <v>1244865.21</v>
      </c>
    </row>
    <row r="64" spans="1:7" x14ac:dyDescent="0.25">
      <c r="A64" s="36">
        <v>44186</v>
      </c>
      <c r="B64" s="168">
        <f t="shared" si="10"/>
        <v>7</v>
      </c>
      <c r="C64" s="172">
        <f t="shared" si="7"/>
        <v>45451</v>
      </c>
      <c r="D64" s="173">
        <f t="shared" si="0"/>
        <v>40609.86</v>
      </c>
      <c r="E64" s="172">
        <f t="shared" si="11"/>
        <v>4841.1400000000003</v>
      </c>
      <c r="F64" s="172">
        <f t="shared" si="9"/>
        <v>1244865.21</v>
      </c>
      <c r="G64" s="172">
        <f t="shared" si="8"/>
        <v>1204255.3499999999</v>
      </c>
    </row>
    <row r="65" spans="1:7" x14ac:dyDescent="0.25">
      <c r="A65" s="36">
        <v>44193</v>
      </c>
      <c r="B65" s="168">
        <f t="shared" si="10"/>
        <v>7</v>
      </c>
      <c r="C65" s="172">
        <f t="shared" si="7"/>
        <v>45451</v>
      </c>
      <c r="D65" s="173">
        <f t="shared" si="0"/>
        <v>40767.78</v>
      </c>
      <c r="E65" s="172">
        <f t="shared" si="11"/>
        <v>4683.22</v>
      </c>
      <c r="F65" s="172">
        <f t="shared" si="9"/>
        <v>1204255.3499999999</v>
      </c>
      <c r="G65" s="172">
        <f t="shared" si="8"/>
        <v>1163487.5699999998</v>
      </c>
    </row>
    <row r="66" spans="1:7" x14ac:dyDescent="0.25">
      <c r="A66" s="36">
        <v>44200</v>
      </c>
      <c r="B66" s="168">
        <f t="shared" si="10"/>
        <v>6</v>
      </c>
      <c r="C66" s="172">
        <f t="shared" si="7"/>
        <v>45451</v>
      </c>
      <c r="D66" s="173">
        <f t="shared" si="0"/>
        <v>41572.71</v>
      </c>
      <c r="E66" s="172">
        <f t="shared" si="11"/>
        <v>3878.29</v>
      </c>
      <c r="F66" s="172">
        <f t="shared" si="9"/>
        <v>1163487.5699999998</v>
      </c>
      <c r="G66" s="172">
        <f t="shared" si="8"/>
        <v>1121914.8599999999</v>
      </c>
    </row>
    <row r="67" spans="1:7" x14ac:dyDescent="0.25">
      <c r="A67" s="36">
        <v>44207</v>
      </c>
      <c r="B67" s="168">
        <f t="shared" si="10"/>
        <v>7</v>
      </c>
      <c r="C67" s="172">
        <f t="shared" si="7"/>
        <v>45451</v>
      </c>
      <c r="D67" s="173">
        <f t="shared" si="0"/>
        <v>41088</v>
      </c>
      <c r="E67" s="172">
        <f t="shared" si="11"/>
        <v>4363</v>
      </c>
      <c r="F67" s="172">
        <f t="shared" si="9"/>
        <v>1121914.8599999999</v>
      </c>
      <c r="G67" s="172">
        <f t="shared" si="8"/>
        <v>1080826.8599999999</v>
      </c>
    </row>
    <row r="68" spans="1:7" x14ac:dyDescent="0.25">
      <c r="A68" s="36">
        <v>44214</v>
      </c>
      <c r="B68" s="168">
        <f t="shared" si="10"/>
        <v>7</v>
      </c>
      <c r="C68" s="172">
        <f t="shared" si="7"/>
        <v>45451</v>
      </c>
      <c r="D68" s="173">
        <f t="shared" si="0"/>
        <v>41247.78</v>
      </c>
      <c r="E68" s="172">
        <f t="shared" si="11"/>
        <v>4203.22</v>
      </c>
      <c r="F68" s="172">
        <f t="shared" si="9"/>
        <v>1080826.8599999999</v>
      </c>
      <c r="G68" s="172">
        <f t="shared" si="8"/>
        <v>1039579.0799999998</v>
      </c>
    </row>
    <row r="69" spans="1:7" x14ac:dyDescent="0.25">
      <c r="A69" s="36">
        <v>44221</v>
      </c>
      <c r="B69" s="168">
        <f t="shared" si="10"/>
        <v>7</v>
      </c>
      <c r="C69" s="172">
        <f t="shared" si="7"/>
        <v>45451</v>
      </c>
      <c r="D69" s="173">
        <f t="shared" ref="D69:D92" si="12">C69-E69</f>
        <v>41408.19</v>
      </c>
      <c r="E69" s="172">
        <f t="shared" si="11"/>
        <v>4042.81</v>
      </c>
      <c r="F69" s="172">
        <f t="shared" si="9"/>
        <v>1039579.0799999998</v>
      </c>
      <c r="G69" s="172">
        <f t="shared" si="8"/>
        <v>998170.8899999999</v>
      </c>
    </row>
    <row r="70" spans="1:7" x14ac:dyDescent="0.25">
      <c r="A70" s="36">
        <v>44228</v>
      </c>
      <c r="B70" s="168">
        <f t="shared" si="10"/>
        <v>6</v>
      </c>
      <c r="C70" s="172">
        <f t="shared" si="7"/>
        <v>45451</v>
      </c>
      <c r="D70" s="173">
        <f t="shared" si="12"/>
        <v>42123.76</v>
      </c>
      <c r="E70" s="172">
        <f t="shared" si="11"/>
        <v>3327.24</v>
      </c>
      <c r="F70" s="172">
        <f t="shared" si="9"/>
        <v>998170.8899999999</v>
      </c>
      <c r="G70" s="172">
        <f t="shared" si="8"/>
        <v>956047.12999999989</v>
      </c>
    </row>
    <row r="71" spans="1:7" x14ac:dyDescent="0.25">
      <c r="A71" s="36">
        <v>44235</v>
      </c>
      <c r="B71" s="168">
        <f t="shared" si="10"/>
        <v>7</v>
      </c>
      <c r="C71" s="172">
        <f t="shared" si="7"/>
        <v>45451</v>
      </c>
      <c r="D71" s="173">
        <f t="shared" si="12"/>
        <v>41733.040000000001</v>
      </c>
      <c r="E71" s="172">
        <f t="shared" si="11"/>
        <v>3717.96</v>
      </c>
      <c r="F71" s="172">
        <f t="shared" si="9"/>
        <v>956047.12999999989</v>
      </c>
      <c r="G71" s="172">
        <f t="shared" si="8"/>
        <v>914314.08999999985</v>
      </c>
    </row>
    <row r="72" spans="1:7" x14ac:dyDescent="0.25">
      <c r="A72" s="36">
        <v>44242</v>
      </c>
      <c r="B72" s="168">
        <f t="shared" si="10"/>
        <v>7</v>
      </c>
      <c r="C72" s="172">
        <f t="shared" si="7"/>
        <v>45451</v>
      </c>
      <c r="D72" s="173">
        <f t="shared" si="12"/>
        <v>41895.33</v>
      </c>
      <c r="E72" s="172">
        <f t="shared" si="11"/>
        <v>3555.67</v>
      </c>
      <c r="F72" s="172">
        <f t="shared" si="9"/>
        <v>914314.08999999985</v>
      </c>
      <c r="G72" s="172">
        <f t="shared" si="8"/>
        <v>872418.75999999989</v>
      </c>
    </row>
    <row r="73" spans="1:7" x14ac:dyDescent="0.25">
      <c r="A73" s="36">
        <v>44249</v>
      </c>
      <c r="B73" s="168">
        <f t="shared" si="10"/>
        <v>7</v>
      </c>
      <c r="C73" s="172">
        <f t="shared" si="7"/>
        <v>45451</v>
      </c>
      <c r="D73" s="173">
        <f t="shared" si="12"/>
        <v>42058.26</v>
      </c>
      <c r="E73" s="172">
        <f t="shared" si="11"/>
        <v>3392.74</v>
      </c>
      <c r="F73" s="172">
        <f t="shared" si="9"/>
        <v>872418.75999999989</v>
      </c>
      <c r="G73" s="172">
        <f t="shared" si="8"/>
        <v>830360.49999999988</v>
      </c>
    </row>
    <row r="74" spans="1:7" x14ac:dyDescent="0.25">
      <c r="A74" s="36">
        <v>44256</v>
      </c>
      <c r="B74" s="168">
        <f t="shared" si="10"/>
        <v>9</v>
      </c>
      <c r="C74" s="172">
        <f t="shared" si="7"/>
        <v>45451</v>
      </c>
      <c r="D74" s="173">
        <f t="shared" si="12"/>
        <v>41299.199999999997</v>
      </c>
      <c r="E74" s="172">
        <f t="shared" si="11"/>
        <v>4151.8</v>
      </c>
      <c r="F74" s="172">
        <f t="shared" si="9"/>
        <v>830360.49999999988</v>
      </c>
      <c r="G74" s="172">
        <f t="shared" si="8"/>
        <v>789061.29999999993</v>
      </c>
    </row>
    <row r="75" spans="1:7" x14ac:dyDescent="0.25">
      <c r="A75" s="36">
        <v>44263</v>
      </c>
      <c r="B75" s="168">
        <f t="shared" si="10"/>
        <v>7</v>
      </c>
      <c r="C75" s="172">
        <f t="shared" si="7"/>
        <v>45451</v>
      </c>
      <c r="D75" s="173">
        <f t="shared" si="12"/>
        <v>42382.43</v>
      </c>
      <c r="E75" s="172">
        <f t="shared" si="11"/>
        <v>3068.57</v>
      </c>
      <c r="F75" s="172">
        <f t="shared" si="9"/>
        <v>789061.29999999993</v>
      </c>
      <c r="G75" s="172">
        <f t="shared" si="8"/>
        <v>746678.86999999988</v>
      </c>
    </row>
    <row r="76" spans="1:7" x14ac:dyDescent="0.25">
      <c r="A76" s="36">
        <v>44270</v>
      </c>
      <c r="B76" s="168">
        <f t="shared" si="10"/>
        <v>7</v>
      </c>
      <c r="C76" s="172">
        <f t="shared" si="7"/>
        <v>45451</v>
      </c>
      <c r="D76" s="173">
        <f t="shared" si="12"/>
        <v>42547.25</v>
      </c>
      <c r="E76" s="172">
        <f t="shared" si="11"/>
        <v>2903.75</v>
      </c>
      <c r="F76" s="172">
        <f t="shared" si="9"/>
        <v>746678.86999999988</v>
      </c>
      <c r="G76" s="172">
        <f t="shared" si="8"/>
        <v>704131.61999999988</v>
      </c>
    </row>
    <row r="77" spans="1:7" x14ac:dyDescent="0.25">
      <c r="A77" s="36">
        <v>44277</v>
      </c>
      <c r="B77" s="168">
        <f t="shared" si="10"/>
        <v>7</v>
      </c>
      <c r="C77" s="172">
        <f t="shared" si="7"/>
        <v>45451</v>
      </c>
      <c r="D77" s="173">
        <f t="shared" si="12"/>
        <v>42712.71</v>
      </c>
      <c r="E77" s="172">
        <f t="shared" si="11"/>
        <v>2738.29</v>
      </c>
      <c r="F77" s="172">
        <f t="shared" si="9"/>
        <v>704131.61999999988</v>
      </c>
      <c r="G77" s="172">
        <f t="shared" si="8"/>
        <v>661418.90999999992</v>
      </c>
    </row>
    <row r="78" spans="1:7" x14ac:dyDescent="0.25">
      <c r="A78" s="36">
        <v>44284</v>
      </c>
      <c r="B78" s="168">
        <f t="shared" si="10"/>
        <v>7</v>
      </c>
      <c r="C78" s="172">
        <f t="shared" si="7"/>
        <v>45451</v>
      </c>
      <c r="D78" s="173">
        <f t="shared" si="12"/>
        <v>42878.82</v>
      </c>
      <c r="E78" s="172">
        <f t="shared" si="11"/>
        <v>2572.1799999999998</v>
      </c>
      <c r="F78" s="172">
        <f t="shared" si="9"/>
        <v>661418.90999999992</v>
      </c>
      <c r="G78" s="172">
        <f t="shared" si="8"/>
        <v>618540.09</v>
      </c>
    </row>
    <row r="79" spans="1:7" x14ac:dyDescent="0.25">
      <c r="A79" s="36">
        <v>44291</v>
      </c>
      <c r="B79" s="168">
        <f t="shared" si="10"/>
        <v>6</v>
      </c>
      <c r="C79" s="172">
        <f t="shared" si="7"/>
        <v>45451</v>
      </c>
      <c r="D79" s="173">
        <f t="shared" si="12"/>
        <v>43389.2</v>
      </c>
      <c r="E79" s="172">
        <f t="shared" si="11"/>
        <v>2061.8000000000002</v>
      </c>
      <c r="F79" s="172">
        <f t="shared" si="9"/>
        <v>618540.09</v>
      </c>
      <c r="G79" s="172">
        <f t="shared" si="8"/>
        <v>575150.89</v>
      </c>
    </row>
    <row r="80" spans="1:7" x14ac:dyDescent="0.25">
      <c r="A80" s="36">
        <v>44298</v>
      </c>
      <c r="B80" s="168">
        <f t="shared" si="10"/>
        <v>7</v>
      </c>
      <c r="C80" s="172">
        <f t="shared" si="7"/>
        <v>45451</v>
      </c>
      <c r="D80" s="173">
        <f t="shared" si="12"/>
        <v>43214.3</v>
      </c>
      <c r="E80" s="172">
        <f t="shared" si="11"/>
        <v>2236.6999999999998</v>
      </c>
      <c r="F80" s="172">
        <f t="shared" si="9"/>
        <v>575150.89</v>
      </c>
      <c r="G80" s="172">
        <f t="shared" si="8"/>
        <v>531936.59</v>
      </c>
    </row>
    <row r="81" spans="1:7" x14ac:dyDescent="0.25">
      <c r="A81" s="36">
        <v>44305</v>
      </c>
      <c r="B81" s="168">
        <f t="shared" si="10"/>
        <v>7</v>
      </c>
      <c r="C81" s="172">
        <f t="shared" si="7"/>
        <v>45451</v>
      </c>
      <c r="D81" s="173">
        <f t="shared" si="12"/>
        <v>43382.36</v>
      </c>
      <c r="E81" s="172">
        <f t="shared" si="11"/>
        <v>2068.64</v>
      </c>
      <c r="F81" s="172">
        <f t="shared" si="9"/>
        <v>531936.59</v>
      </c>
      <c r="G81" s="172">
        <f t="shared" si="8"/>
        <v>488554.23</v>
      </c>
    </row>
    <row r="82" spans="1:7" x14ac:dyDescent="0.25">
      <c r="A82" s="36">
        <v>44312</v>
      </c>
      <c r="B82" s="168">
        <f t="shared" si="10"/>
        <v>7</v>
      </c>
      <c r="C82" s="172">
        <f t="shared" si="7"/>
        <v>45451</v>
      </c>
      <c r="D82" s="173">
        <f t="shared" si="12"/>
        <v>43551.07</v>
      </c>
      <c r="E82" s="172">
        <f t="shared" si="11"/>
        <v>1899.93</v>
      </c>
      <c r="F82" s="172">
        <f t="shared" si="9"/>
        <v>488554.23</v>
      </c>
      <c r="G82" s="172">
        <f t="shared" si="8"/>
        <v>445003.16</v>
      </c>
    </row>
    <row r="83" spans="1:7" x14ac:dyDescent="0.25">
      <c r="A83" s="36">
        <v>44319</v>
      </c>
      <c r="B83" s="168">
        <f t="shared" si="10"/>
        <v>7</v>
      </c>
      <c r="C83" s="172">
        <f t="shared" si="7"/>
        <v>45451</v>
      </c>
      <c r="D83" s="173">
        <f t="shared" si="12"/>
        <v>43720.43</v>
      </c>
      <c r="E83" s="172">
        <f t="shared" si="11"/>
        <v>1730.57</v>
      </c>
      <c r="F83" s="172">
        <f t="shared" si="9"/>
        <v>445003.16</v>
      </c>
      <c r="G83" s="172">
        <f t="shared" si="8"/>
        <v>401282.73</v>
      </c>
    </row>
    <row r="84" spans="1:7" x14ac:dyDescent="0.25">
      <c r="A84" s="36">
        <v>44326</v>
      </c>
      <c r="B84" s="168">
        <f t="shared" si="10"/>
        <v>7</v>
      </c>
      <c r="C84" s="172">
        <f t="shared" si="7"/>
        <v>45451</v>
      </c>
      <c r="D84" s="173">
        <f t="shared" si="12"/>
        <v>43890.46</v>
      </c>
      <c r="E84" s="172">
        <f t="shared" si="11"/>
        <v>1560.54</v>
      </c>
      <c r="F84" s="172">
        <f t="shared" si="9"/>
        <v>401282.73</v>
      </c>
      <c r="G84" s="172">
        <f t="shared" si="8"/>
        <v>357392.26999999996</v>
      </c>
    </row>
    <row r="85" spans="1:7" x14ac:dyDescent="0.25">
      <c r="A85" s="36">
        <v>44333</v>
      </c>
      <c r="B85" s="168">
        <f t="shared" si="10"/>
        <v>7</v>
      </c>
      <c r="C85" s="172">
        <f t="shared" si="7"/>
        <v>45451</v>
      </c>
      <c r="D85" s="173">
        <f t="shared" si="12"/>
        <v>44061.14</v>
      </c>
      <c r="E85" s="172">
        <f t="shared" si="11"/>
        <v>1389.86</v>
      </c>
      <c r="F85" s="172">
        <f t="shared" si="9"/>
        <v>357392.26999999996</v>
      </c>
      <c r="G85" s="172">
        <f t="shared" si="8"/>
        <v>313331.12999999995</v>
      </c>
    </row>
    <row r="86" spans="1:7" x14ac:dyDescent="0.25">
      <c r="A86" s="36">
        <v>44340</v>
      </c>
      <c r="B86" s="168">
        <f t="shared" si="10"/>
        <v>7</v>
      </c>
      <c r="C86" s="172">
        <f t="shared" si="7"/>
        <v>45451</v>
      </c>
      <c r="D86" s="173">
        <f t="shared" si="12"/>
        <v>44232.49</v>
      </c>
      <c r="E86" s="172">
        <f t="shared" si="11"/>
        <v>1218.51</v>
      </c>
      <c r="F86" s="172">
        <f t="shared" si="9"/>
        <v>313331.12999999995</v>
      </c>
      <c r="G86" s="172">
        <f t="shared" si="8"/>
        <v>269098.63999999996</v>
      </c>
    </row>
    <row r="87" spans="1:7" x14ac:dyDescent="0.25">
      <c r="A87" s="36">
        <v>44347</v>
      </c>
      <c r="B87" s="168">
        <f t="shared" si="10"/>
        <v>6</v>
      </c>
      <c r="C87" s="172">
        <f t="shared" si="7"/>
        <v>45451</v>
      </c>
      <c r="D87" s="173">
        <f t="shared" si="12"/>
        <v>44554</v>
      </c>
      <c r="E87" s="172">
        <f t="shared" si="11"/>
        <v>897</v>
      </c>
      <c r="F87" s="172">
        <f t="shared" si="9"/>
        <v>269098.63999999996</v>
      </c>
      <c r="G87" s="172">
        <f t="shared" si="8"/>
        <v>224544.63999999996</v>
      </c>
    </row>
    <row r="88" spans="1:7" x14ac:dyDescent="0.25">
      <c r="A88" s="36">
        <v>44354</v>
      </c>
      <c r="B88" s="168">
        <f t="shared" si="10"/>
        <v>7</v>
      </c>
      <c r="C88" s="172">
        <f t="shared" si="7"/>
        <v>45451</v>
      </c>
      <c r="D88" s="173">
        <f t="shared" si="12"/>
        <v>44577.77</v>
      </c>
      <c r="E88" s="172">
        <f t="shared" si="11"/>
        <v>873.23</v>
      </c>
      <c r="F88" s="172">
        <f t="shared" si="9"/>
        <v>224544.63999999996</v>
      </c>
      <c r="G88" s="172">
        <f t="shared" si="8"/>
        <v>179966.86999999997</v>
      </c>
    </row>
    <row r="89" spans="1:7" x14ac:dyDescent="0.25">
      <c r="A89" s="36">
        <v>44361</v>
      </c>
      <c r="B89" s="168">
        <f t="shared" si="10"/>
        <v>7</v>
      </c>
      <c r="C89" s="172">
        <f t="shared" si="7"/>
        <v>45451</v>
      </c>
      <c r="D89" s="173">
        <f t="shared" si="12"/>
        <v>44751.13</v>
      </c>
      <c r="E89" s="172">
        <f t="shared" si="11"/>
        <v>699.87</v>
      </c>
      <c r="F89" s="172">
        <f t="shared" si="9"/>
        <v>179966.86999999997</v>
      </c>
      <c r="G89" s="172">
        <f t="shared" si="8"/>
        <v>135215.73999999996</v>
      </c>
    </row>
    <row r="90" spans="1:7" x14ac:dyDescent="0.25">
      <c r="A90" s="36">
        <v>44368</v>
      </c>
      <c r="B90" s="168">
        <f t="shared" si="10"/>
        <v>7</v>
      </c>
      <c r="C90" s="172">
        <f t="shared" si="7"/>
        <v>45451</v>
      </c>
      <c r="D90" s="173">
        <f t="shared" si="12"/>
        <v>44925.16</v>
      </c>
      <c r="E90" s="172">
        <f t="shared" si="11"/>
        <v>525.84</v>
      </c>
      <c r="F90" s="172">
        <f t="shared" si="9"/>
        <v>135215.73999999996</v>
      </c>
      <c r="G90" s="172">
        <f t="shared" si="8"/>
        <v>90290.579999999958</v>
      </c>
    </row>
    <row r="91" spans="1:7" x14ac:dyDescent="0.25">
      <c r="A91" s="36">
        <v>44375</v>
      </c>
      <c r="B91" s="168">
        <f t="shared" si="10"/>
        <v>7</v>
      </c>
      <c r="C91" s="172">
        <f t="shared" si="7"/>
        <v>45451</v>
      </c>
      <c r="D91" s="173">
        <f t="shared" si="12"/>
        <v>45099.87</v>
      </c>
      <c r="E91" s="172">
        <f t="shared" si="11"/>
        <v>351.13</v>
      </c>
      <c r="F91" s="172">
        <f t="shared" si="9"/>
        <v>90290.579999999958</v>
      </c>
      <c r="G91" s="172">
        <f t="shared" si="8"/>
        <v>45190.709999999955</v>
      </c>
    </row>
    <row r="92" spans="1:7" x14ac:dyDescent="0.25">
      <c r="A92" s="36">
        <v>44382</v>
      </c>
      <c r="B92" s="168">
        <f t="shared" si="10"/>
        <v>7</v>
      </c>
      <c r="C92" s="172">
        <f t="shared" si="7"/>
        <v>45451</v>
      </c>
      <c r="D92" s="173">
        <f t="shared" si="12"/>
        <v>45190.709999999955</v>
      </c>
      <c r="E92" s="172">
        <v>260.29000000004658</v>
      </c>
      <c r="F92" s="172">
        <f t="shared" si="9"/>
        <v>45190.709999999955</v>
      </c>
      <c r="G92" s="172">
        <f t="shared" si="8"/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022685-9D37-4942-BF80-ACC88AC512CC}">
  <dimension ref="A1:U7"/>
  <sheetViews>
    <sheetView workbookViewId="0">
      <selection activeCell="J14" sqref="J14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.42578125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customWidth="1"/>
    <col min="21" max="21" width="132.57031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371</v>
      </c>
      <c r="D2" s="8" t="s">
        <v>71</v>
      </c>
      <c r="E2" s="8" t="s">
        <v>23</v>
      </c>
      <c r="F2" s="8" t="s">
        <v>274</v>
      </c>
      <c r="G2" s="8" t="s">
        <v>42</v>
      </c>
      <c r="H2" s="8" t="s">
        <v>105</v>
      </c>
      <c r="I2" s="8" t="s">
        <v>0</v>
      </c>
      <c r="J2" s="8" t="s">
        <v>42</v>
      </c>
      <c r="K2" s="8" t="s">
        <v>25</v>
      </c>
      <c r="L2" s="8" t="s">
        <v>392</v>
      </c>
      <c r="M2" s="8" t="s">
        <v>27</v>
      </c>
      <c r="N2" s="7" t="s">
        <v>29</v>
      </c>
      <c r="O2" s="7" t="s">
        <v>393</v>
      </c>
      <c r="P2" s="7" t="s">
        <v>45</v>
      </c>
      <c r="Q2" s="7" t="s">
        <v>374</v>
      </c>
      <c r="R2" s="7" t="s">
        <v>394</v>
      </c>
      <c r="S2" s="7" t="s">
        <v>45</v>
      </c>
      <c r="T2" s="7" t="s">
        <v>395</v>
      </c>
      <c r="U2" s="165" t="s">
        <v>38</v>
      </c>
    </row>
    <row r="3" spans="1:21" x14ac:dyDescent="0.25">
      <c r="A3" s="12" t="s">
        <v>0</v>
      </c>
      <c r="B3" s="7" t="s">
        <v>9</v>
      </c>
      <c r="C3" s="7" t="s">
        <v>371</v>
      </c>
      <c r="D3" s="8" t="s">
        <v>71</v>
      </c>
      <c r="E3" s="8" t="s">
        <v>23</v>
      </c>
      <c r="F3" s="8" t="s">
        <v>274</v>
      </c>
      <c r="G3" s="8" t="s">
        <v>42</v>
      </c>
      <c r="H3" s="8" t="s">
        <v>105</v>
      </c>
      <c r="I3" s="8" t="s">
        <v>0</v>
      </c>
      <c r="J3" s="8" t="s">
        <v>42</v>
      </c>
      <c r="K3" s="8" t="s">
        <v>31</v>
      </c>
      <c r="L3" s="8" t="s">
        <v>392</v>
      </c>
      <c r="M3" s="8" t="s">
        <v>27</v>
      </c>
      <c r="N3" s="7" t="s">
        <v>29</v>
      </c>
      <c r="O3" s="7" t="s">
        <v>393</v>
      </c>
      <c r="P3" s="7" t="s">
        <v>45</v>
      </c>
      <c r="Q3" s="7" t="s">
        <v>374</v>
      </c>
      <c r="R3" s="7" t="s">
        <v>394</v>
      </c>
      <c r="S3" s="7" t="s">
        <v>45</v>
      </c>
      <c r="T3" s="7" t="s">
        <v>395</v>
      </c>
      <c r="U3" s="165" t="s">
        <v>54</v>
      </c>
    </row>
    <row r="4" spans="1:21" ht="15.75" x14ac:dyDescent="0.25">
      <c r="A4" s="12" t="s">
        <v>0</v>
      </c>
      <c r="B4" s="7" t="s">
        <v>9</v>
      </c>
      <c r="C4" s="7" t="s">
        <v>371</v>
      </c>
      <c r="D4" s="8" t="s">
        <v>71</v>
      </c>
      <c r="E4" s="8" t="s">
        <v>23</v>
      </c>
      <c r="F4" s="8" t="s">
        <v>274</v>
      </c>
      <c r="G4" s="8" t="s">
        <v>42</v>
      </c>
      <c r="H4" s="8" t="s">
        <v>105</v>
      </c>
      <c r="I4" s="8" t="s">
        <v>0</v>
      </c>
      <c r="J4" s="8" t="s">
        <v>42</v>
      </c>
      <c r="K4" s="8" t="s">
        <v>25</v>
      </c>
      <c r="L4" s="8" t="s">
        <v>392</v>
      </c>
      <c r="M4" s="8" t="s">
        <v>27</v>
      </c>
      <c r="N4" s="7" t="s">
        <v>29</v>
      </c>
      <c r="O4" s="7" t="s">
        <v>398</v>
      </c>
      <c r="P4" s="7" t="s">
        <v>45</v>
      </c>
      <c r="Q4" s="7" t="s">
        <v>374</v>
      </c>
      <c r="R4" s="7" t="s">
        <v>399</v>
      </c>
      <c r="S4" s="7" t="s">
        <v>45</v>
      </c>
      <c r="T4" s="7" t="s">
        <v>395</v>
      </c>
      <c r="U4" s="182" t="s">
        <v>396</v>
      </c>
    </row>
    <row r="5" spans="1:21" ht="15.75" x14ac:dyDescent="0.25">
      <c r="A5" s="12" t="s">
        <v>0</v>
      </c>
      <c r="B5" s="7" t="s">
        <v>9</v>
      </c>
      <c r="C5" s="7" t="s">
        <v>371</v>
      </c>
      <c r="D5" s="8" t="s">
        <v>71</v>
      </c>
      <c r="E5" s="8" t="s">
        <v>23</v>
      </c>
      <c r="F5" s="8" t="s">
        <v>274</v>
      </c>
      <c r="G5" s="8" t="s">
        <v>42</v>
      </c>
      <c r="H5" s="8" t="s">
        <v>105</v>
      </c>
      <c r="I5" s="8" t="s">
        <v>0</v>
      </c>
      <c r="J5" s="8" t="s">
        <v>42</v>
      </c>
      <c r="K5" s="8" t="s">
        <v>31</v>
      </c>
      <c r="L5" s="8" t="s">
        <v>392</v>
      </c>
      <c r="M5" s="8" t="s">
        <v>27</v>
      </c>
      <c r="N5" s="7" t="s">
        <v>29</v>
      </c>
      <c r="O5" s="7" t="s">
        <v>398</v>
      </c>
      <c r="P5" s="7" t="s">
        <v>45</v>
      </c>
      <c r="Q5" s="7" t="s">
        <v>374</v>
      </c>
      <c r="R5" s="7" t="s">
        <v>399</v>
      </c>
      <c r="S5" s="7" t="s">
        <v>45</v>
      </c>
      <c r="T5" s="7" t="s">
        <v>395</v>
      </c>
      <c r="U5" s="182" t="s">
        <v>397</v>
      </c>
    </row>
    <row r="6" spans="1:21" ht="15.75" x14ac:dyDescent="0.25">
      <c r="A6" s="12" t="s">
        <v>0</v>
      </c>
      <c r="B6" s="7" t="s">
        <v>9</v>
      </c>
      <c r="C6" s="7" t="s">
        <v>371</v>
      </c>
      <c r="D6" s="8" t="s">
        <v>71</v>
      </c>
      <c r="E6" s="8" t="s">
        <v>23</v>
      </c>
      <c r="F6" s="8" t="s">
        <v>274</v>
      </c>
      <c r="G6" s="8" t="s">
        <v>42</v>
      </c>
      <c r="H6" s="8" t="s">
        <v>105</v>
      </c>
      <c r="I6" s="8" t="s">
        <v>0</v>
      </c>
      <c r="J6" s="8" t="s">
        <v>42</v>
      </c>
      <c r="K6" s="8" t="s">
        <v>25</v>
      </c>
      <c r="L6" s="8" t="s">
        <v>392</v>
      </c>
      <c r="M6" s="8" t="s">
        <v>27</v>
      </c>
      <c r="N6" s="7" t="s">
        <v>29</v>
      </c>
      <c r="O6" s="7" t="s">
        <v>393</v>
      </c>
      <c r="P6" s="7" t="s">
        <v>21</v>
      </c>
      <c r="Q6" s="7" t="s">
        <v>55</v>
      </c>
      <c r="R6" s="7" t="s">
        <v>394</v>
      </c>
      <c r="S6" s="7" t="s">
        <v>21</v>
      </c>
      <c r="T6" s="7" t="s">
        <v>79</v>
      </c>
      <c r="U6" s="182" t="s">
        <v>400</v>
      </c>
    </row>
    <row r="7" spans="1:21" ht="15.75" x14ac:dyDescent="0.25">
      <c r="A7" s="12" t="s">
        <v>0</v>
      </c>
      <c r="B7" s="7" t="s">
        <v>9</v>
      </c>
      <c r="C7" s="7" t="s">
        <v>371</v>
      </c>
      <c r="D7" s="8" t="s">
        <v>71</v>
      </c>
      <c r="E7" s="8" t="s">
        <v>23</v>
      </c>
      <c r="F7" s="8" t="s">
        <v>274</v>
      </c>
      <c r="G7" s="8" t="s">
        <v>42</v>
      </c>
      <c r="H7" s="8" t="s">
        <v>105</v>
      </c>
      <c r="I7" s="8" t="s">
        <v>0</v>
      </c>
      <c r="J7" s="8" t="s">
        <v>42</v>
      </c>
      <c r="K7" s="8" t="s">
        <v>31</v>
      </c>
      <c r="L7" s="8" t="s">
        <v>392</v>
      </c>
      <c r="M7" s="8" t="s">
        <v>27</v>
      </c>
      <c r="N7" s="7" t="s">
        <v>29</v>
      </c>
      <c r="O7" s="7" t="s">
        <v>393</v>
      </c>
      <c r="P7" s="7" t="s">
        <v>21</v>
      </c>
      <c r="Q7" s="7" t="s">
        <v>55</v>
      </c>
      <c r="R7" s="7" t="s">
        <v>394</v>
      </c>
      <c r="S7" s="7" t="s">
        <v>21</v>
      </c>
      <c r="T7" s="7" t="s">
        <v>79</v>
      </c>
      <c r="U7" s="182" t="s">
        <v>401</v>
      </c>
    </row>
  </sheetData>
  <pageMargins left="0.7" right="0.7" top="0.75" bottom="0.75" header="0.3" footer="0.3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5641F7-6C93-4377-A53F-E4B403E02D9E}">
  <dimension ref="A1:I50"/>
  <sheetViews>
    <sheetView zoomScale="80" zoomScaleNormal="80" workbookViewId="0">
      <pane ySplit="3" topLeftCell="A33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</cols>
  <sheetData>
    <row r="1" spans="1:9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345</v>
      </c>
      <c r="G1" s="132" t="s">
        <v>346</v>
      </c>
      <c r="H1" s="124" t="s">
        <v>149</v>
      </c>
      <c r="I1" s="132" t="s">
        <v>344</v>
      </c>
    </row>
    <row r="2" spans="1:9" x14ac:dyDescent="0.25">
      <c r="A2" s="75" t="s">
        <v>34</v>
      </c>
      <c r="B2" s="76">
        <v>0.15</v>
      </c>
      <c r="C2" s="17">
        <f>ROUNDUP(89458.2412434977,0)</f>
        <v>89459</v>
      </c>
      <c r="D2" s="125">
        <v>44102</v>
      </c>
      <c r="E2" s="124">
        <f>ROUNDUP(86485.855520599,0)</f>
        <v>86486</v>
      </c>
      <c r="F2" s="124">
        <v>56000</v>
      </c>
      <c r="G2" s="134">
        <v>44256</v>
      </c>
      <c r="H2" s="124">
        <f>ROUNDUP(77796.4467280778,0)</f>
        <v>77797</v>
      </c>
      <c r="I2" s="136">
        <v>76000</v>
      </c>
    </row>
    <row r="3" spans="1: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9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>F4-D4</f>
        <v>2000000</v>
      </c>
    </row>
    <row r="5" spans="1:9" x14ac:dyDescent="0.25">
      <c r="A5" s="36">
        <v>44060</v>
      </c>
      <c r="B5" s="46">
        <f>A5-A4</f>
        <v>14</v>
      </c>
      <c r="C5" s="47">
        <f t="shared" ref="C5:C30" si="0">$C$2</f>
        <v>89459</v>
      </c>
      <c r="D5" s="48">
        <f t="shared" ref="D5:D28" si="1">C5-E5</f>
        <v>77952.149999999994</v>
      </c>
      <c r="E5" s="68">
        <f>ROUND(F5*$B$2*B5/365,2)</f>
        <v>11506.85</v>
      </c>
      <c r="F5" s="47">
        <f>G4</f>
        <v>2000000</v>
      </c>
      <c r="G5" s="47">
        <f>F5-D5</f>
        <v>1922047.85</v>
      </c>
    </row>
    <row r="6" spans="1:9" x14ac:dyDescent="0.25">
      <c r="A6" s="36">
        <v>44074</v>
      </c>
      <c r="B6" s="46">
        <f t="shared" ref="B6:B28" si="2">A6-A5</f>
        <v>14</v>
      </c>
      <c r="C6" s="47">
        <f t="shared" si="0"/>
        <v>89459</v>
      </c>
      <c r="D6" s="48">
        <f t="shared" si="1"/>
        <v>78400.639999999999</v>
      </c>
      <c r="E6" s="68">
        <f>ROUND(F6*$B$2*B6/365,2)</f>
        <v>11058.36</v>
      </c>
      <c r="F6" s="47">
        <f t="shared" ref="F6:F28" si="3">G5</f>
        <v>1922047.85</v>
      </c>
      <c r="G6" s="47">
        <f t="shared" ref="G6:G29" si="4">F6-D6</f>
        <v>1843647.2100000002</v>
      </c>
    </row>
    <row r="7" spans="1:9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78851.709999999992</v>
      </c>
      <c r="E7" s="68">
        <f t="shared" ref="E7:E27" si="5">ROUND(F7*$B$2*B7/365,2)</f>
        <v>10607.29</v>
      </c>
      <c r="F7" s="47">
        <f t="shared" si="3"/>
        <v>1843647.2100000002</v>
      </c>
      <c r="G7" s="47">
        <f t="shared" si="4"/>
        <v>1764795.5000000002</v>
      </c>
    </row>
    <row r="8" spans="1:9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79305.38</v>
      </c>
      <c r="E8" s="68">
        <f t="shared" si="5"/>
        <v>10153.620000000001</v>
      </c>
      <c r="F8" s="47">
        <f t="shared" si="3"/>
        <v>1764795.5000000002</v>
      </c>
      <c r="G8" s="47">
        <f t="shared" si="4"/>
        <v>1685490.12</v>
      </c>
    </row>
    <row r="9" spans="1:9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79761.66</v>
      </c>
      <c r="E9" s="68">
        <f t="shared" si="5"/>
        <v>9697.34</v>
      </c>
      <c r="F9" s="47">
        <f t="shared" si="3"/>
        <v>1685490.12</v>
      </c>
      <c r="G9" s="47">
        <f t="shared" si="4"/>
        <v>1605728.4600000002</v>
      </c>
    </row>
    <row r="10" spans="1:9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80220.56</v>
      </c>
      <c r="E10" s="68">
        <f t="shared" si="5"/>
        <v>9238.44</v>
      </c>
      <c r="F10" s="47">
        <f t="shared" si="3"/>
        <v>1605728.4600000002</v>
      </c>
      <c r="G10" s="47">
        <f t="shared" si="4"/>
        <v>1525507.9000000001</v>
      </c>
    </row>
    <row r="11" spans="1:9" x14ac:dyDescent="0.25">
      <c r="A11" s="36">
        <v>44144</v>
      </c>
      <c r="B11" s="46">
        <f t="shared" si="2"/>
        <v>14</v>
      </c>
      <c r="C11" s="47">
        <f t="shared" si="0"/>
        <v>89459</v>
      </c>
      <c r="D11" s="48">
        <f t="shared" si="1"/>
        <v>80682.11</v>
      </c>
      <c r="E11" s="68">
        <f t="shared" si="5"/>
        <v>8776.89</v>
      </c>
      <c r="F11" s="47">
        <f t="shared" si="3"/>
        <v>1525507.9000000001</v>
      </c>
      <c r="G11" s="47">
        <f t="shared" si="4"/>
        <v>1444825.79</v>
      </c>
    </row>
    <row r="12" spans="1:9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81146.3</v>
      </c>
      <c r="E12" s="68">
        <f t="shared" si="5"/>
        <v>8312.7000000000007</v>
      </c>
      <c r="F12" s="47">
        <f t="shared" si="3"/>
        <v>1444825.79</v>
      </c>
      <c r="G12" s="47">
        <f t="shared" si="4"/>
        <v>1363679.49</v>
      </c>
    </row>
    <row r="13" spans="1:9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81613.17</v>
      </c>
      <c r="E13" s="68">
        <f t="shared" si="5"/>
        <v>7845.83</v>
      </c>
      <c r="F13" s="47">
        <f t="shared" si="3"/>
        <v>1363679.49</v>
      </c>
      <c r="G13" s="47">
        <f t="shared" si="4"/>
        <v>1282066.32</v>
      </c>
    </row>
    <row r="14" spans="1:9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82082.73</v>
      </c>
      <c r="E14" s="68">
        <f t="shared" si="5"/>
        <v>7376.27</v>
      </c>
      <c r="F14" s="47">
        <f t="shared" si="3"/>
        <v>1282066.32</v>
      </c>
      <c r="G14" s="47">
        <f t="shared" si="4"/>
        <v>1199983.5900000001</v>
      </c>
    </row>
    <row r="15" spans="1:9" x14ac:dyDescent="0.25">
      <c r="A15" s="36">
        <v>44200</v>
      </c>
      <c r="B15" s="46">
        <f t="shared" si="2"/>
        <v>14</v>
      </c>
      <c r="C15" s="47">
        <f t="shared" si="0"/>
        <v>89459</v>
      </c>
      <c r="D15" s="48">
        <f t="shared" si="1"/>
        <v>82554.98</v>
      </c>
      <c r="E15" s="68">
        <f t="shared" si="5"/>
        <v>6904.02</v>
      </c>
      <c r="F15" s="47">
        <f t="shared" si="3"/>
        <v>1199983.5900000001</v>
      </c>
      <c r="G15" s="47">
        <f t="shared" si="4"/>
        <v>1117428.6100000001</v>
      </c>
    </row>
    <row r="16" spans="1:9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83029.960000000006</v>
      </c>
      <c r="E16" s="68">
        <f t="shared" si="5"/>
        <v>6429.04</v>
      </c>
      <c r="F16" s="47">
        <f t="shared" si="3"/>
        <v>1117428.6100000001</v>
      </c>
      <c r="G16" s="47">
        <f t="shared" si="4"/>
        <v>1034398.6500000001</v>
      </c>
    </row>
    <row r="17" spans="1:7" x14ac:dyDescent="0.25">
      <c r="A17" s="36">
        <v>44228</v>
      </c>
      <c r="B17" s="46">
        <f t="shared" si="2"/>
        <v>14</v>
      </c>
      <c r="C17" s="47">
        <f t="shared" si="0"/>
        <v>89459</v>
      </c>
      <c r="D17" s="48">
        <f t="shared" si="1"/>
        <v>83507.67</v>
      </c>
      <c r="E17" s="68">
        <f t="shared" si="5"/>
        <v>5951.33</v>
      </c>
      <c r="F17" s="47">
        <f t="shared" si="3"/>
        <v>1034398.6500000001</v>
      </c>
      <c r="G17" s="47">
        <f t="shared" si="4"/>
        <v>950890.9800000001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83988.12</v>
      </c>
      <c r="E18" s="68">
        <f t="shared" si="5"/>
        <v>5470.88</v>
      </c>
      <c r="F18" s="47">
        <f t="shared" si="3"/>
        <v>950890.9800000001</v>
      </c>
      <c r="G18" s="47">
        <f t="shared" si="4"/>
        <v>866902.8600000001</v>
      </c>
    </row>
    <row r="19" spans="1:7" x14ac:dyDescent="0.25">
      <c r="A19" s="36">
        <v>44256</v>
      </c>
      <c r="B19" s="46">
        <f t="shared" si="2"/>
        <v>14</v>
      </c>
      <c r="C19" s="47">
        <f t="shared" si="0"/>
        <v>89459</v>
      </c>
      <c r="D19" s="48">
        <f t="shared" si="1"/>
        <v>84471.34</v>
      </c>
      <c r="E19" s="68">
        <f t="shared" si="5"/>
        <v>4987.66</v>
      </c>
      <c r="F19" s="47">
        <f t="shared" si="3"/>
        <v>866902.8600000001</v>
      </c>
      <c r="G19" s="47">
        <f t="shared" si="4"/>
        <v>782431.52000000014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84957.34</v>
      </c>
      <c r="E20" s="68">
        <f t="shared" si="5"/>
        <v>4501.66</v>
      </c>
      <c r="F20" s="47">
        <f t="shared" si="3"/>
        <v>782431.52000000014</v>
      </c>
      <c r="G20" s="47">
        <f t="shared" si="4"/>
        <v>697474.18000000017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85446.13</v>
      </c>
      <c r="E21" s="68">
        <f t="shared" si="5"/>
        <v>4012.87</v>
      </c>
      <c r="F21" s="47">
        <f t="shared" si="3"/>
        <v>697474.18000000017</v>
      </c>
      <c r="G21" s="47">
        <f t="shared" si="4"/>
        <v>612028.05000000016</v>
      </c>
    </row>
    <row r="22" spans="1:7" x14ac:dyDescent="0.25">
      <c r="A22" s="36">
        <v>44298</v>
      </c>
      <c r="B22" s="46">
        <f t="shared" si="2"/>
        <v>14</v>
      </c>
      <c r="C22" s="47">
        <f t="shared" si="0"/>
        <v>89459</v>
      </c>
      <c r="D22" s="48">
        <f t="shared" si="1"/>
        <v>85937.74</v>
      </c>
      <c r="E22" s="68">
        <f t="shared" si="5"/>
        <v>3521.26</v>
      </c>
      <c r="F22" s="47">
        <f t="shared" si="3"/>
        <v>612028.05000000016</v>
      </c>
      <c r="G22" s="47">
        <f t="shared" si="4"/>
        <v>526090.31000000017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86432.18</v>
      </c>
      <c r="E23" s="68">
        <f t="shared" si="5"/>
        <v>3026.82</v>
      </c>
      <c r="F23" s="47">
        <f t="shared" si="3"/>
        <v>526090.31000000017</v>
      </c>
      <c r="G23" s="47">
        <f t="shared" si="4"/>
        <v>439658.13000000018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86929.46</v>
      </c>
      <c r="E24" s="68">
        <f t="shared" si="5"/>
        <v>2529.54</v>
      </c>
      <c r="F24" s="47">
        <f t="shared" si="3"/>
        <v>439658.13000000018</v>
      </c>
      <c r="G24" s="47">
        <f t="shared" si="4"/>
        <v>352728.67000000016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87429.6</v>
      </c>
      <c r="E25" s="68">
        <f t="shared" si="5"/>
        <v>2029.4</v>
      </c>
      <c r="F25" s="47">
        <f t="shared" si="3"/>
        <v>352728.67000000016</v>
      </c>
      <c r="G25" s="47">
        <f t="shared" si="4"/>
        <v>265299.07000000018</v>
      </c>
    </row>
    <row r="26" spans="1:7" x14ac:dyDescent="0.25">
      <c r="A26" s="36">
        <v>44354</v>
      </c>
      <c r="B26" s="46">
        <f t="shared" si="2"/>
        <v>14</v>
      </c>
      <c r="C26" s="47">
        <f t="shared" si="0"/>
        <v>89459</v>
      </c>
      <c r="D26" s="48">
        <f t="shared" si="1"/>
        <v>87932.62</v>
      </c>
      <c r="E26" s="68">
        <f t="shared" si="5"/>
        <v>1526.38</v>
      </c>
      <c r="F26" s="47">
        <f t="shared" si="3"/>
        <v>265299.07000000018</v>
      </c>
      <c r="G26" s="47">
        <f t="shared" si="4"/>
        <v>177366.45000000019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88438.54</v>
      </c>
      <c r="E27" s="68">
        <f t="shared" si="5"/>
        <v>1020.46</v>
      </c>
      <c r="F27" s="47">
        <f t="shared" si="3"/>
        <v>177366.45000000019</v>
      </c>
      <c r="G27" s="47">
        <f t="shared" si="4"/>
        <v>88927.910000000193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88927.910000000193</v>
      </c>
      <c r="E28" s="68">
        <v>531.0899999998079</v>
      </c>
      <c r="F28" s="47">
        <f t="shared" si="3"/>
        <v>88927.910000000193</v>
      </c>
      <c r="G28" s="47">
        <f t="shared" si="4"/>
        <v>0</v>
      </c>
    </row>
    <row r="29" spans="1:7" x14ac:dyDescent="0.25">
      <c r="A29" s="36">
        <v>44088</v>
      </c>
      <c r="B29">
        <f>A7-A6</f>
        <v>14</v>
      </c>
      <c r="C29" s="47">
        <f t="shared" si="0"/>
        <v>89459</v>
      </c>
      <c r="D29" s="48">
        <f>C29-E29</f>
        <v>78851.709999999992</v>
      </c>
      <c r="E29">
        <f>ROUND(F7*$B$2*B7/365,2)</f>
        <v>10607.29</v>
      </c>
      <c r="F29" s="33">
        <f>G6</f>
        <v>1843647.2100000002</v>
      </c>
      <c r="G29" s="181">
        <f t="shared" si="4"/>
        <v>1764795.5000000002</v>
      </c>
    </row>
    <row r="30" spans="1:7" x14ac:dyDescent="0.25">
      <c r="A30" s="36">
        <v>44102</v>
      </c>
      <c r="B30" s="46">
        <f t="shared" ref="B30:B50" si="6">A30-A29</f>
        <v>14</v>
      </c>
      <c r="C30" s="47">
        <f t="shared" si="0"/>
        <v>89459</v>
      </c>
      <c r="D30" s="48">
        <f t="shared" ref="D30:D41" si="7">C30-E30</f>
        <v>79305.38</v>
      </c>
      <c r="E30" s="68">
        <f t="shared" ref="E30:E41" si="8">ROUND(F30*$B$2*B30/365,2)</f>
        <v>10153.620000000001</v>
      </c>
      <c r="F30" s="47">
        <f t="shared" ref="F30:F41" si="9">G29</f>
        <v>1764795.5000000002</v>
      </c>
      <c r="G30" s="47">
        <f t="shared" ref="G30:G41" si="10">F30-D30</f>
        <v>1685490.12</v>
      </c>
    </row>
    <row r="31" spans="1:7" x14ac:dyDescent="0.25">
      <c r="A31" s="36">
        <v>44116</v>
      </c>
      <c r="B31" s="46">
        <f t="shared" si="6"/>
        <v>14</v>
      </c>
      <c r="C31" s="47">
        <f t="shared" ref="C31:C41" si="11">$E$2</f>
        <v>86486</v>
      </c>
      <c r="D31" s="48">
        <f t="shared" si="7"/>
        <v>77110.850000000006</v>
      </c>
      <c r="E31" s="68">
        <f t="shared" si="8"/>
        <v>9375.15</v>
      </c>
      <c r="F31" s="47">
        <f>G30-F2</f>
        <v>1629490.12</v>
      </c>
      <c r="G31" s="47">
        <f t="shared" si="10"/>
        <v>1552379.27</v>
      </c>
    </row>
    <row r="32" spans="1:7" x14ac:dyDescent="0.25">
      <c r="A32" s="36">
        <v>44130</v>
      </c>
      <c r="B32" s="46">
        <f t="shared" si="6"/>
        <v>14</v>
      </c>
      <c r="C32" s="47">
        <f t="shared" si="11"/>
        <v>86486</v>
      </c>
      <c r="D32" s="48">
        <f t="shared" si="7"/>
        <v>77554.5</v>
      </c>
      <c r="E32" s="68">
        <f t="shared" si="8"/>
        <v>8931.5</v>
      </c>
      <c r="F32" s="47">
        <f t="shared" si="9"/>
        <v>1552379.27</v>
      </c>
      <c r="G32" s="47">
        <f t="shared" si="10"/>
        <v>1474824.77</v>
      </c>
    </row>
    <row r="33" spans="1:7" x14ac:dyDescent="0.25">
      <c r="A33" s="36">
        <v>44144</v>
      </c>
      <c r="B33" s="46">
        <f t="shared" si="6"/>
        <v>14</v>
      </c>
      <c r="C33" s="47">
        <f t="shared" si="11"/>
        <v>86486</v>
      </c>
      <c r="D33" s="48">
        <f t="shared" si="7"/>
        <v>78000.709999999992</v>
      </c>
      <c r="E33" s="68">
        <f t="shared" si="8"/>
        <v>8485.2900000000009</v>
      </c>
      <c r="F33" s="47">
        <f t="shared" si="9"/>
        <v>1474824.77</v>
      </c>
      <c r="G33" s="47">
        <f t="shared" si="10"/>
        <v>1396824.06</v>
      </c>
    </row>
    <row r="34" spans="1:7" x14ac:dyDescent="0.25">
      <c r="A34" s="36">
        <v>44158</v>
      </c>
      <c r="B34" s="46">
        <f t="shared" si="6"/>
        <v>14</v>
      </c>
      <c r="C34" s="47">
        <f t="shared" si="11"/>
        <v>86486</v>
      </c>
      <c r="D34" s="48">
        <f t="shared" si="7"/>
        <v>78449.48</v>
      </c>
      <c r="E34" s="68">
        <f t="shared" si="8"/>
        <v>8036.52</v>
      </c>
      <c r="F34" s="47">
        <f t="shared" si="9"/>
        <v>1396824.06</v>
      </c>
      <c r="G34" s="47">
        <f t="shared" si="10"/>
        <v>1318374.58</v>
      </c>
    </row>
    <row r="35" spans="1:7" x14ac:dyDescent="0.25">
      <c r="A35" s="36">
        <v>44172</v>
      </c>
      <c r="B35" s="46">
        <f t="shared" si="6"/>
        <v>14</v>
      </c>
      <c r="C35" s="47">
        <f t="shared" si="11"/>
        <v>86486</v>
      </c>
      <c r="D35" s="48">
        <f t="shared" si="7"/>
        <v>78900.83</v>
      </c>
      <c r="E35" s="68">
        <f t="shared" si="8"/>
        <v>7585.17</v>
      </c>
      <c r="F35" s="47">
        <f t="shared" si="9"/>
        <v>1318374.58</v>
      </c>
      <c r="G35" s="47">
        <f t="shared" si="10"/>
        <v>1239473.75</v>
      </c>
    </row>
    <row r="36" spans="1:7" x14ac:dyDescent="0.25">
      <c r="A36" s="36">
        <v>44186</v>
      </c>
      <c r="B36" s="46">
        <f t="shared" si="6"/>
        <v>14</v>
      </c>
      <c r="C36" s="47">
        <f t="shared" si="11"/>
        <v>86486</v>
      </c>
      <c r="D36" s="48">
        <f t="shared" si="7"/>
        <v>79354.78</v>
      </c>
      <c r="E36" s="68">
        <f t="shared" si="8"/>
        <v>7131.22</v>
      </c>
      <c r="F36" s="47">
        <f t="shared" si="9"/>
        <v>1239473.75</v>
      </c>
      <c r="G36" s="47">
        <f t="shared" si="10"/>
        <v>1160118.97</v>
      </c>
    </row>
    <row r="37" spans="1:7" x14ac:dyDescent="0.25">
      <c r="A37" s="36">
        <v>44200</v>
      </c>
      <c r="B37" s="46">
        <f t="shared" si="6"/>
        <v>14</v>
      </c>
      <c r="C37" s="47">
        <f t="shared" si="11"/>
        <v>86486</v>
      </c>
      <c r="D37" s="48">
        <f t="shared" si="7"/>
        <v>79811.34</v>
      </c>
      <c r="E37" s="68">
        <f t="shared" si="8"/>
        <v>6674.66</v>
      </c>
      <c r="F37" s="47">
        <f t="shared" si="9"/>
        <v>1160118.97</v>
      </c>
      <c r="G37" s="47">
        <f t="shared" si="10"/>
        <v>1080307.6299999999</v>
      </c>
    </row>
    <row r="38" spans="1:7" x14ac:dyDescent="0.25">
      <c r="A38" s="36">
        <v>44214</v>
      </c>
      <c r="B38" s="46">
        <f t="shared" si="6"/>
        <v>14</v>
      </c>
      <c r="C38" s="47">
        <f t="shared" si="11"/>
        <v>86486</v>
      </c>
      <c r="D38" s="48">
        <f t="shared" si="7"/>
        <v>80270.53</v>
      </c>
      <c r="E38" s="68">
        <f t="shared" si="8"/>
        <v>6215.47</v>
      </c>
      <c r="F38" s="47">
        <f t="shared" si="9"/>
        <v>1080307.6299999999</v>
      </c>
      <c r="G38" s="47">
        <f t="shared" si="10"/>
        <v>1000037.0999999999</v>
      </c>
    </row>
    <row r="39" spans="1:7" x14ac:dyDescent="0.25">
      <c r="A39" s="36">
        <v>44228</v>
      </c>
      <c r="B39" s="46">
        <f t="shared" si="6"/>
        <v>14</v>
      </c>
      <c r="C39" s="47">
        <f t="shared" si="11"/>
        <v>86486</v>
      </c>
      <c r="D39" s="48">
        <f t="shared" si="7"/>
        <v>80732.36</v>
      </c>
      <c r="E39" s="68">
        <f t="shared" si="8"/>
        <v>5753.64</v>
      </c>
      <c r="F39" s="47">
        <f t="shared" si="9"/>
        <v>1000037.0999999999</v>
      </c>
      <c r="G39" s="47">
        <f t="shared" si="10"/>
        <v>919304.73999999987</v>
      </c>
    </row>
    <row r="40" spans="1:7" x14ac:dyDescent="0.25">
      <c r="A40" s="36">
        <v>44242</v>
      </c>
      <c r="B40" s="46">
        <f t="shared" si="6"/>
        <v>14</v>
      </c>
      <c r="C40" s="47">
        <f t="shared" si="11"/>
        <v>86486</v>
      </c>
      <c r="D40" s="48">
        <f t="shared" si="7"/>
        <v>81196.850000000006</v>
      </c>
      <c r="E40" s="68">
        <f t="shared" si="8"/>
        <v>5289.15</v>
      </c>
      <c r="F40" s="47">
        <f t="shared" si="9"/>
        <v>919304.73999999987</v>
      </c>
      <c r="G40" s="47">
        <f t="shared" si="10"/>
        <v>838107.8899999999</v>
      </c>
    </row>
    <row r="41" spans="1:7" x14ac:dyDescent="0.25">
      <c r="A41" s="36">
        <v>44256</v>
      </c>
      <c r="B41" s="46">
        <f t="shared" si="6"/>
        <v>14</v>
      </c>
      <c r="C41" s="47">
        <f t="shared" si="11"/>
        <v>86486</v>
      </c>
      <c r="D41" s="48">
        <f t="shared" si="7"/>
        <v>81664.009999999995</v>
      </c>
      <c r="E41" s="68">
        <f t="shared" si="8"/>
        <v>4821.99</v>
      </c>
      <c r="F41" s="47">
        <f t="shared" si="9"/>
        <v>838107.8899999999</v>
      </c>
      <c r="G41" s="47">
        <f t="shared" si="10"/>
        <v>756443.87999999989</v>
      </c>
    </row>
    <row r="42" spans="1:7" x14ac:dyDescent="0.25">
      <c r="A42" s="36">
        <v>44270</v>
      </c>
      <c r="B42" s="46">
        <f t="shared" si="6"/>
        <v>14</v>
      </c>
      <c r="C42" s="47">
        <f>$H$2</f>
        <v>77797</v>
      </c>
      <c r="D42" s="48">
        <f t="shared" ref="D42:D50" si="12">C42-E42</f>
        <v>73882.12</v>
      </c>
      <c r="E42" s="68">
        <f t="shared" ref="E42:E49" si="13">ROUND(F42*$B$2*B42/365,2)</f>
        <v>3914.88</v>
      </c>
      <c r="F42" s="47">
        <f>G41-I2</f>
        <v>680443.87999999989</v>
      </c>
      <c r="G42" s="47">
        <f t="shared" ref="G42:G50" si="14">F42-D42</f>
        <v>606561.75999999989</v>
      </c>
    </row>
    <row r="43" spans="1:7" x14ac:dyDescent="0.25">
      <c r="A43" s="36">
        <v>44284</v>
      </c>
      <c r="B43" s="46">
        <f t="shared" si="6"/>
        <v>14</v>
      </c>
      <c r="C43" s="47">
        <f t="shared" ref="C43:C50" si="15">$H$2</f>
        <v>77797</v>
      </c>
      <c r="D43" s="48">
        <f t="shared" si="12"/>
        <v>74307.19</v>
      </c>
      <c r="E43" s="68">
        <f t="shared" si="13"/>
        <v>3489.81</v>
      </c>
      <c r="F43" s="47">
        <f t="shared" ref="F43:F50" si="16">G42</f>
        <v>606561.75999999989</v>
      </c>
      <c r="G43" s="47">
        <f t="shared" si="14"/>
        <v>532254.56999999983</v>
      </c>
    </row>
    <row r="44" spans="1:7" x14ac:dyDescent="0.25">
      <c r="A44" s="36">
        <v>44298</v>
      </c>
      <c r="B44" s="46">
        <f t="shared" si="6"/>
        <v>14</v>
      </c>
      <c r="C44" s="47">
        <f t="shared" si="15"/>
        <v>77797</v>
      </c>
      <c r="D44" s="48">
        <f t="shared" si="12"/>
        <v>74734.710000000006</v>
      </c>
      <c r="E44" s="68">
        <f t="shared" si="13"/>
        <v>3062.29</v>
      </c>
      <c r="F44" s="47">
        <f t="shared" si="16"/>
        <v>532254.56999999983</v>
      </c>
      <c r="G44" s="47">
        <f t="shared" si="14"/>
        <v>457519.85999999981</v>
      </c>
    </row>
    <row r="45" spans="1:7" x14ac:dyDescent="0.25">
      <c r="A45" s="36">
        <v>44312</v>
      </c>
      <c r="B45" s="46">
        <f t="shared" si="6"/>
        <v>14</v>
      </c>
      <c r="C45" s="47">
        <f t="shared" si="15"/>
        <v>77797</v>
      </c>
      <c r="D45" s="48">
        <f t="shared" si="12"/>
        <v>75164.69</v>
      </c>
      <c r="E45" s="68">
        <f t="shared" si="13"/>
        <v>2632.31</v>
      </c>
      <c r="F45" s="47">
        <f t="shared" si="16"/>
        <v>457519.85999999981</v>
      </c>
      <c r="G45" s="47">
        <f t="shared" si="14"/>
        <v>382355.16999999981</v>
      </c>
    </row>
    <row r="46" spans="1:7" x14ac:dyDescent="0.25">
      <c r="A46" s="36">
        <v>44326</v>
      </c>
      <c r="B46" s="46">
        <f t="shared" si="6"/>
        <v>14</v>
      </c>
      <c r="C46" s="47">
        <f t="shared" si="15"/>
        <v>77797</v>
      </c>
      <c r="D46" s="48">
        <f t="shared" si="12"/>
        <v>75597.149999999994</v>
      </c>
      <c r="E46" s="68">
        <f t="shared" si="13"/>
        <v>2199.85</v>
      </c>
      <c r="F46" s="47">
        <f t="shared" si="16"/>
        <v>382355.16999999981</v>
      </c>
      <c r="G46" s="47">
        <f t="shared" si="14"/>
        <v>306758.01999999979</v>
      </c>
    </row>
    <row r="47" spans="1:7" x14ac:dyDescent="0.25">
      <c r="A47" s="36">
        <v>44340</v>
      </c>
      <c r="B47" s="46">
        <f t="shared" si="6"/>
        <v>14</v>
      </c>
      <c r="C47" s="47">
        <f t="shared" si="15"/>
        <v>77797</v>
      </c>
      <c r="D47" s="48">
        <f t="shared" si="12"/>
        <v>76032.09</v>
      </c>
      <c r="E47" s="68">
        <f t="shared" si="13"/>
        <v>1764.91</v>
      </c>
      <c r="F47" s="47">
        <f t="shared" si="16"/>
        <v>306758.01999999979</v>
      </c>
      <c r="G47" s="47">
        <f t="shared" si="14"/>
        <v>230725.92999999979</v>
      </c>
    </row>
    <row r="48" spans="1:7" x14ac:dyDescent="0.25">
      <c r="A48" s="36">
        <v>44354</v>
      </c>
      <c r="B48" s="46">
        <f t="shared" si="6"/>
        <v>14</v>
      </c>
      <c r="C48" s="47">
        <f t="shared" si="15"/>
        <v>77797</v>
      </c>
      <c r="D48" s="48">
        <f t="shared" si="12"/>
        <v>76469.539999999994</v>
      </c>
      <c r="E48" s="68">
        <f t="shared" si="13"/>
        <v>1327.46</v>
      </c>
      <c r="F48" s="47">
        <f t="shared" si="16"/>
        <v>230725.92999999979</v>
      </c>
      <c r="G48" s="47">
        <f t="shared" si="14"/>
        <v>154256.38999999978</v>
      </c>
    </row>
    <row r="49" spans="1:7" x14ac:dyDescent="0.25">
      <c r="A49" s="36">
        <v>44368</v>
      </c>
      <c r="B49" s="46">
        <f t="shared" si="6"/>
        <v>14</v>
      </c>
      <c r="C49" s="47">
        <f t="shared" si="15"/>
        <v>77797</v>
      </c>
      <c r="D49" s="48">
        <f t="shared" si="12"/>
        <v>76909.5</v>
      </c>
      <c r="E49" s="68">
        <f t="shared" si="13"/>
        <v>887.5</v>
      </c>
      <c r="F49" s="47">
        <f t="shared" si="16"/>
        <v>154256.38999999978</v>
      </c>
      <c r="G49" s="47">
        <f t="shared" si="14"/>
        <v>77346.889999999781</v>
      </c>
    </row>
    <row r="50" spans="1:7" x14ac:dyDescent="0.25">
      <c r="A50" s="36">
        <v>44382</v>
      </c>
      <c r="B50" s="46">
        <f t="shared" si="6"/>
        <v>14</v>
      </c>
      <c r="C50" s="47">
        <f t="shared" si="15"/>
        <v>77797</v>
      </c>
      <c r="D50" s="48">
        <f t="shared" si="12"/>
        <v>77346.889999999781</v>
      </c>
      <c r="E50" s="68">
        <v>450.11000000022409</v>
      </c>
      <c r="F50" s="47">
        <f t="shared" si="16"/>
        <v>77346.889999999781</v>
      </c>
      <c r="G50" s="47">
        <f t="shared" si="14"/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00E1DD-0B1D-414B-B8DD-8D169E4439BA}">
  <dimension ref="A1:I50"/>
  <sheetViews>
    <sheetView zoomScale="80" zoomScaleNormal="80" workbookViewId="0">
      <pane ySplit="3" topLeftCell="A34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</cols>
  <sheetData>
    <row r="1" spans="1:9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345</v>
      </c>
      <c r="G1" s="132" t="s">
        <v>346</v>
      </c>
      <c r="H1" s="124" t="s">
        <v>149</v>
      </c>
      <c r="I1" s="132" t="s">
        <v>344</v>
      </c>
    </row>
    <row r="2" spans="1:9" x14ac:dyDescent="0.25">
      <c r="A2" s="75" t="s">
        <v>34</v>
      </c>
      <c r="B2" s="76">
        <v>0.15</v>
      </c>
      <c r="C2" s="17">
        <f>ROUNDUP(89458.48375,0)</f>
        <v>89459</v>
      </c>
      <c r="D2" s="125">
        <v>44102</v>
      </c>
      <c r="E2" s="124">
        <f>ROUNDUP(86485.782,0)</f>
        <v>86486</v>
      </c>
      <c r="F2" s="124">
        <v>56000</v>
      </c>
      <c r="G2" s="134">
        <v>44256</v>
      </c>
      <c r="H2" s="124">
        <f>ROUNDUP(77796.816685416,0)</f>
        <v>77797</v>
      </c>
      <c r="I2" s="136">
        <v>76000</v>
      </c>
    </row>
    <row r="3" spans="1: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9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>F4-D4</f>
        <v>2000000</v>
      </c>
    </row>
    <row r="5" spans="1:9" x14ac:dyDescent="0.25">
      <c r="A5" s="36">
        <v>44060</v>
      </c>
      <c r="B5" s="46">
        <f>DAYS360(A4,A5,TRUE)</f>
        <v>14</v>
      </c>
      <c r="C5" s="47">
        <f t="shared" ref="C5:C30" si="0">$C$2</f>
        <v>89459</v>
      </c>
      <c r="D5" s="48">
        <f t="shared" ref="D5:D28" si="1">C5-E5</f>
        <v>77792.33</v>
      </c>
      <c r="E5" s="68">
        <f>ROUND(F5*$B$2*B5/360,2)</f>
        <v>11666.67</v>
      </c>
      <c r="F5" s="47">
        <f>G4</f>
        <v>2000000</v>
      </c>
      <c r="G5" s="47">
        <f>F5-D5</f>
        <v>1922207.67</v>
      </c>
    </row>
    <row r="6" spans="1:9" x14ac:dyDescent="0.25">
      <c r="A6" s="36">
        <v>44074</v>
      </c>
      <c r="B6" s="46">
        <f t="shared" ref="B6:B50" si="2">DAYS360(A5,A6,TRUE)</f>
        <v>13</v>
      </c>
      <c r="C6" s="47">
        <f t="shared" si="0"/>
        <v>89459</v>
      </c>
      <c r="D6" s="48">
        <f t="shared" si="1"/>
        <v>79047.040000000008</v>
      </c>
      <c r="E6" s="68">
        <f t="shared" ref="E6:E27" si="3">ROUND(F6*$B$2*B6/360,2)</f>
        <v>10411.959999999999</v>
      </c>
      <c r="F6" s="47">
        <f t="shared" ref="F6:F28" si="4">G5</f>
        <v>1922207.67</v>
      </c>
      <c r="G6" s="47">
        <f t="shared" ref="G6:G41" si="5">F6-D6</f>
        <v>1843160.63</v>
      </c>
    </row>
    <row r="7" spans="1:9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78707.23</v>
      </c>
      <c r="E7" s="68">
        <f t="shared" si="3"/>
        <v>10751.77</v>
      </c>
      <c r="F7" s="47">
        <f t="shared" si="4"/>
        <v>1843160.63</v>
      </c>
      <c r="G7" s="47">
        <f t="shared" si="5"/>
        <v>1764453.4</v>
      </c>
    </row>
    <row r="8" spans="1:9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79166.36</v>
      </c>
      <c r="E8" s="68">
        <f t="shared" si="3"/>
        <v>10292.64</v>
      </c>
      <c r="F8" s="47">
        <f t="shared" si="4"/>
        <v>1764453.4</v>
      </c>
      <c r="G8" s="47">
        <f t="shared" si="5"/>
        <v>1685287.0399999998</v>
      </c>
    </row>
    <row r="9" spans="1:9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79628.160000000003</v>
      </c>
      <c r="E9" s="68">
        <f t="shared" si="3"/>
        <v>9830.84</v>
      </c>
      <c r="F9" s="47">
        <f t="shared" si="4"/>
        <v>1685287.0399999998</v>
      </c>
      <c r="G9" s="47">
        <f t="shared" si="5"/>
        <v>1605658.88</v>
      </c>
    </row>
    <row r="10" spans="1:9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80092.66</v>
      </c>
      <c r="E10" s="68">
        <f t="shared" si="3"/>
        <v>9366.34</v>
      </c>
      <c r="F10" s="47">
        <f t="shared" si="4"/>
        <v>1605658.88</v>
      </c>
      <c r="G10" s="47">
        <f t="shared" si="5"/>
        <v>1525566.22</v>
      </c>
    </row>
    <row r="11" spans="1:9" x14ac:dyDescent="0.25">
      <c r="A11" s="36">
        <v>44144</v>
      </c>
      <c r="B11" s="46">
        <f t="shared" si="2"/>
        <v>13</v>
      </c>
      <c r="C11" s="47">
        <f t="shared" si="0"/>
        <v>89459</v>
      </c>
      <c r="D11" s="48">
        <f t="shared" si="1"/>
        <v>81195.520000000004</v>
      </c>
      <c r="E11" s="68">
        <f t="shared" si="3"/>
        <v>8263.48</v>
      </c>
      <c r="F11" s="47">
        <f t="shared" si="4"/>
        <v>1525566.22</v>
      </c>
      <c r="G11" s="47">
        <f t="shared" si="5"/>
        <v>1444370.7</v>
      </c>
    </row>
    <row r="12" spans="1:9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81033.5</v>
      </c>
      <c r="E12" s="68">
        <f t="shared" si="3"/>
        <v>8425.5</v>
      </c>
      <c r="F12" s="47">
        <f t="shared" si="4"/>
        <v>1444370.7</v>
      </c>
      <c r="G12" s="47">
        <f t="shared" si="5"/>
        <v>1363337.2</v>
      </c>
    </row>
    <row r="13" spans="1:9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81506.2</v>
      </c>
      <c r="E13" s="68">
        <f t="shared" si="3"/>
        <v>7952.8</v>
      </c>
      <c r="F13" s="47">
        <f t="shared" si="4"/>
        <v>1363337.2</v>
      </c>
      <c r="G13" s="47">
        <f t="shared" si="5"/>
        <v>1281831</v>
      </c>
    </row>
    <row r="14" spans="1:9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81981.649999999994</v>
      </c>
      <c r="E14" s="68">
        <f t="shared" si="3"/>
        <v>7477.35</v>
      </c>
      <c r="F14" s="47">
        <f t="shared" si="4"/>
        <v>1281831</v>
      </c>
      <c r="G14" s="47">
        <f t="shared" si="5"/>
        <v>1199849.3500000001</v>
      </c>
    </row>
    <row r="15" spans="1:9" x14ac:dyDescent="0.25">
      <c r="A15" s="36">
        <v>44200</v>
      </c>
      <c r="B15" s="46">
        <f t="shared" si="2"/>
        <v>13</v>
      </c>
      <c r="C15" s="47">
        <f t="shared" si="0"/>
        <v>89459</v>
      </c>
      <c r="D15" s="48">
        <f t="shared" si="1"/>
        <v>82959.820000000007</v>
      </c>
      <c r="E15" s="68">
        <f t="shared" si="3"/>
        <v>6499.18</v>
      </c>
      <c r="F15" s="47">
        <f t="shared" si="4"/>
        <v>1199849.3500000001</v>
      </c>
      <c r="G15" s="47">
        <f t="shared" si="5"/>
        <v>1116889.53</v>
      </c>
    </row>
    <row r="16" spans="1:9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82943.81</v>
      </c>
      <c r="E16" s="68">
        <f t="shared" si="3"/>
        <v>6515.19</v>
      </c>
      <c r="F16" s="47">
        <f t="shared" si="4"/>
        <v>1116889.53</v>
      </c>
      <c r="G16" s="47">
        <f t="shared" si="5"/>
        <v>1033945.72</v>
      </c>
    </row>
    <row r="17" spans="1:7" x14ac:dyDescent="0.25">
      <c r="A17" s="36">
        <v>44228</v>
      </c>
      <c r="B17" s="46">
        <f t="shared" si="2"/>
        <v>13</v>
      </c>
      <c r="C17" s="47">
        <f t="shared" si="0"/>
        <v>89459</v>
      </c>
      <c r="D17" s="48">
        <f t="shared" si="1"/>
        <v>83858.460000000006</v>
      </c>
      <c r="E17" s="68">
        <f t="shared" si="3"/>
        <v>5600.54</v>
      </c>
      <c r="F17" s="47">
        <f t="shared" si="4"/>
        <v>1033945.72</v>
      </c>
      <c r="G17" s="47">
        <f t="shared" si="5"/>
        <v>950087.26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83916.82</v>
      </c>
      <c r="E18" s="68">
        <f t="shared" si="3"/>
        <v>5542.18</v>
      </c>
      <c r="F18" s="47">
        <f t="shared" si="4"/>
        <v>950087.26</v>
      </c>
      <c r="G18" s="47">
        <f t="shared" si="5"/>
        <v>866170.44</v>
      </c>
    </row>
    <row r="19" spans="1:7" x14ac:dyDescent="0.25">
      <c r="A19" s="36">
        <v>44256</v>
      </c>
      <c r="B19" s="46">
        <f t="shared" si="2"/>
        <v>16</v>
      </c>
      <c r="C19" s="47">
        <f t="shared" si="0"/>
        <v>89459</v>
      </c>
      <c r="D19" s="48">
        <f t="shared" si="1"/>
        <v>83684.53</v>
      </c>
      <c r="E19" s="68">
        <f t="shared" si="3"/>
        <v>5774.47</v>
      </c>
      <c r="F19" s="47">
        <f t="shared" si="4"/>
        <v>866170.44</v>
      </c>
      <c r="G19" s="47">
        <f t="shared" si="5"/>
        <v>782485.90999999992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84894.5</v>
      </c>
      <c r="E20" s="68">
        <f t="shared" si="3"/>
        <v>4564.5</v>
      </c>
      <c r="F20" s="47">
        <f t="shared" si="4"/>
        <v>782485.90999999992</v>
      </c>
      <c r="G20" s="47">
        <f t="shared" si="5"/>
        <v>697591.40999999992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85389.72</v>
      </c>
      <c r="E21" s="68">
        <f t="shared" si="3"/>
        <v>4069.28</v>
      </c>
      <c r="F21" s="47">
        <f t="shared" si="4"/>
        <v>697591.40999999992</v>
      </c>
      <c r="G21" s="47">
        <f t="shared" si="5"/>
        <v>612201.68999999994</v>
      </c>
    </row>
    <row r="22" spans="1:7" x14ac:dyDescent="0.25">
      <c r="A22" s="36">
        <v>44298</v>
      </c>
      <c r="B22" s="46">
        <f t="shared" si="2"/>
        <v>13</v>
      </c>
      <c r="C22" s="47">
        <f t="shared" si="0"/>
        <v>89459</v>
      </c>
      <c r="D22" s="48">
        <f t="shared" si="1"/>
        <v>86142.91</v>
      </c>
      <c r="E22" s="68">
        <f t="shared" si="3"/>
        <v>3316.09</v>
      </c>
      <c r="F22" s="47">
        <f t="shared" si="4"/>
        <v>612201.68999999994</v>
      </c>
      <c r="G22" s="47">
        <f t="shared" si="5"/>
        <v>526058.77999999991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86390.32</v>
      </c>
      <c r="E23" s="68">
        <f t="shared" si="3"/>
        <v>3068.68</v>
      </c>
      <c r="F23" s="47">
        <f t="shared" si="4"/>
        <v>526058.77999999991</v>
      </c>
      <c r="G23" s="47">
        <f t="shared" si="5"/>
        <v>439668.4599999999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86894.27</v>
      </c>
      <c r="E24" s="68">
        <f t="shared" si="3"/>
        <v>2564.73</v>
      </c>
      <c r="F24" s="47">
        <f t="shared" si="4"/>
        <v>439668.4599999999</v>
      </c>
      <c r="G24" s="47">
        <f t="shared" si="5"/>
        <v>352774.18999999989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87401.15</v>
      </c>
      <c r="E25" s="68">
        <f t="shared" si="3"/>
        <v>2057.85</v>
      </c>
      <c r="F25" s="47">
        <f t="shared" si="4"/>
        <v>352774.18999999989</v>
      </c>
      <c r="G25" s="47">
        <f t="shared" si="5"/>
        <v>265373.03999999992</v>
      </c>
    </row>
    <row r="26" spans="1:7" x14ac:dyDescent="0.25">
      <c r="A26" s="36">
        <v>44354</v>
      </c>
      <c r="B26" s="46">
        <f t="shared" si="2"/>
        <v>13</v>
      </c>
      <c r="C26" s="47">
        <f t="shared" si="0"/>
        <v>89459</v>
      </c>
      <c r="D26" s="48">
        <f t="shared" si="1"/>
        <v>88021.56</v>
      </c>
      <c r="E26" s="68">
        <f t="shared" si="3"/>
        <v>1437.44</v>
      </c>
      <c r="F26" s="47">
        <f t="shared" si="4"/>
        <v>265373.03999999992</v>
      </c>
      <c r="G26" s="47">
        <f t="shared" si="5"/>
        <v>177351.47999999992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88424.45</v>
      </c>
      <c r="E27" s="68">
        <f t="shared" si="3"/>
        <v>1034.55</v>
      </c>
      <c r="F27" s="47">
        <f t="shared" si="4"/>
        <v>177351.47999999992</v>
      </c>
      <c r="G27" s="47">
        <f t="shared" si="5"/>
        <v>88927.029999999926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88927.029999999926</v>
      </c>
      <c r="E28" s="68">
        <v>531.97000000006869</v>
      </c>
      <c r="F28" s="47">
        <f t="shared" si="4"/>
        <v>88927.029999999926</v>
      </c>
      <c r="G28" s="47">
        <f t="shared" si="5"/>
        <v>0</v>
      </c>
    </row>
    <row r="29" spans="1:7" x14ac:dyDescent="0.25">
      <c r="A29" s="36">
        <v>44088</v>
      </c>
      <c r="B29">
        <f>DAYS360(A6,A7,TRUE)</f>
        <v>14</v>
      </c>
      <c r="C29" s="47">
        <f t="shared" si="0"/>
        <v>89459</v>
      </c>
      <c r="D29" s="48">
        <f>C29-E29</f>
        <v>78707.23</v>
      </c>
      <c r="E29">
        <f>ROUND(F7*$B$2*B7/360,2)</f>
        <v>10751.77</v>
      </c>
      <c r="F29" s="33">
        <f>G6</f>
        <v>1843160.63</v>
      </c>
      <c r="G29" s="181">
        <f t="shared" si="5"/>
        <v>1764453.4</v>
      </c>
    </row>
    <row r="30" spans="1:7" x14ac:dyDescent="0.25">
      <c r="A30" s="36">
        <v>44102</v>
      </c>
      <c r="B30" s="46">
        <f t="shared" si="2"/>
        <v>14</v>
      </c>
      <c r="C30" s="47">
        <f t="shared" si="0"/>
        <v>89459</v>
      </c>
      <c r="D30" s="48">
        <f t="shared" ref="D30:D41" si="6">C30-E30</f>
        <v>79166.36</v>
      </c>
      <c r="E30" s="68">
        <f>ROUND(F30*$B$2*B30/360,2)</f>
        <v>10292.64</v>
      </c>
      <c r="F30" s="47">
        <f t="shared" ref="F30:F41" si="7">G29</f>
        <v>1764453.4</v>
      </c>
      <c r="G30" s="47">
        <f t="shared" si="5"/>
        <v>1685287.0399999998</v>
      </c>
    </row>
    <row r="31" spans="1:7" x14ac:dyDescent="0.25">
      <c r="A31" s="36">
        <v>44116</v>
      </c>
      <c r="B31" s="46">
        <f t="shared" si="2"/>
        <v>14</v>
      </c>
      <c r="C31" s="47">
        <f t="shared" ref="C31:C41" si="8">$E$2</f>
        <v>86486</v>
      </c>
      <c r="D31" s="48">
        <f t="shared" si="6"/>
        <v>76981.83</v>
      </c>
      <c r="E31" s="68">
        <f t="shared" ref="E31:E41" si="9">ROUND(F31*$B$2*B31/360,2)</f>
        <v>9504.17</v>
      </c>
      <c r="F31" s="47">
        <f>G30-F2</f>
        <v>1629287.0399999998</v>
      </c>
      <c r="G31" s="47">
        <f t="shared" si="5"/>
        <v>1552305.2099999997</v>
      </c>
    </row>
    <row r="32" spans="1:7" x14ac:dyDescent="0.25">
      <c r="A32" s="36">
        <v>44130</v>
      </c>
      <c r="B32" s="46">
        <f t="shared" si="2"/>
        <v>14</v>
      </c>
      <c r="C32" s="47">
        <f t="shared" si="8"/>
        <v>86486</v>
      </c>
      <c r="D32" s="48">
        <f t="shared" si="6"/>
        <v>77430.89</v>
      </c>
      <c r="E32" s="68">
        <f t="shared" si="9"/>
        <v>9055.11</v>
      </c>
      <c r="F32" s="47">
        <f t="shared" si="7"/>
        <v>1552305.2099999997</v>
      </c>
      <c r="G32" s="47">
        <f t="shared" si="5"/>
        <v>1474874.3199999998</v>
      </c>
    </row>
    <row r="33" spans="1:7" x14ac:dyDescent="0.25">
      <c r="A33" s="36">
        <v>44144</v>
      </c>
      <c r="B33" s="46">
        <f t="shared" si="2"/>
        <v>13</v>
      </c>
      <c r="C33" s="47">
        <f t="shared" si="8"/>
        <v>86486</v>
      </c>
      <c r="D33" s="48">
        <f t="shared" si="6"/>
        <v>78497.100000000006</v>
      </c>
      <c r="E33" s="68">
        <f t="shared" si="9"/>
        <v>7988.9</v>
      </c>
      <c r="F33" s="47">
        <f t="shared" si="7"/>
        <v>1474874.3199999998</v>
      </c>
      <c r="G33" s="47">
        <f t="shared" si="5"/>
        <v>1396377.2199999997</v>
      </c>
    </row>
    <row r="34" spans="1:7" x14ac:dyDescent="0.25">
      <c r="A34" s="36">
        <v>44158</v>
      </c>
      <c r="B34" s="46">
        <f t="shared" si="2"/>
        <v>14</v>
      </c>
      <c r="C34" s="47">
        <f t="shared" si="8"/>
        <v>86486</v>
      </c>
      <c r="D34" s="48">
        <f t="shared" si="6"/>
        <v>78340.47</v>
      </c>
      <c r="E34" s="68">
        <f t="shared" si="9"/>
        <v>8145.53</v>
      </c>
      <c r="F34" s="47">
        <f t="shared" si="7"/>
        <v>1396377.2199999997</v>
      </c>
      <c r="G34" s="47">
        <f t="shared" si="5"/>
        <v>1318036.7499999998</v>
      </c>
    </row>
    <row r="35" spans="1:7" x14ac:dyDescent="0.25">
      <c r="A35" s="36">
        <v>44172</v>
      </c>
      <c r="B35" s="46">
        <f t="shared" si="2"/>
        <v>14</v>
      </c>
      <c r="C35" s="47">
        <f t="shared" si="8"/>
        <v>86486</v>
      </c>
      <c r="D35" s="48">
        <f t="shared" si="6"/>
        <v>78797.45</v>
      </c>
      <c r="E35" s="68">
        <f t="shared" si="9"/>
        <v>7688.55</v>
      </c>
      <c r="F35" s="47">
        <f t="shared" si="7"/>
        <v>1318036.7499999998</v>
      </c>
      <c r="G35" s="47">
        <f t="shared" si="5"/>
        <v>1239239.2999999998</v>
      </c>
    </row>
    <row r="36" spans="1:7" x14ac:dyDescent="0.25">
      <c r="A36" s="36">
        <v>44186</v>
      </c>
      <c r="B36" s="46">
        <f t="shared" si="2"/>
        <v>14</v>
      </c>
      <c r="C36" s="47">
        <f t="shared" si="8"/>
        <v>86486</v>
      </c>
      <c r="D36" s="48">
        <f t="shared" si="6"/>
        <v>79257.100000000006</v>
      </c>
      <c r="E36" s="68">
        <f t="shared" si="9"/>
        <v>7228.9</v>
      </c>
      <c r="F36" s="47">
        <f t="shared" si="7"/>
        <v>1239239.2999999998</v>
      </c>
      <c r="G36" s="47">
        <f t="shared" si="5"/>
        <v>1159982.1999999997</v>
      </c>
    </row>
    <row r="37" spans="1:7" x14ac:dyDescent="0.25">
      <c r="A37" s="36">
        <v>44200</v>
      </c>
      <c r="B37" s="46">
        <f t="shared" si="2"/>
        <v>13</v>
      </c>
      <c r="C37" s="47">
        <f t="shared" si="8"/>
        <v>86486</v>
      </c>
      <c r="D37" s="48">
        <f t="shared" si="6"/>
        <v>80202.759999999995</v>
      </c>
      <c r="E37" s="68">
        <f t="shared" si="9"/>
        <v>6283.24</v>
      </c>
      <c r="F37" s="47">
        <f t="shared" si="7"/>
        <v>1159982.1999999997</v>
      </c>
      <c r="G37" s="47">
        <f t="shared" si="5"/>
        <v>1079779.4399999997</v>
      </c>
    </row>
    <row r="38" spans="1:7" x14ac:dyDescent="0.25">
      <c r="A38" s="36">
        <v>44214</v>
      </c>
      <c r="B38" s="46">
        <f t="shared" si="2"/>
        <v>14</v>
      </c>
      <c r="C38" s="47">
        <f t="shared" si="8"/>
        <v>86486</v>
      </c>
      <c r="D38" s="48">
        <f t="shared" si="6"/>
        <v>80187.289999999994</v>
      </c>
      <c r="E38" s="68">
        <f t="shared" si="9"/>
        <v>6298.71</v>
      </c>
      <c r="F38" s="47">
        <f t="shared" si="7"/>
        <v>1079779.4399999997</v>
      </c>
      <c r="G38" s="47">
        <f t="shared" si="5"/>
        <v>999592.14999999967</v>
      </c>
    </row>
    <row r="39" spans="1:7" x14ac:dyDescent="0.25">
      <c r="A39" s="36">
        <v>44228</v>
      </c>
      <c r="B39" s="46">
        <f t="shared" si="2"/>
        <v>13</v>
      </c>
      <c r="C39" s="47">
        <f t="shared" si="8"/>
        <v>86486</v>
      </c>
      <c r="D39" s="48">
        <f t="shared" si="6"/>
        <v>81071.539999999994</v>
      </c>
      <c r="E39" s="68">
        <f t="shared" si="9"/>
        <v>5414.46</v>
      </c>
      <c r="F39" s="47">
        <f t="shared" si="7"/>
        <v>999592.14999999967</v>
      </c>
      <c r="G39" s="47">
        <f t="shared" si="5"/>
        <v>918520.60999999964</v>
      </c>
    </row>
    <row r="40" spans="1:7" x14ac:dyDescent="0.25">
      <c r="A40" s="36">
        <v>44242</v>
      </c>
      <c r="B40" s="46">
        <f t="shared" si="2"/>
        <v>14</v>
      </c>
      <c r="C40" s="47">
        <f t="shared" si="8"/>
        <v>86486</v>
      </c>
      <c r="D40" s="48">
        <f t="shared" si="6"/>
        <v>81127.960000000006</v>
      </c>
      <c r="E40" s="68">
        <f t="shared" si="9"/>
        <v>5358.04</v>
      </c>
      <c r="F40" s="47">
        <f t="shared" si="7"/>
        <v>918520.60999999964</v>
      </c>
      <c r="G40" s="47">
        <f t="shared" si="5"/>
        <v>837392.64999999967</v>
      </c>
    </row>
    <row r="41" spans="1:7" x14ac:dyDescent="0.25">
      <c r="A41" s="36">
        <v>44256</v>
      </c>
      <c r="B41" s="46">
        <f t="shared" si="2"/>
        <v>16</v>
      </c>
      <c r="C41" s="47">
        <f t="shared" si="8"/>
        <v>86486</v>
      </c>
      <c r="D41" s="48">
        <f t="shared" si="6"/>
        <v>80903.38</v>
      </c>
      <c r="E41" s="68">
        <f t="shared" si="9"/>
        <v>5582.62</v>
      </c>
      <c r="F41" s="47">
        <f t="shared" si="7"/>
        <v>837392.64999999967</v>
      </c>
      <c r="G41" s="47">
        <f t="shared" si="5"/>
        <v>756489.26999999967</v>
      </c>
    </row>
    <row r="42" spans="1:7" x14ac:dyDescent="0.25">
      <c r="A42" s="36">
        <v>44270</v>
      </c>
      <c r="B42" s="46">
        <f t="shared" si="2"/>
        <v>14</v>
      </c>
      <c r="C42" s="47">
        <f>$H$2</f>
        <v>77797</v>
      </c>
      <c r="D42" s="48">
        <f t="shared" ref="D42:D50" si="10">C42-E42</f>
        <v>73827.48</v>
      </c>
      <c r="E42" s="68">
        <f t="shared" ref="E42:E49" si="11">ROUND(F42*$B$2*B42/360,2)</f>
        <v>3969.52</v>
      </c>
      <c r="F42" s="47">
        <f>G41-I2</f>
        <v>680489.26999999967</v>
      </c>
      <c r="G42" s="47">
        <f t="shared" ref="G42:G50" si="12">F42-D42</f>
        <v>606661.78999999969</v>
      </c>
    </row>
    <row r="43" spans="1:7" x14ac:dyDescent="0.25">
      <c r="A43" s="36">
        <v>44284</v>
      </c>
      <c r="B43" s="46">
        <f t="shared" si="2"/>
        <v>14</v>
      </c>
      <c r="C43" s="47">
        <f t="shared" ref="C43:C50" si="13">$H$2</f>
        <v>77797</v>
      </c>
      <c r="D43" s="48">
        <f t="shared" si="10"/>
        <v>74258.14</v>
      </c>
      <c r="E43" s="68">
        <f t="shared" si="11"/>
        <v>3538.86</v>
      </c>
      <c r="F43" s="47">
        <f t="shared" ref="F43:F50" si="14">G42</f>
        <v>606661.78999999969</v>
      </c>
      <c r="G43" s="47">
        <f t="shared" si="12"/>
        <v>532403.64999999967</v>
      </c>
    </row>
    <row r="44" spans="1:7" x14ac:dyDescent="0.25">
      <c r="A44" s="36">
        <v>44298</v>
      </c>
      <c r="B44" s="46">
        <f t="shared" si="2"/>
        <v>13</v>
      </c>
      <c r="C44" s="47">
        <f t="shared" si="13"/>
        <v>77797</v>
      </c>
      <c r="D44" s="48">
        <f t="shared" si="10"/>
        <v>74913.149999999994</v>
      </c>
      <c r="E44" s="68">
        <f t="shared" si="11"/>
        <v>2883.85</v>
      </c>
      <c r="F44" s="47">
        <f t="shared" si="14"/>
        <v>532403.64999999967</v>
      </c>
      <c r="G44" s="47">
        <f t="shared" si="12"/>
        <v>457490.49999999965</v>
      </c>
    </row>
    <row r="45" spans="1:7" x14ac:dyDescent="0.25">
      <c r="A45" s="36">
        <v>44312</v>
      </c>
      <c r="B45" s="46">
        <f t="shared" si="2"/>
        <v>14</v>
      </c>
      <c r="C45" s="47">
        <f t="shared" si="13"/>
        <v>77797</v>
      </c>
      <c r="D45" s="48">
        <f t="shared" si="10"/>
        <v>75128.31</v>
      </c>
      <c r="E45" s="68">
        <f t="shared" si="11"/>
        <v>2668.69</v>
      </c>
      <c r="F45" s="47">
        <f t="shared" si="14"/>
        <v>457490.49999999965</v>
      </c>
      <c r="G45" s="47">
        <f t="shared" si="12"/>
        <v>382362.18999999965</v>
      </c>
    </row>
    <row r="46" spans="1:7" x14ac:dyDescent="0.25">
      <c r="A46" s="36">
        <v>44326</v>
      </c>
      <c r="B46" s="46">
        <f t="shared" si="2"/>
        <v>14</v>
      </c>
      <c r="C46" s="47">
        <f t="shared" si="13"/>
        <v>77797</v>
      </c>
      <c r="D46" s="48">
        <f t="shared" si="10"/>
        <v>75566.55</v>
      </c>
      <c r="E46" s="68">
        <f t="shared" si="11"/>
        <v>2230.4499999999998</v>
      </c>
      <c r="F46" s="47">
        <f t="shared" si="14"/>
        <v>382362.18999999965</v>
      </c>
      <c r="G46" s="47">
        <f t="shared" si="12"/>
        <v>306795.63999999966</v>
      </c>
    </row>
    <row r="47" spans="1:7" x14ac:dyDescent="0.25">
      <c r="A47" s="36">
        <v>44340</v>
      </c>
      <c r="B47" s="46">
        <f t="shared" si="2"/>
        <v>14</v>
      </c>
      <c r="C47" s="47">
        <f t="shared" si="13"/>
        <v>77797</v>
      </c>
      <c r="D47" s="48">
        <f t="shared" si="10"/>
        <v>76007.360000000001</v>
      </c>
      <c r="E47" s="68">
        <f t="shared" si="11"/>
        <v>1789.64</v>
      </c>
      <c r="F47" s="47">
        <f t="shared" si="14"/>
        <v>306795.63999999966</v>
      </c>
      <c r="G47" s="47">
        <f t="shared" si="12"/>
        <v>230788.27999999968</v>
      </c>
    </row>
    <row r="48" spans="1:7" x14ac:dyDescent="0.25">
      <c r="A48" s="36">
        <v>44354</v>
      </c>
      <c r="B48" s="46">
        <f t="shared" si="2"/>
        <v>13</v>
      </c>
      <c r="C48" s="47">
        <f t="shared" si="13"/>
        <v>77797</v>
      </c>
      <c r="D48" s="48">
        <f t="shared" si="10"/>
        <v>76546.899999999994</v>
      </c>
      <c r="E48" s="68">
        <f t="shared" si="11"/>
        <v>1250.0999999999999</v>
      </c>
      <c r="F48" s="47">
        <f t="shared" si="14"/>
        <v>230788.27999999968</v>
      </c>
      <c r="G48" s="47">
        <f t="shared" si="12"/>
        <v>154241.37999999968</v>
      </c>
    </row>
    <row r="49" spans="1:7" x14ac:dyDescent="0.25">
      <c r="A49" s="36">
        <v>44368</v>
      </c>
      <c r="B49" s="46">
        <f t="shared" si="2"/>
        <v>14</v>
      </c>
      <c r="C49" s="47">
        <f t="shared" si="13"/>
        <v>77797</v>
      </c>
      <c r="D49" s="48">
        <f t="shared" si="10"/>
        <v>76897.259999999995</v>
      </c>
      <c r="E49" s="68">
        <f t="shared" si="11"/>
        <v>899.74</v>
      </c>
      <c r="F49" s="47">
        <f t="shared" si="14"/>
        <v>154241.37999999968</v>
      </c>
      <c r="G49" s="47">
        <f t="shared" si="12"/>
        <v>77344.11999999969</v>
      </c>
    </row>
    <row r="50" spans="1:7" x14ac:dyDescent="0.25">
      <c r="A50" s="36">
        <v>44382</v>
      </c>
      <c r="B50" s="46">
        <f t="shared" si="2"/>
        <v>14</v>
      </c>
      <c r="C50" s="47">
        <f t="shared" si="13"/>
        <v>77797</v>
      </c>
      <c r="D50" s="48">
        <f t="shared" si="10"/>
        <v>77344.11999999969</v>
      </c>
      <c r="E50" s="68">
        <v>452.88000000031201</v>
      </c>
      <c r="F50" s="47">
        <f t="shared" si="14"/>
        <v>77344.11999999969</v>
      </c>
      <c r="G50" s="47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F39053-9D55-44B2-9B0F-6A6CDDE779FA}">
  <dimension ref="A1:M48"/>
  <sheetViews>
    <sheetView zoomScale="80" zoomScaleNormal="80" workbookViewId="0">
      <pane ySplit="3" topLeftCell="A16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6.7109375" bestFit="1" customWidth="1"/>
    <col min="9" max="9" width="10.5703125" bestFit="1" customWidth="1"/>
    <col min="10" max="10" width="17.42578125" bestFit="1" customWidth="1"/>
    <col min="11" max="11" width="15" bestFit="1" customWidth="1"/>
    <col min="12" max="12" width="14.42578125" bestFit="1" customWidth="1"/>
    <col min="13" max="13" width="12.42578125" bestFit="1" customWidth="1"/>
  </cols>
  <sheetData>
    <row r="1" spans="1:13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345</v>
      </c>
      <c r="G1" s="124" t="s">
        <v>362</v>
      </c>
      <c r="H1" s="124" t="s">
        <v>350</v>
      </c>
      <c r="I1" s="132" t="s">
        <v>346</v>
      </c>
      <c r="J1" s="124" t="s">
        <v>149</v>
      </c>
      <c r="K1" s="132" t="s">
        <v>344</v>
      </c>
      <c r="L1" s="124" t="s">
        <v>363</v>
      </c>
      <c r="M1" s="124" t="s">
        <v>351</v>
      </c>
    </row>
    <row r="2" spans="1:13" x14ac:dyDescent="0.25">
      <c r="A2" s="75" t="s">
        <v>34</v>
      </c>
      <c r="B2" s="76">
        <v>0.15</v>
      </c>
      <c r="C2" s="17">
        <f>ROUNDUP(89458.2412434977,0)</f>
        <v>89459</v>
      </c>
      <c r="D2" s="125">
        <v>44114</v>
      </c>
      <c r="E2" s="124">
        <f>ROUNDUP(86500.4295366097,0)</f>
        <v>86501</v>
      </c>
      <c r="F2" s="124">
        <v>56000</v>
      </c>
      <c r="G2" s="124">
        <f>D2-A8</f>
        <v>12</v>
      </c>
      <c r="H2" s="124">
        <f>A29-D2</f>
        <v>2</v>
      </c>
      <c r="I2" s="134">
        <v>44226</v>
      </c>
      <c r="J2" s="124">
        <f>ROUNDUP(79959.5833333333,0)</f>
        <v>79960</v>
      </c>
      <c r="K2" s="136">
        <v>76000</v>
      </c>
      <c r="L2">
        <f>I2-A36</f>
        <v>12</v>
      </c>
      <c r="M2">
        <f>A37-I2</f>
        <v>2</v>
      </c>
    </row>
    <row r="3" spans="1:13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3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 t="shared" ref="G4:G30" si="0">F4-D4</f>
        <v>2000000</v>
      </c>
    </row>
    <row r="5" spans="1:13" x14ac:dyDescent="0.25">
      <c r="A5" s="36">
        <v>44060</v>
      </c>
      <c r="B5" s="46">
        <f>A5-A4</f>
        <v>14</v>
      </c>
      <c r="C5" s="47">
        <f t="shared" ref="C5:C28" si="1">$C$2</f>
        <v>89459</v>
      </c>
      <c r="D5" s="48">
        <f t="shared" ref="D5:D28" si="2">C5-E5</f>
        <v>77952.149999999994</v>
      </c>
      <c r="E5" s="68">
        <f>ROUND(F5*$B$2*B5/365,2)</f>
        <v>11506.85</v>
      </c>
      <c r="F5" s="47">
        <f>G4</f>
        <v>2000000</v>
      </c>
      <c r="G5" s="47">
        <f t="shared" si="0"/>
        <v>1922047.85</v>
      </c>
    </row>
    <row r="6" spans="1:13" x14ac:dyDescent="0.25">
      <c r="A6" s="36">
        <v>44074</v>
      </c>
      <c r="B6" s="46">
        <f t="shared" ref="B6:B28" si="3">A6-A5</f>
        <v>14</v>
      </c>
      <c r="C6" s="47">
        <f t="shared" si="1"/>
        <v>89459</v>
      </c>
      <c r="D6" s="48">
        <f t="shared" si="2"/>
        <v>78400.639999999999</v>
      </c>
      <c r="E6" s="68">
        <f>ROUND(F6*$B$2*B6/365,2)</f>
        <v>11058.36</v>
      </c>
      <c r="F6" s="47">
        <f t="shared" ref="F6:F28" si="4">G5</f>
        <v>1922047.85</v>
      </c>
      <c r="G6" s="47">
        <f t="shared" si="0"/>
        <v>1843647.2100000002</v>
      </c>
    </row>
    <row r="7" spans="1:13" x14ac:dyDescent="0.25">
      <c r="A7" s="36">
        <v>44088</v>
      </c>
      <c r="B7" s="46">
        <f t="shared" si="3"/>
        <v>14</v>
      </c>
      <c r="C7" s="47">
        <f t="shared" si="1"/>
        <v>89459</v>
      </c>
      <c r="D7" s="48">
        <f t="shared" si="2"/>
        <v>78851.709999999992</v>
      </c>
      <c r="E7" s="68">
        <f t="shared" ref="E7:E27" si="5">ROUND(F7*$B$2*B7/365,2)</f>
        <v>10607.29</v>
      </c>
      <c r="F7" s="47">
        <f t="shared" si="4"/>
        <v>1843647.2100000002</v>
      </c>
      <c r="G7" s="47">
        <f t="shared" si="0"/>
        <v>1764795.5000000002</v>
      </c>
    </row>
    <row r="8" spans="1:13" x14ac:dyDescent="0.25">
      <c r="A8" s="36">
        <v>44102</v>
      </c>
      <c r="B8" s="46">
        <f t="shared" si="3"/>
        <v>14</v>
      </c>
      <c r="C8" s="47">
        <f t="shared" si="1"/>
        <v>89459</v>
      </c>
      <c r="D8" s="48">
        <f t="shared" si="2"/>
        <v>79305.38</v>
      </c>
      <c r="E8" s="68">
        <f t="shared" si="5"/>
        <v>10153.620000000001</v>
      </c>
      <c r="F8" s="47">
        <f t="shared" si="4"/>
        <v>1764795.5000000002</v>
      </c>
      <c r="G8" s="47">
        <f t="shared" si="0"/>
        <v>1685490.12</v>
      </c>
    </row>
    <row r="9" spans="1:13" x14ac:dyDescent="0.25">
      <c r="A9" s="36">
        <v>44116</v>
      </c>
      <c r="B9" s="46">
        <f t="shared" si="3"/>
        <v>14</v>
      </c>
      <c r="C9" s="47">
        <f t="shared" si="1"/>
        <v>89459</v>
      </c>
      <c r="D9" s="48">
        <f t="shared" si="2"/>
        <v>79761.66</v>
      </c>
      <c r="E9" s="68">
        <f t="shared" si="5"/>
        <v>9697.34</v>
      </c>
      <c r="F9" s="47">
        <f t="shared" si="4"/>
        <v>1685490.12</v>
      </c>
      <c r="G9" s="47">
        <f t="shared" si="0"/>
        <v>1605728.4600000002</v>
      </c>
    </row>
    <row r="10" spans="1:13" x14ac:dyDescent="0.25">
      <c r="A10" s="36">
        <v>44130</v>
      </c>
      <c r="B10" s="46">
        <f t="shared" si="3"/>
        <v>14</v>
      </c>
      <c r="C10" s="47">
        <f t="shared" si="1"/>
        <v>89459</v>
      </c>
      <c r="D10" s="48">
        <f t="shared" si="2"/>
        <v>80220.56</v>
      </c>
      <c r="E10" s="68">
        <f t="shared" si="5"/>
        <v>9238.44</v>
      </c>
      <c r="F10" s="47">
        <f t="shared" si="4"/>
        <v>1605728.4600000002</v>
      </c>
      <c r="G10" s="47">
        <f t="shared" si="0"/>
        <v>1525507.9000000001</v>
      </c>
    </row>
    <row r="11" spans="1:13" x14ac:dyDescent="0.25">
      <c r="A11" s="36">
        <v>44144</v>
      </c>
      <c r="B11" s="46">
        <f t="shared" si="3"/>
        <v>14</v>
      </c>
      <c r="C11" s="47">
        <f t="shared" si="1"/>
        <v>89459</v>
      </c>
      <c r="D11" s="48">
        <f t="shared" si="2"/>
        <v>80682.11</v>
      </c>
      <c r="E11" s="68">
        <f t="shared" si="5"/>
        <v>8776.89</v>
      </c>
      <c r="F11" s="47">
        <f t="shared" si="4"/>
        <v>1525507.9000000001</v>
      </c>
      <c r="G11" s="47">
        <f t="shared" si="0"/>
        <v>1444825.79</v>
      </c>
    </row>
    <row r="12" spans="1:13" x14ac:dyDescent="0.25">
      <c r="A12" s="36">
        <v>44158</v>
      </c>
      <c r="B12" s="46">
        <f t="shared" si="3"/>
        <v>14</v>
      </c>
      <c r="C12" s="47">
        <f t="shared" si="1"/>
        <v>89459</v>
      </c>
      <c r="D12" s="48">
        <f t="shared" si="2"/>
        <v>81146.3</v>
      </c>
      <c r="E12" s="68">
        <f t="shared" si="5"/>
        <v>8312.7000000000007</v>
      </c>
      <c r="F12" s="47">
        <f t="shared" si="4"/>
        <v>1444825.79</v>
      </c>
      <c r="G12" s="47">
        <f t="shared" si="0"/>
        <v>1363679.49</v>
      </c>
    </row>
    <row r="13" spans="1:13" x14ac:dyDescent="0.25">
      <c r="A13" s="36">
        <v>44172</v>
      </c>
      <c r="B13" s="46">
        <f t="shared" si="3"/>
        <v>14</v>
      </c>
      <c r="C13" s="47">
        <f t="shared" si="1"/>
        <v>89459</v>
      </c>
      <c r="D13" s="48">
        <f t="shared" si="2"/>
        <v>81613.17</v>
      </c>
      <c r="E13" s="68">
        <f t="shared" si="5"/>
        <v>7845.83</v>
      </c>
      <c r="F13" s="47">
        <f t="shared" si="4"/>
        <v>1363679.49</v>
      </c>
      <c r="G13" s="47">
        <f t="shared" si="0"/>
        <v>1282066.32</v>
      </c>
    </row>
    <row r="14" spans="1:13" x14ac:dyDescent="0.25">
      <c r="A14" s="36">
        <v>44186</v>
      </c>
      <c r="B14" s="46">
        <f t="shared" si="3"/>
        <v>14</v>
      </c>
      <c r="C14" s="47">
        <f t="shared" si="1"/>
        <v>89459</v>
      </c>
      <c r="D14" s="48">
        <f t="shared" si="2"/>
        <v>82082.73</v>
      </c>
      <c r="E14" s="68">
        <f t="shared" si="5"/>
        <v>7376.27</v>
      </c>
      <c r="F14" s="47">
        <f t="shared" si="4"/>
        <v>1282066.32</v>
      </c>
      <c r="G14" s="47">
        <f t="shared" si="0"/>
        <v>1199983.5900000001</v>
      </c>
    </row>
    <row r="15" spans="1:13" x14ac:dyDescent="0.25">
      <c r="A15" s="36">
        <v>44200</v>
      </c>
      <c r="B15" s="46">
        <f t="shared" si="3"/>
        <v>14</v>
      </c>
      <c r="C15" s="47">
        <f t="shared" si="1"/>
        <v>89459</v>
      </c>
      <c r="D15" s="48">
        <f t="shared" si="2"/>
        <v>82554.98</v>
      </c>
      <c r="E15" s="68">
        <f t="shared" si="5"/>
        <v>6904.02</v>
      </c>
      <c r="F15" s="47">
        <f t="shared" si="4"/>
        <v>1199983.5900000001</v>
      </c>
      <c r="G15" s="47">
        <f t="shared" si="0"/>
        <v>1117428.6100000001</v>
      </c>
    </row>
    <row r="16" spans="1:13" x14ac:dyDescent="0.25">
      <c r="A16" s="36">
        <v>44214</v>
      </c>
      <c r="B16" s="46">
        <f t="shared" si="3"/>
        <v>14</v>
      </c>
      <c r="C16" s="47">
        <f t="shared" si="1"/>
        <v>89459</v>
      </c>
      <c r="D16" s="48">
        <f t="shared" si="2"/>
        <v>83029.960000000006</v>
      </c>
      <c r="E16" s="68">
        <f t="shared" si="5"/>
        <v>6429.04</v>
      </c>
      <c r="F16" s="47">
        <f t="shared" si="4"/>
        <v>1117428.6100000001</v>
      </c>
      <c r="G16" s="47">
        <f t="shared" si="0"/>
        <v>1034398.6500000001</v>
      </c>
    </row>
    <row r="17" spans="1:7" x14ac:dyDescent="0.25">
      <c r="A17" s="36">
        <v>44228</v>
      </c>
      <c r="B17" s="46">
        <f t="shared" si="3"/>
        <v>14</v>
      </c>
      <c r="C17" s="47">
        <f t="shared" si="1"/>
        <v>89459</v>
      </c>
      <c r="D17" s="48">
        <f t="shared" si="2"/>
        <v>83507.67</v>
      </c>
      <c r="E17" s="68">
        <f t="shared" si="5"/>
        <v>5951.33</v>
      </c>
      <c r="F17" s="47">
        <f t="shared" si="4"/>
        <v>1034398.6500000001</v>
      </c>
      <c r="G17" s="47">
        <f t="shared" si="0"/>
        <v>950890.9800000001</v>
      </c>
    </row>
    <row r="18" spans="1:7" x14ac:dyDescent="0.25">
      <c r="A18" s="36">
        <v>44242</v>
      </c>
      <c r="B18" s="46">
        <f t="shared" si="3"/>
        <v>14</v>
      </c>
      <c r="C18" s="47">
        <f t="shared" si="1"/>
        <v>89459</v>
      </c>
      <c r="D18" s="48">
        <f t="shared" si="2"/>
        <v>83988.12</v>
      </c>
      <c r="E18" s="68">
        <f t="shared" si="5"/>
        <v>5470.88</v>
      </c>
      <c r="F18" s="47">
        <f t="shared" si="4"/>
        <v>950890.9800000001</v>
      </c>
      <c r="G18" s="47">
        <f t="shared" si="0"/>
        <v>866902.8600000001</v>
      </c>
    </row>
    <row r="19" spans="1:7" x14ac:dyDescent="0.25">
      <c r="A19" s="36">
        <v>44256</v>
      </c>
      <c r="B19" s="46">
        <f t="shared" si="3"/>
        <v>14</v>
      </c>
      <c r="C19" s="47">
        <f t="shared" si="1"/>
        <v>89459</v>
      </c>
      <c r="D19" s="48">
        <f t="shared" si="2"/>
        <v>84471.34</v>
      </c>
      <c r="E19" s="68">
        <f t="shared" si="5"/>
        <v>4987.66</v>
      </c>
      <c r="F19" s="47">
        <f t="shared" si="4"/>
        <v>866902.8600000001</v>
      </c>
      <c r="G19" s="47">
        <f t="shared" si="0"/>
        <v>782431.52000000014</v>
      </c>
    </row>
    <row r="20" spans="1:7" x14ac:dyDescent="0.25">
      <c r="A20" s="36">
        <v>44270</v>
      </c>
      <c r="B20" s="46">
        <f t="shared" si="3"/>
        <v>14</v>
      </c>
      <c r="C20" s="47">
        <f t="shared" si="1"/>
        <v>89459</v>
      </c>
      <c r="D20" s="48">
        <f t="shared" si="2"/>
        <v>84957.34</v>
      </c>
      <c r="E20" s="68">
        <f t="shared" si="5"/>
        <v>4501.66</v>
      </c>
      <c r="F20" s="47">
        <f t="shared" si="4"/>
        <v>782431.52000000014</v>
      </c>
      <c r="G20" s="47">
        <f t="shared" si="0"/>
        <v>697474.18000000017</v>
      </c>
    </row>
    <row r="21" spans="1:7" x14ac:dyDescent="0.25">
      <c r="A21" s="36">
        <v>44284</v>
      </c>
      <c r="B21" s="46">
        <f t="shared" si="3"/>
        <v>14</v>
      </c>
      <c r="C21" s="47">
        <f t="shared" si="1"/>
        <v>89459</v>
      </c>
      <c r="D21" s="48">
        <f t="shared" si="2"/>
        <v>85446.13</v>
      </c>
      <c r="E21" s="68">
        <f t="shared" si="5"/>
        <v>4012.87</v>
      </c>
      <c r="F21" s="47">
        <f t="shared" si="4"/>
        <v>697474.18000000017</v>
      </c>
      <c r="G21" s="47">
        <f t="shared" si="0"/>
        <v>612028.05000000016</v>
      </c>
    </row>
    <row r="22" spans="1:7" x14ac:dyDescent="0.25">
      <c r="A22" s="36">
        <v>44298</v>
      </c>
      <c r="B22" s="46">
        <f t="shared" si="3"/>
        <v>14</v>
      </c>
      <c r="C22" s="47">
        <f t="shared" si="1"/>
        <v>89459</v>
      </c>
      <c r="D22" s="48">
        <f t="shared" si="2"/>
        <v>85937.74</v>
      </c>
      <c r="E22" s="68">
        <f t="shared" si="5"/>
        <v>3521.26</v>
      </c>
      <c r="F22" s="47">
        <f t="shared" si="4"/>
        <v>612028.05000000016</v>
      </c>
      <c r="G22" s="47">
        <f t="shared" si="0"/>
        <v>526090.31000000017</v>
      </c>
    </row>
    <row r="23" spans="1:7" x14ac:dyDescent="0.25">
      <c r="A23" s="36">
        <v>44312</v>
      </c>
      <c r="B23" s="46">
        <f t="shared" si="3"/>
        <v>14</v>
      </c>
      <c r="C23" s="47">
        <f t="shared" si="1"/>
        <v>89459</v>
      </c>
      <c r="D23" s="48">
        <f t="shared" si="2"/>
        <v>86432.18</v>
      </c>
      <c r="E23" s="68">
        <f t="shared" si="5"/>
        <v>3026.82</v>
      </c>
      <c r="F23" s="47">
        <f t="shared" si="4"/>
        <v>526090.31000000017</v>
      </c>
      <c r="G23" s="47">
        <f t="shared" si="0"/>
        <v>439658.13000000018</v>
      </c>
    </row>
    <row r="24" spans="1:7" x14ac:dyDescent="0.25">
      <c r="A24" s="36">
        <v>44326</v>
      </c>
      <c r="B24" s="46">
        <f t="shared" si="3"/>
        <v>14</v>
      </c>
      <c r="C24" s="47">
        <f t="shared" si="1"/>
        <v>89459</v>
      </c>
      <c r="D24" s="48">
        <f t="shared" si="2"/>
        <v>86929.46</v>
      </c>
      <c r="E24" s="68">
        <f t="shared" si="5"/>
        <v>2529.54</v>
      </c>
      <c r="F24" s="47">
        <f t="shared" si="4"/>
        <v>439658.13000000018</v>
      </c>
      <c r="G24" s="47">
        <f t="shared" si="0"/>
        <v>352728.67000000016</v>
      </c>
    </row>
    <row r="25" spans="1:7" x14ac:dyDescent="0.25">
      <c r="A25" s="36">
        <v>44340</v>
      </c>
      <c r="B25" s="46">
        <f t="shared" si="3"/>
        <v>14</v>
      </c>
      <c r="C25" s="47">
        <f t="shared" si="1"/>
        <v>89459</v>
      </c>
      <c r="D25" s="48">
        <f t="shared" si="2"/>
        <v>87429.6</v>
      </c>
      <c r="E25" s="68">
        <f t="shared" si="5"/>
        <v>2029.4</v>
      </c>
      <c r="F25" s="47">
        <f t="shared" si="4"/>
        <v>352728.67000000016</v>
      </c>
      <c r="G25" s="47">
        <f t="shared" si="0"/>
        <v>265299.07000000018</v>
      </c>
    </row>
    <row r="26" spans="1:7" x14ac:dyDescent="0.25">
      <c r="A26" s="36">
        <v>44354</v>
      </c>
      <c r="B26" s="46">
        <f t="shared" si="3"/>
        <v>14</v>
      </c>
      <c r="C26" s="47">
        <f t="shared" si="1"/>
        <v>89459</v>
      </c>
      <c r="D26" s="48">
        <f t="shared" si="2"/>
        <v>87932.62</v>
      </c>
      <c r="E26" s="68">
        <f t="shared" si="5"/>
        <v>1526.38</v>
      </c>
      <c r="F26" s="47">
        <f t="shared" si="4"/>
        <v>265299.07000000018</v>
      </c>
      <c r="G26" s="47">
        <f t="shared" si="0"/>
        <v>177366.45000000019</v>
      </c>
    </row>
    <row r="27" spans="1:7" x14ac:dyDescent="0.25">
      <c r="A27" s="36">
        <v>44368</v>
      </c>
      <c r="B27" s="46">
        <f t="shared" si="3"/>
        <v>14</v>
      </c>
      <c r="C27" s="47">
        <f t="shared" si="1"/>
        <v>89459</v>
      </c>
      <c r="D27" s="48">
        <f t="shared" si="2"/>
        <v>88438.54</v>
      </c>
      <c r="E27" s="68">
        <f t="shared" si="5"/>
        <v>1020.46</v>
      </c>
      <c r="F27" s="47">
        <f t="shared" si="4"/>
        <v>177366.45000000019</v>
      </c>
      <c r="G27" s="47">
        <f t="shared" si="0"/>
        <v>88927.910000000193</v>
      </c>
    </row>
    <row r="28" spans="1:7" x14ac:dyDescent="0.25">
      <c r="A28" s="36">
        <v>44382</v>
      </c>
      <c r="B28" s="46">
        <f t="shared" si="3"/>
        <v>14</v>
      </c>
      <c r="C28" s="47">
        <f t="shared" si="1"/>
        <v>89459</v>
      </c>
      <c r="D28" s="48">
        <f t="shared" si="2"/>
        <v>88927.910000000193</v>
      </c>
      <c r="E28" s="68">
        <v>531.0899999998079</v>
      </c>
      <c r="F28" s="47">
        <f t="shared" si="4"/>
        <v>88927.910000000193</v>
      </c>
      <c r="G28" s="47">
        <f t="shared" si="0"/>
        <v>0</v>
      </c>
    </row>
    <row r="29" spans="1:7" x14ac:dyDescent="0.25">
      <c r="A29" s="36">
        <v>44116</v>
      </c>
      <c r="B29" s="46">
        <f>A9-A8</f>
        <v>14</v>
      </c>
      <c r="C29" s="47">
        <f t="shared" ref="C29:C36" si="6">$E$2</f>
        <v>86501</v>
      </c>
      <c r="D29" s="48">
        <f t="shared" ref="D29:D30" si="7">C29-E29</f>
        <v>76849.69</v>
      </c>
      <c r="E29" s="68">
        <f>ROUND(G8*$B$2*G2/365+F29*$B$2*H2/365,2)</f>
        <v>9651.31</v>
      </c>
      <c r="F29" s="47">
        <f>G8-F2</f>
        <v>1629490.12</v>
      </c>
      <c r="G29" s="47">
        <f t="shared" si="0"/>
        <v>1552640.4300000002</v>
      </c>
    </row>
    <row r="30" spans="1:7" x14ac:dyDescent="0.25">
      <c r="A30" s="36">
        <v>44130</v>
      </c>
      <c r="B30" s="46">
        <f t="shared" ref="B30:B48" si="8">A30-A29</f>
        <v>14</v>
      </c>
      <c r="C30" s="47">
        <f t="shared" si="6"/>
        <v>86501</v>
      </c>
      <c r="D30" s="48">
        <f t="shared" si="7"/>
        <v>77568</v>
      </c>
      <c r="E30" s="68">
        <f t="shared" ref="E30" si="9">ROUND(F30*$B$2*B30/365,2)</f>
        <v>8933</v>
      </c>
      <c r="F30" s="47">
        <f t="shared" ref="F30" si="10">G29</f>
        <v>1552640.4300000002</v>
      </c>
      <c r="G30" s="47">
        <f t="shared" si="0"/>
        <v>1475072.4300000002</v>
      </c>
    </row>
    <row r="31" spans="1:7" x14ac:dyDescent="0.25">
      <c r="A31" s="36">
        <v>44144</v>
      </c>
      <c r="B31" s="46">
        <f t="shared" si="8"/>
        <v>14</v>
      </c>
      <c r="C31" s="47">
        <f t="shared" si="6"/>
        <v>86501</v>
      </c>
      <c r="D31" s="48">
        <f t="shared" ref="D31:D48" si="11">C31-E31</f>
        <v>78014.28</v>
      </c>
      <c r="E31" s="68">
        <f t="shared" ref="E31:E47" si="12">ROUND(F31*$B$2*B31/365,2)</f>
        <v>8486.7199999999993</v>
      </c>
      <c r="F31" s="47">
        <f t="shared" ref="F31:F48" si="13">G30</f>
        <v>1475072.4300000002</v>
      </c>
      <c r="G31" s="47">
        <f t="shared" ref="G31:G48" si="14">F31-D31</f>
        <v>1397058.1500000001</v>
      </c>
    </row>
    <row r="32" spans="1:7" x14ac:dyDescent="0.25">
      <c r="A32" s="36">
        <v>44158</v>
      </c>
      <c r="B32" s="46">
        <f t="shared" si="8"/>
        <v>14</v>
      </c>
      <c r="C32" s="47">
        <f t="shared" si="6"/>
        <v>86501</v>
      </c>
      <c r="D32" s="48">
        <f t="shared" si="11"/>
        <v>78463.13</v>
      </c>
      <c r="E32" s="68">
        <f t="shared" si="12"/>
        <v>8037.87</v>
      </c>
      <c r="F32" s="47">
        <f t="shared" si="13"/>
        <v>1397058.1500000001</v>
      </c>
      <c r="G32" s="47">
        <f t="shared" si="14"/>
        <v>1318595.02</v>
      </c>
    </row>
    <row r="33" spans="1:7" x14ac:dyDescent="0.25">
      <c r="A33" s="36">
        <v>44172</v>
      </c>
      <c r="B33" s="46">
        <f t="shared" si="8"/>
        <v>14</v>
      </c>
      <c r="C33" s="47">
        <f t="shared" si="6"/>
        <v>86501</v>
      </c>
      <c r="D33" s="48">
        <f t="shared" si="11"/>
        <v>78914.559999999998</v>
      </c>
      <c r="E33" s="68">
        <f t="shared" si="12"/>
        <v>7586.44</v>
      </c>
      <c r="F33" s="47">
        <f t="shared" si="13"/>
        <v>1318595.02</v>
      </c>
      <c r="G33" s="47">
        <f t="shared" si="14"/>
        <v>1239680.46</v>
      </c>
    </row>
    <row r="34" spans="1:7" x14ac:dyDescent="0.25">
      <c r="A34" s="36">
        <v>44186</v>
      </c>
      <c r="B34" s="46">
        <f t="shared" si="8"/>
        <v>14</v>
      </c>
      <c r="C34" s="47">
        <f t="shared" si="6"/>
        <v>86501</v>
      </c>
      <c r="D34" s="48">
        <f t="shared" si="11"/>
        <v>79368.59</v>
      </c>
      <c r="E34" s="68">
        <f t="shared" si="12"/>
        <v>7132.41</v>
      </c>
      <c r="F34" s="47">
        <f t="shared" si="13"/>
        <v>1239680.46</v>
      </c>
      <c r="G34" s="47">
        <f t="shared" si="14"/>
        <v>1160311.8699999999</v>
      </c>
    </row>
    <row r="35" spans="1:7" x14ac:dyDescent="0.25">
      <c r="A35" s="36">
        <v>44200</v>
      </c>
      <c r="B35" s="46">
        <f t="shared" si="8"/>
        <v>14</v>
      </c>
      <c r="C35" s="47">
        <f t="shared" si="6"/>
        <v>86501</v>
      </c>
      <c r="D35" s="48">
        <f t="shared" si="11"/>
        <v>79825.23</v>
      </c>
      <c r="E35" s="68">
        <f t="shared" si="12"/>
        <v>6675.77</v>
      </c>
      <c r="F35" s="47">
        <f t="shared" si="13"/>
        <v>1160311.8699999999</v>
      </c>
      <c r="G35" s="47">
        <f t="shared" si="14"/>
        <v>1080486.6399999999</v>
      </c>
    </row>
    <row r="36" spans="1:7" x14ac:dyDescent="0.25">
      <c r="A36" s="36">
        <v>44214</v>
      </c>
      <c r="B36" s="46">
        <f t="shared" si="8"/>
        <v>14</v>
      </c>
      <c r="C36" s="47">
        <f t="shared" si="6"/>
        <v>86501</v>
      </c>
      <c r="D36" s="48">
        <f t="shared" si="11"/>
        <v>80284.5</v>
      </c>
      <c r="E36" s="68">
        <f t="shared" si="12"/>
        <v>6216.5</v>
      </c>
      <c r="F36" s="47">
        <f t="shared" si="13"/>
        <v>1080486.6399999999</v>
      </c>
      <c r="G36" s="47">
        <f t="shared" si="14"/>
        <v>1000202.1399999999</v>
      </c>
    </row>
    <row r="37" spans="1:7" x14ac:dyDescent="0.25">
      <c r="A37" s="36">
        <v>44228</v>
      </c>
      <c r="B37" s="46">
        <f t="shared" si="8"/>
        <v>14</v>
      </c>
      <c r="C37" s="47">
        <f>$J$2</f>
        <v>79960</v>
      </c>
      <c r="D37" s="48">
        <f t="shared" si="11"/>
        <v>74267.88</v>
      </c>
      <c r="E37" s="68">
        <f>ROUND(G36*$B$2*L2/365+F37*$B$2*M2/365,2)</f>
        <v>5692.12</v>
      </c>
      <c r="F37" s="47">
        <f>G36-K2</f>
        <v>924202.1399999999</v>
      </c>
      <c r="G37" s="47">
        <f t="shared" si="14"/>
        <v>849934.25999999989</v>
      </c>
    </row>
    <row r="38" spans="1:7" x14ac:dyDescent="0.25">
      <c r="A38" s="36">
        <v>44242</v>
      </c>
      <c r="B38" s="46">
        <f t="shared" si="8"/>
        <v>14</v>
      </c>
      <c r="C38" s="47">
        <f t="shared" ref="C38:C48" si="15">$J$2</f>
        <v>79960</v>
      </c>
      <c r="D38" s="48">
        <f t="shared" si="11"/>
        <v>75069.97</v>
      </c>
      <c r="E38" s="68">
        <f t="shared" si="12"/>
        <v>4890.03</v>
      </c>
      <c r="F38" s="47">
        <f t="shared" si="13"/>
        <v>849934.25999999989</v>
      </c>
      <c r="G38" s="47">
        <f t="shared" si="14"/>
        <v>774864.28999999992</v>
      </c>
    </row>
    <row r="39" spans="1:7" x14ac:dyDescent="0.25">
      <c r="A39" s="36">
        <v>44256</v>
      </c>
      <c r="B39" s="46">
        <f t="shared" si="8"/>
        <v>14</v>
      </c>
      <c r="C39" s="47">
        <f t="shared" si="15"/>
        <v>79960</v>
      </c>
      <c r="D39" s="48">
        <f t="shared" si="11"/>
        <v>75501.88</v>
      </c>
      <c r="E39" s="68">
        <f t="shared" si="12"/>
        <v>4458.12</v>
      </c>
      <c r="F39" s="47">
        <f t="shared" si="13"/>
        <v>774864.28999999992</v>
      </c>
      <c r="G39" s="47">
        <f t="shared" si="14"/>
        <v>699362.40999999992</v>
      </c>
    </row>
    <row r="40" spans="1:7" x14ac:dyDescent="0.25">
      <c r="A40" s="36">
        <v>44270</v>
      </c>
      <c r="B40" s="46">
        <f t="shared" si="8"/>
        <v>14</v>
      </c>
      <c r="C40" s="47">
        <f t="shared" si="15"/>
        <v>79960</v>
      </c>
      <c r="D40" s="48">
        <f t="shared" si="11"/>
        <v>75936.27</v>
      </c>
      <c r="E40" s="68">
        <f t="shared" si="12"/>
        <v>4023.73</v>
      </c>
      <c r="F40" s="47">
        <f t="shared" si="13"/>
        <v>699362.40999999992</v>
      </c>
      <c r="G40" s="47">
        <f t="shared" si="14"/>
        <v>623426.1399999999</v>
      </c>
    </row>
    <row r="41" spans="1:7" x14ac:dyDescent="0.25">
      <c r="A41" s="36">
        <v>44284</v>
      </c>
      <c r="B41" s="46">
        <f t="shared" si="8"/>
        <v>14</v>
      </c>
      <c r="C41" s="47">
        <f t="shared" si="15"/>
        <v>79960</v>
      </c>
      <c r="D41" s="48">
        <f t="shared" si="11"/>
        <v>76373.16</v>
      </c>
      <c r="E41" s="68">
        <f t="shared" si="12"/>
        <v>3586.84</v>
      </c>
      <c r="F41" s="47">
        <f t="shared" si="13"/>
        <v>623426.1399999999</v>
      </c>
      <c r="G41" s="47">
        <f t="shared" si="14"/>
        <v>547052.97999999986</v>
      </c>
    </row>
    <row r="42" spans="1:7" x14ac:dyDescent="0.25">
      <c r="A42" s="36">
        <v>44298</v>
      </c>
      <c r="B42" s="46">
        <f t="shared" si="8"/>
        <v>14</v>
      </c>
      <c r="C42" s="47">
        <f t="shared" si="15"/>
        <v>79960</v>
      </c>
      <c r="D42" s="48">
        <f t="shared" si="11"/>
        <v>76812.570000000007</v>
      </c>
      <c r="E42" s="68">
        <f t="shared" si="12"/>
        <v>3147.43</v>
      </c>
      <c r="F42" s="47">
        <f t="shared" si="13"/>
        <v>547052.97999999986</v>
      </c>
      <c r="G42" s="47">
        <f t="shared" si="14"/>
        <v>470240.40999999986</v>
      </c>
    </row>
    <row r="43" spans="1:7" x14ac:dyDescent="0.25">
      <c r="A43" s="36">
        <v>44312</v>
      </c>
      <c r="B43" s="46">
        <f t="shared" si="8"/>
        <v>14</v>
      </c>
      <c r="C43" s="47">
        <f t="shared" si="15"/>
        <v>79960</v>
      </c>
      <c r="D43" s="48">
        <f t="shared" si="11"/>
        <v>77254.509999999995</v>
      </c>
      <c r="E43" s="68">
        <f t="shared" si="12"/>
        <v>2705.49</v>
      </c>
      <c r="F43" s="47">
        <f t="shared" si="13"/>
        <v>470240.40999999986</v>
      </c>
      <c r="G43" s="47">
        <f t="shared" si="14"/>
        <v>392985.89999999985</v>
      </c>
    </row>
    <row r="44" spans="1:7" x14ac:dyDescent="0.25">
      <c r="A44" s="36">
        <v>44326</v>
      </c>
      <c r="B44" s="46">
        <f t="shared" si="8"/>
        <v>14</v>
      </c>
      <c r="C44" s="47">
        <f t="shared" si="15"/>
        <v>79960</v>
      </c>
      <c r="D44" s="48">
        <f t="shared" si="11"/>
        <v>77698.990000000005</v>
      </c>
      <c r="E44" s="68">
        <f t="shared" si="12"/>
        <v>2261.0100000000002</v>
      </c>
      <c r="F44" s="47">
        <f t="shared" si="13"/>
        <v>392985.89999999985</v>
      </c>
      <c r="G44" s="47">
        <f t="shared" si="14"/>
        <v>315286.90999999986</v>
      </c>
    </row>
    <row r="45" spans="1:7" x14ac:dyDescent="0.25">
      <c r="A45" s="36">
        <v>44340</v>
      </c>
      <c r="B45" s="46">
        <f t="shared" si="8"/>
        <v>14</v>
      </c>
      <c r="C45" s="47">
        <f t="shared" si="15"/>
        <v>79960</v>
      </c>
      <c r="D45" s="48">
        <f t="shared" si="11"/>
        <v>78146.02</v>
      </c>
      <c r="E45" s="68">
        <f t="shared" si="12"/>
        <v>1813.98</v>
      </c>
      <c r="F45" s="47">
        <f t="shared" si="13"/>
        <v>315286.90999999986</v>
      </c>
      <c r="G45" s="47">
        <f t="shared" si="14"/>
        <v>237140.88999999984</v>
      </c>
    </row>
    <row r="46" spans="1:7" x14ac:dyDescent="0.25">
      <c r="A46" s="36">
        <v>44354</v>
      </c>
      <c r="B46" s="46">
        <f t="shared" si="8"/>
        <v>14</v>
      </c>
      <c r="C46" s="47">
        <f t="shared" si="15"/>
        <v>79960</v>
      </c>
      <c r="D46" s="48">
        <f t="shared" si="11"/>
        <v>78595.63</v>
      </c>
      <c r="E46" s="68">
        <f t="shared" si="12"/>
        <v>1364.37</v>
      </c>
      <c r="F46" s="47">
        <f t="shared" si="13"/>
        <v>237140.88999999984</v>
      </c>
      <c r="G46" s="47">
        <f t="shared" si="14"/>
        <v>158545.25999999983</v>
      </c>
    </row>
    <row r="47" spans="1:7" x14ac:dyDescent="0.25">
      <c r="A47" s="36">
        <v>44368</v>
      </c>
      <c r="B47" s="46">
        <f t="shared" si="8"/>
        <v>14</v>
      </c>
      <c r="C47" s="47">
        <f t="shared" si="15"/>
        <v>79960</v>
      </c>
      <c r="D47" s="48">
        <f t="shared" si="11"/>
        <v>79047.820000000007</v>
      </c>
      <c r="E47" s="68">
        <f t="shared" si="12"/>
        <v>912.18</v>
      </c>
      <c r="F47" s="47">
        <f t="shared" si="13"/>
        <v>158545.25999999983</v>
      </c>
      <c r="G47" s="47">
        <f t="shared" si="14"/>
        <v>79497.439999999828</v>
      </c>
    </row>
    <row r="48" spans="1:7" x14ac:dyDescent="0.25">
      <c r="A48" s="36">
        <v>44382</v>
      </c>
      <c r="B48" s="46">
        <f t="shared" si="8"/>
        <v>14</v>
      </c>
      <c r="C48" s="47">
        <f t="shared" si="15"/>
        <v>79960</v>
      </c>
      <c r="D48" s="48">
        <f t="shared" si="11"/>
        <v>79497.439999999828</v>
      </c>
      <c r="E48" s="68">
        <v>462.56000000016763</v>
      </c>
      <c r="F48" s="47">
        <f t="shared" si="13"/>
        <v>79497.439999999828</v>
      </c>
      <c r="G48" s="47">
        <f t="shared" si="14"/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89738-DB67-457C-83FC-2F560B775395}">
  <dimension ref="A1:M48"/>
  <sheetViews>
    <sheetView zoomScale="80" zoomScaleNormal="80" workbookViewId="0">
      <pane ySplit="3" topLeftCell="A36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  <col min="10" max="10" width="14.42578125" bestFit="1" customWidth="1"/>
    <col min="11" max="11" width="12.42578125" bestFit="1" customWidth="1"/>
    <col min="12" max="12" width="14.42578125" bestFit="1" customWidth="1"/>
    <col min="13" max="13" width="12.42578125" bestFit="1" customWidth="1"/>
  </cols>
  <sheetData>
    <row r="1" spans="1:13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345</v>
      </c>
      <c r="G1" s="132" t="s">
        <v>346</v>
      </c>
      <c r="H1" s="124" t="s">
        <v>149</v>
      </c>
      <c r="I1" s="132" t="s">
        <v>344</v>
      </c>
      <c r="J1" s="124" t="s">
        <v>362</v>
      </c>
      <c r="K1" s="124" t="s">
        <v>350</v>
      </c>
      <c r="L1" s="124" t="s">
        <v>363</v>
      </c>
      <c r="M1" s="124" t="s">
        <v>351</v>
      </c>
    </row>
    <row r="2" spans="1:13" x14ac:dyDescent="0.25">
      <c r="A2" s="75" t="s">
        <v>34</v>
      </c>
      <c r="B2" s="76">
        <v>0.15</v>
      </c>
      <c r="C2" s="17">
        <f>ROUNDUP(89458.48375,0)</f>
        <v>89459</v>
      </c>
      <c r="D2" s="125">
        <v>44114</v>
      </c>
      <c r="E2" s="124">
        <f>ROUNDUP(86500.5600176664,0)</f>
        <v>86501</v>
      </c>
      <c r="F2" s="124">
        <v>56000</v>
      </c>
      <c r="G2" s="134">
        <v>44226</v>
      </c>
      <c r="H2" s="124">
        <f>ROUNDUP(79957.3591984029,0)</f>
        <v>79958</v>
      </c>
      <c r="I2" s="136">
        <v>76000</v>
      </c>
      <c r="J2" s="124">
        <f>DAYS360(A8,D2,TRUE)</f>
        <v>12</v>
      </c>
      <c r="K2" s="124">
        <f>DAYS360(D2,A29,TRUE)</f>
        <v>2</v>
      </c>
      <c r="L2">
        <f>DAYS360(A36,G2,TRUE)</f>
        <v>12</v>
      </c>
      <c r="M2">
        <f>DAYS360(G2,A37,TRUE)</f>
        <v>1</v>
      </c>
    </row>
    <row r="3" spans="1:13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3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>F4-D4</f>
        <v>2000000</v>
      </c>
    </row>
    <row r="5" spans="1:13" x14ac:dyDescent="0.25">
      <c r="A5" s="36">
        <v>44060</v>
      </c>
      <c r="B5" s="46">
        <f>DAYS360(A4,A5,TRUE)</f>
        <v>14</v>
      </c>
      <c r="C5" s="47">
        <f t="shared" ref="C5:C28" si="0">$C$2</f>
        <v>89459</v>
      </c>
      <c r="D5" s="48">
        <f t="shared" ref="D5:D28" si="1">C5-E5</f>
        <v>77792.33</v>
      </c>
      <c r="E5" s="68">
        <f>ROUND(F5*$B$2*B5/360,2)</f>
        <v>11666.67</v>
      </c>
      <c r="F5" s="47">
        <f>G4</f>
        <v>2000000</v>
      </c>
      <c r="G5" s="47">
        <f>F5-D5</f>
        <v>1922207.67</v>
      </c>
    </row>
    <row r="6" spans="1:13" x14ac:dyDescent="0.25">
      <c r="A6" s="36">
        <v>44074</v>
      </c>
      <c r="B6" s="46">
        <f t="shared" ref="B6:B48" si="2">DAYS360(A5,A6,TRUE)</f>
        <v>13</v>
      </c>
      <c r="C6" s="47">
        <f t="shared" si="0"/>
        <v>89459</v>
      </c>
      <c r="D6" s="48">
        <f t="shared" si="1"/>
        <v>79047.040000000008</v>
      </c>
      <c r="E6" s="68">
        <f t="shared" ref="E6:E27" si="3">ROUND(F6*$B$2*B6/360,2)</f>
        <v>10411.959999999999</v>
      </c>
      <c r="F6" s="47">
        <f t="shared" ref="F6:F28" si="4">G5</f>
        <v>1922207.67</v>
      </c>
      <c r="G6" s="47">
        <f t="shared" ref="G6:G28" si="5">F6-D6</f>
        <v>1843160.63</v>
      </c>
    </row>
    <row r="7" spans="1:13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78707.23</v>
      </c>
      <c r="E7" s="68">
        <f t="shared" si="3"/>
        <v>10751.77</v>
      </c>
      <c r="F7" s="47">
        <f t="shared" si="4"/>
        <v>1843160.63</v>
      </c>
      <c r="G7" s="47">
        <f t="shared" si="5"/>
        <v>1764453.4</v>
      </c>
    </row>
    <row r="8" spans="1:13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79166.36</v>
      </c>
      <c r="E8" s="68">
        <f t="shared" si="3"/>
        <v>10292.64</v>
      </c>
      <c r="F8" s="47">
        <f t="shared" si="4"/>
        <v>1764453.4</v>
      </c>
      <c r="G8" s="47">
        <f t="shared" si="5"/>
        <v>1685287.0399999998</v>
      </c>
    </row>
    <row r="9" spans="1:13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79628.160000000003</v>
      </c>
      <c r="E9" s="68">
        <f t="shared" si="3"/>
        <v>9830.84</v>
      </c>
      <c r="F9" s="47">
        <f t="shared" si="4"/>
        <v>1685287.0399999998</v>
      </c>
      <c r="G9" s="47">
        <f t="shared" si="5"/>
        <v>1605658.88</v>
      </c>
    </row>
    <row r="10" spans="1:13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80092.66</v>
      </c>
      <c r="E10" s="68">
        <f t="shared" si="3"/>
        <v>9366.34</v>
      </c>
      <c r="F10" s="47">
        <f t="shared" si="4"/>
        <v>1605658.88</v>
      </c>
      <c r="G10" s="47">
        <f t="shared" si="5"/>
        <v>1525566.22</v>
      </c>
    </row>
    <row r="11" spans="1:13" x14ac:dyDescent="0.25">
      <c r="A11" s="36">
        <v>44144</v>
      </c>
      <c r="B11" s="46">
        <f t="shared" si="2"/>
        <v>13</v>
      </c>
      <c r="C11" s="47">
        <f t="shared" si="0"/>
        <v>89459</v>
      </c>
      <c r="D11" s="48">
        <f t="shared" si="1"/>
        <v>81195.520000000004</v>
      </c>
      <c r="E11" s="68">
        <f t="shared" si="3"/>
        <v>8263.48</v>
      </c>
      <c r="F11" s="47">
        <f t="shared" si="4"/>
        <v>1525566.22</v>
      </c>
      <c r="G11" s="47">
        <f t="shared" si="5"/>
        <v>1444370.7</v>
      </c>
    </row>
    <row r="12" spans="1:13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81033.5</v>
      </c>
      <c r="E12" s="68">
        <f t="shared" si="3"/>
        <v>8425.5</v>
      </c>
      <c r="F12" s="47">
        <f t="shared" si="4"/>
        <v>1444370.7</v>
      </c>
      <c r="G12" s="47">
        <f t="shared" si="5"/>
        <v>1363337.2</v>
      </c>
    </row>
    <row r="13" spans="1:13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81506.2</v>
      </c>
      <c r="E13" s="68">
        <f t="shared" si="3"/>
        <v>7952.8</v>
      </c>
      <c r="F13" s="47">
        <f t="shared" si="4"/>
        <v>1363337.2</v>
      </c>
      <c r="G13" s="47">
        <f t="shared" si="5"/>
        <v>1281831</v>
      </c>
    </row>
    <row r="14" spans="1:13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81981.649999999994</v>
      </c>
      <c r="E14" s="68">
        <f t="shared" si="3"/>
        <v>7477.35</v>
      </c>
      <c r="F14" s="47">
        <f t="shared" si="4"/>
        <v>1281831</v>
      </c>
      <c r="G14" s="47">
        <f t="shared" si="5"/>
        <v>1199849.3500000001</v>
      </c>
    </row>
    <row r="15" spans="1:13" x14ac:dyDescent="0.25">
      <c r="A15" s="36">
        <v>44200</v>
      </c>
      <c r="B15" s="46">
        <f t="shared" si="2"/>
        <v>13</v>
      </c>
      <c r="C15" s="47">
        <f t="shared" si="0"/>
        <v>89459</v>
      </c>
      <c r="D15" s="48">
        <f t="shared" si="1"/>
        <v>82959.820000000007</v>
      </c>
      <c r="E15" s="68">
        <f t="shared" si="3"/>
        <v>6499.18</v>
      </c>
      <c r="F15" s="47">
        <f t="shared" si="4"/>
        <v>1199849.3500000001</v>
      </c>
      <c r="G15" s="47">
        <f t="shared" si="5"/>
        <v>1116889.53</v>
      </c>
    </row>
    <row r="16" spans="1:13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82943.81</v>
      </c>
      <c r="E16" s="68">
        <f t="shared" si="3"/>
        <v>6515.19</v>
      </c>
      <c r="F16" s="47">
        <f t="shared" si="4"/>
        <v>1116889.53</v>
      </c>
      <c r="G16" s="47">
        <f t="shared" si="5"/>
        <v>1033945.72</v>
      </c>
    </row>
    <row r="17" spans="1:7" x14ac:dyDescent="0.25">
      <c r="A17" s="36">
        <v>44228</v>
      </c>
      <c r="B17" s="46">
        <f t="shared" si="2"/>
        <v>13</v>
      </c>
      <c r="C17" s="47">
        <f t="shared" si="0"/>
        <v>89459</v>
      </c>
      <c r="D17" s="48">
        <f t="shared" si="1"/>
        <v>83858.460000000006</v>
      </c>
      <c r="E17" s="68">
        <f t="shared" si="3"/>
        <v>5600.54</v>
      </c>
      <c r="F17" s="47">
        <f t="shared" si="4"/>
        <v>1033945.72</v>
      </c>
      <c r="G17" s="47">
        <f t="shared" si="5"/>
        <v>950087.26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83916.82</v>
      </c>
      <c r="E18" s="68">
        <f t="shared" si="3"/>
        <v>5542.18</v>
      </c>
      <c r="F18" s="47">
        <f t="shared" si="4"/>
        <v>950087.26</v>
      </c>
      <c r="G18" s="47">
        <f t="shared" si="5"/>
        <v>866170.44</v>
      </c>
    </row>
    <row r="19" spans="1:7" x14ac:dyDescent="0.25">
      <c r="A19" s="36">
        <v>44256</v>
      </c>
      <c r="B19" s="46">
        <f t="shared" si="2"/>
        <v>16</v>
      </c>
      <c r="C19" s="47">
        <f t="shared" si="0"/>
        <v>89459</v>
      </c>
      <c r="D19" s="48">
        <f t="shared" si="1"/>
        <v>83684.53</v>
      </c>
      <c r="E19" s="68">
        <f t="shared" si="3"/>
        <v>5774.47</v>
      </c>
      <c r="F19" s="47">
        <f t="shared" si="4"/>
        <v>866170.44</v>
      </c>
      <c r="G19" s="47">
        <f t="shared" si="5"/>
        <v>782485.90999999992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84894.5</v>
      </c>
      <c r="E20" s="68">
        <f t="shared" si="3"/>
        <v>4564.5</v>
      </c>
      <c r="F20" s="47">
        <f t="shared" si="4"/>
        <v>782485.90999999992</v>
      </c>
      <c r="G20" s="47">
        <f t="shared" si="5"/>
        <v>697591.40999999992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85389.72</v>
      </c>
      <c r="E21" s="68">
        <f t="shared" si="3"/>
        <v>4069.28</v>
      </c>
      <c r="F21" s="47">
        <f t="shared" si="4"/>
        <v>697591.40999999992</v>
      </c>
      <c r="G21" s="47">
        <f t="shared" si="5"/>
        <v>612201.68999999994</v>
      </c>
    </row>
    <row r="22" spans="1:7" x14ac:dyDescent="0.25">
      <c r="A22" s="36">
        <v>44298</v>
      </c>
      <c r="B22" s="46">
        <f t="shared" si="2"/>
        <v>13</v>
      </c>
      <c r="C22" s="47">
        <f t="shared" si="0"/>
        <v>89459</v>
      </c>
      <c r="D22" s="48">
        <f t="shared" si="1"/>
        <v>86142.91</v>
      </c>
      <c r="E22" s="68">
        <f t="shared" si="3"/>
        <v>3316.09</v>
      </c>
      <c r="F22" s="47">
        <f t="shared" si="4"/>
        <v>612201.68999999994</v>
      </c>
      <c r="G22" s="47">
        <f t="shared" si="5"/>
        <v>526058.77999999991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86390.32</v>
      </c>
      <c r="E23" s="68">
        <f t="shared" si="3"/>
        <v>3068.68</v>
      </c>
      <c r="F23" s="47">
        <f t="shared" si="4"/>
        <v>526058.77999999991</v>
      </c>
      <c r="G23" s="47">
        <f t="shared" si="5"/>
        <v>439668.4599999999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86894.27</v>
      </c>
      <c r="E24" s="68">
        <f t="shared" si="3"/>
        <v>2564.73</v>
      </c>
      <c r="F24" s="47">
        <f t="shared" si="4"/>
        <v>439668.4599999999</v>
      </c>
      <c r="G24" s="47">
        <f t="shared" si="5"/>
        <v>352774.18999999989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87401.15</v>
      </c>
      <c r="E25" s="68">
        <f t="shared" si="3"/>
        <v>2057.85</v>
      </c>
      <c r="F25" s="47">
        <f t="shared" si="4"/>
        <v>352774.18999999989</v>
      </c>
      <c r="G25" s="47">
        <f t="shared" si="5"/>
        <v>265373.03999999992</v>
      </c>
    </row>
    <row r="26" spans="1:7" x14ac:dyDescent="0.25">
      <c r="A26" s="36">
        <v>44354</v>
      </c>
      <c r="B26" s="46">
        <f t="shared" si="2"/>
        <v>13</v>
      </c>
      <c r="C26" s="47">
        <f t="shared" si="0"/>
        <v>89459</v>
      </c>
      <c r="D26" s="48">
        <f t="shared" si="1"/>
        <v>88021.56</v>
      </c>
      <c r="E26" s="68">
        <f t="shared" si="3"/>
        <v>1437.44</v>
      </c>
      <c r="F26" s="47">
        <f t="shared" si="4"/>
        <v>265373.03999999992</v>
      </c>
      <c r="G26" s="47">
        <f t="shared" si="5"/>
        <v>177351.47999999992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88424.45</v>
      </c>
      <c r="E27" s="68">
        <f t="shared" si="3"/>
        <v>1034.55</v>
      </c>
      <c r="F27" s="47">
        <f t="shared" si="4"/>
        <v>177351.47999999992</v>
      </c>
      <c r="G27" s="47">
        <f t="shared" si="5"/>
        <v>88927.029999999926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88927.029999999926</v>
      </c>
      <c r="E28" s="68">
        <v>531.97000000006869</v>
      </c>
      <c r="F28" s="47">
        <f t="shared" si="4"/>
        <v>88927.029999999926</v>
      </c>
      <c r="G28" s="47">
        <f t="shared" si="5"/>
        <v>0</v>
      </c>
    </row>
    <row r="29" spans="1:7" x14ac:dyDescent="0.25">
      <c r="A29" s="36">
        <v>44116</v>
      </c>
      <c r="B29" s="46">
        <f>DAYS360(A8,A9,TRUE)</f>
        <v>14</v>
      </c>
      <c r="C29" s="47">
        <f>$E$2</f>
        <v>86501</v>
      </c>
      <c r="D29" s="48">
        <f t="shared" ref="D29:D30" si="6">C29-E29</f>
        <v>76716.83</v>
      </c>
      <c r="E29" s="68">
        <f>ROUND(G8*$B$2*J2/360+F29*$B$2*K2/360,2)</f>
        <v>9784.17</v>
      </c>
      <c r="F29" s="47">
        <f>G8-F2</f>
        <v>1629287.0399999998</v>
      </c>
      <c r="G29" s="47">
        <f t="shared" ref="G29:G30" si="7">F29-D29</f>
        <v>1552570.2099999997</v>
      </c>
    </row>
    <row r="30" spans="1:7" x14ac:dyDescent="0.25">
      <c r="A30" s="36">
        <v>44130</v>
      </c>
      <c r="B30" s="46">
        <f t="shared" si="2"/>
        <v>14</v>
      </c>
      <c r="C30" s="47">
        <f t="shared" ref="C30:C36" si="8">$E$2</f>
        <v>86501</v>
      </c>
      <c r="D30" s="48">
        <f t="shared" si="6"/>
        <v>77444.34</v>
      </c>
      <c r="E30" s="68">
        <f t="shared" ref="E30" si="9">ROUND(F30*$B$2*B30/360,2)</f>
        <v>9056.66</v>
      </c>
      <c r="F30" s="47">
        <f t="shared" ref="F30" si="10">G29</f>
        <v>1552570.2099999997</v>
      </c>
      <c r="G30" s="47">
        <f t="shared" si="7"/>
        <v>1475125.8699999996</v>
      </c>
    </row>
    <row r="31" spans="1:7" x14ac:dyDescent="0.25">
      <c r="A31" s="36">
        <v>44144</v>
      </c>
      <c r="B31" s="46">
        <f t="shared" si="2"/>
        <v>13</v>
      </c>
      <c r="C31" s="47">
        <f t="shared" si="8"/>
        <v>86501</v>
      </c>
      <c r="D31" s="48">
        <f t="shared" ref="D31:D48" si="11">C31-E31</f>
        <v>78510.73</v>
      </c>
      <c r="E31" s="68">
        <f t="shared" ref="E31:E47" si="12">ROUND(F31*$B$2*B31/360,2)</f>
        <v>7990.27</v>
      </c>
      <c r="F31" s="47">
        <f t="shared" ref="F31:F48" si="13">G30</f>
        <v>1475125.8699999996</v>
      </c>
      <c r="G31" s="47">
        <f t="shared" ref="G31:G48" si="14">F31-D31</f>
        <v>1396615.1399999997</v>
      </c>
    </row>
    <row r="32" spans="1:7" x14ac:dyDescent="0.25">
      <c r="A32" s="36">
        <v>44158</v>
      </c>
      <c r="B32" s="46">
        <f t="shared" si="2"/>
        <v>14</v>
      </c>
      <c r="C32" s="47">
        <f t="shared" si="8"/>
        <v>86501</v>
      </c>
      <c r="D32" s="48">
        <f t="shared" si="11"/>
        <v>78354.080000000002</v>
      </c>
      <c r="E32" s="68">
        <f t="shared" si="12"/>
        <v>8146.92</v>
      </c>
      <c r="F32" s="47">
        <f t="shared" si="13"/>
        <v>1396615.1399999997</v>
      </c>
      <c r="G32" s="47">
        <f t="shared" si="14"/>
        <v>1318261.0599999996</v>
      </c>
    </row>
    <row r="33" spans="1:7" x14ac:dyDescent="0.25">
      <c r="A33" s="36">
        <v>44172</v>
      </c>
      <c r="B33" s="46">
        <f t="shared" si="2"/>
        <v>14</v>
      </c>
      <c r="C33" s="47">
        <f t="shared" si="8"/>
        <v>86501</v>
      </c>
      <c r="D33" s="48">
        <f t="shared" si="11"/>
        <v>78811.14</v>
      </c>
      <c r="E33" s="68">
        <f t="shared" si="12"/>
        <v>7689.86</v>
      </c>
      <c r="F33" s="47">
        <f t="shared" si="13"/>
        <v>1318261.0599999996</v>
      </c>
      <c r="G33" s="47">
        <f t="shared" si="14"/>
        <v>1239449.9199999997</v>
      </c>
    </row>
    <row r="34" spans="1:7" x14ac:dyDescent="0.25">
      <c r="A34" s="36">
        <v>44186</v>
      </c>
      <c r="B34" s="46">
        <f t="shared" si="2"/>
        <v>14</v>
      </c>
      <c r="C34" s="47">
        <f t="shared" si="8"/>
        <v>86501</v>
      </c>
      <c r="D34" s="48">
        <f t="shared" si="11"/>
        <v>79270.880000000005</v>
      </c>
      <c r="E34" s="68">
        <f t="shared" si="12"/>
        <v>7230.12</v>
      </c>
      <c r="F34" s="47">
        <f t="shared" si="13"/>
        <v>1239449.9199999997</v>
      </c>
      <c r="G34" s="47">
        <f t="shared" si="14"/>
        <v>1160179.0399999996</v>
      </c>
    </row>
    <row r="35" spans="1:7" x14ac:dyDescent="0.25">
      <c r="A35" s="36">
        <v>44200</v>
      </c>
      <c r="B35" s="46">
        <f t="shared" si="2"/>
        <v>13</v>
      </c>
      <c r="C35" s="47">
        <f t="shared" si="8"/>
        <v>86501</v>
      </c>
      <c r="D35" s="48">
        <f t="shared" si="11"/>
        <v>80216.7</v>
      </c>
      <c r="E35" s="68">
        <f t="shared" si="12"/>
        <v>6284.3</v>
      </c>
      <c r="F35" s="47">
        <f t="shared" si="13"/>
        <v>1160179.0399999996</v>
      </c>
      <c r="G35" s="47">
        <f t="shared" si="14"/>
        <v>1079962.3399999996</v>
      </c>
    </row>
    <row r="36" spans="1:7" x14ac:dyDescent="0.25">
      <c r="A36" s="36">
        <v>44214</v>
      </c>
      <c r="B36" s="46">
        <f t="shared" si="2"/>
        <v>14</v>
      </c>
      <c r="C36" s="47">
        <f t="shared" si="8"/>
        <v>86501</v>
      </c>
      <c r="D36" s="48">
        <f t="shared" si="11"/>
        <v>80201.22</v>
      </c>
      <c r="E36" s="68">
        <f t="shared" si="12"/>
        <v>6299.78</v>
      </c>
      <c r="F36" s="47">
        <f t="shared" si="13"/>
        <v>1079962.3399999996</v>
      </c>
      <c r="G36" s="47">
        <f t="shared" si="14"/>
        <v>999761.11999999965</v>
      </c>
    </row>
    <row r="37" spans="1:7" x14ac:dyDescent="0.25">
      <c r="A37" s="36">
        <v>44228</v>
      </c>
      <c r="B37" s="46">
        <f t="shared" si="2"/>
        <v>13</v>
      </c>
      <c r="C37" s="47">
        <f>$H$2</f>
        <v>79958</v>
      </c>
      <c r="D37" s="48">
        <f t="shared" si="11"/>
        <v>74574.289999999994</v>
      </c>
      <c r="E37" s="68">
        <f>ROUND(G36*$B$2*L2/360+F37*$B$2*M2/360,2)</f>
        <v>5383.71</v>
      </c>
      <c r="F37" s="47">
        <f>G36-I2</f>
        <v>923761.11999999965</v>
      </c>
      <c r="G37" s="47">
        <f t="shared" si="14"/>
        <v>849186.82999999961</v>
      </c>
    </row>
    <row r="38" spans="1:7" x14ac:dyDescent="0.25">
      <c r="A38" s="36">
        <v>44242</v>
      </c>
      <c r="B38" s="46">
        <f t="shared" si="2"/>
        <v>14</v>
      </c>
      <c r="C38" s="47">
        <f t="shared" ref="C38:C48" si="15">$H$2</f>
        <v>79958</v>
      </c>
      <c r="D38" s="48">
        <f t="shared" si="11"/>
        <v>75004.41</v>
      </c>
      <c r="E38" s="68">
        <f t="shared" si="12"/>
        <v>4953.59</v>
      </c>
      <c r="F38" s="47">
        <f t="shared" si="13"/>
        <v>849186.82999999961</v>
      </c>
      <c r="G38" s="47">
        <f t="shared" si="14"/>
        <v>774182.41999999958</v>
      </c>
    </row>
    <row r="39" spans="1:7" x14ac:dyDescent="0.25">
      <c r="A39" s="36">
        <v>44256</v>
      </c>
      <c r="B39" s="46">
        <f t="shared" si="2"/>
        <v>16</v>
      </c>
      <c r="C39" s="47">
        <f t="shared" si="15"/>
        <v>79958</v>
      </c>
      <c r="D39" s="48">
        <f t="shared" si="11"/>
        <v>74796.78</v>
      </c>
      <c r="E39" s="68">
        <f t="shared" si="12"/>
        <v>5161.22</v>
      </c>
      <c r="F39" s="47">
        <f t="shared" si="13"/>
        <v>774182.41999999958</v>
      </c>
      <c r="G39" s="47">
        <f t="shared" si="14"/>
        <v>699385.63999999955</v>
      </c>
    </row>
    <row r="40" spans="1:7" x14ac:dyDescent="0.25">
      <c r="A40" s="36">
        <v>44270</v>
      </c>
      <c r="B40" s="46">
        <f t="shared" si="2"/>
        <v>14</v>
      </c>
      <c r="C40" s="47">
        <f t="shared" si="15"/>
        <v>79958</v>
      </c>
      <c r="D40" s="48">
        <f t="shared" si="11"/>
        <v>75878.25</v>
      </c>
      <c r="E40" s="68">
        <f t="shared" si="12"/>
        <v>4079.75</v>
      </c>
      <c r="F40" s="47">
        <f t="shared" si="13"/>
        <v>699385.63999999955</v>
      </c>
      <c r="G40" s="47">
        <f t="shared" si="14"/>
        <v>623507.38999999955</v>
      </c>
    </row>
    <row r="41" spans="1:7" x14ac:dyDescent="0.25">
      <c r="A41" s="36">
        <v>44284</v>
      </c>
      <c r="B41" s="46">
        <f t="shared" si="2"/>
        <v>14</v>
      </c>
      <c r="C41" s="47">
        <f t="shared" si="15"/>
        <v>79958</v>
      </c>
      <c r="D41" s="48">
        <f t="shared" si="11"/>
        <v>76320.87</v>
      </c>
      <c r="E41" s="68">
        <f t="shared" si="12"/>
        <v>3637.13</v>
      </c>
      <c r="F41" s="47">
        <f t="shared" si="13"/>
        <v>623507.38999999955</v>
      </c>
      <c r="G41" s="47">
        <f t="shared" si="14"/>
        <v>547186.51999999955</v>
      </c>
    </row>
    <row r="42" spans="1:7" x14ac:dyDescent="0.25">
      <c r="A42" s="36">
        <v>44298</v>
      </c>
      <c r="B42" s="46">
        <f t="shared" si="2"/>
        <v>13</v>
      </c>
      <c r="C42" s="47">
        <f t="shared" si="15"/>
        <v>79958</v>
      </c>
      <c r="D42" s="48">
        <f t="shared" si="11"/>
        <v>76994.070000000007</v>
      </c>
      <c r="E42" s="68">
        <f t="shared" si="12"/>
        <v>2963.93</v>
      </c>
      <c r="F42" s="47">
        <f t="shared" si="13"/>
        <v>547186.51999999955</v>
      </c>
      <c r="G42" s="47">
        <f t="shared" si="14"/>
        <v>470192.44999999955</v>
      </c>
    </row>
    <row r="43" spans="1:7" x14ac:dyDescent="0.25">
      <c r="A43" s="36">
        <v>44312</v>
      </c>
      <c r="B43" s="46">
        <f t="shared" si="2"/>
        <v>14</v>
      </c>
      <c r="C43" s="47">
        <f t="shared" si="15"/>
        <v>79958</v>
      </c>
      <c r="D43" s="48">
        <f t="shared" si="11"/>
        <v>77215.210000000006</v>
      </c>
      <c r="E43" s="68">
        <f t="shared" si="12"/>
        <v>2742.79</v>
      </c>
      <c r="F43" s="47">
        <f t="shared" si="13"/>
        <v>470192.44999999955</v>
      </c>
      <c r="G43" s="47">
        <f t="shared" si="14"/>
        <v>392977.23999999953</v>
      </c>
    </row>
    <row r="44" spans="1:7" x14ac:dyDescent="0.25">
      <c r="A44" s="36">
        <v>44326</v>
      </c>
      <c r="B44" s="46">
        <f t="shared" si="2"/>
        <v>14</v>
      </c>
      <c r="C44" s="47">
        <f t="shared" si="15"/>
        <v>79958</v>
      </c>
      <c r="D44" s="48">
        <f t="shared" si="11"/>
        <v>77665.63</v>
      </c>
      <c r="E44" s="68">
        <f t="shared" si="12"/>
        <v>2292.37</v>
      </c>
      <c r="F44" s="47">
        <f t="shared" si="13"/>
        <v>392977.23999999953</v>
      </c>
      <c r="G44" s="47">
        <f t="shared" si="14"/>
        <v>315311.60999999952</v>
      </c>
    </row>
    <row r="45" spans="1:7" x14ac:dyDescent="0.25">
      <c r="A45" s="36">
        <v>44340</v>
      </c>
      <c r="B45" s="46">
        <f t="shared" si="2"/>
        <v>14</v>
      </c>
      <c r="C45" s="47">
        <f t="shared" si="15"/>
        <v>79958</v>
      </c>
      <c r="D45" s="48">
        <f t="shared" si="11"/>
        <v>78118.679999999993</v>
      </c>
      <c r="E45" s="68">
        <f t="shared" si="12"/>
        <v>1839.32</v>
      </c>
      <c r="F45" s="47">
        <f t="shared" si="13"/>
        <v>315311.60999999952</v>
      </c>
      <c r="G45" s="47">
        <f t="shared" si="14"/>
        <v>237192.92999999953</v>
      </c>
    </row>
    <row r="46" spans="1:7" x14ac:dyDescent="0.25">
      <c r="A46" s="36">
        <v>44354</v>
      </c>
      <c r="B46" s="46">
        <f t="shared" si="2"/>
        <v>13</v>
      </c>
      <c r="C46" s="47">
        <f t="shared" si="15"/>
        <v>79958</v>
      </c>
      <c r="D46" s="48">
        <f t="shared" si="11"/>
        <v>78673.2</v>
      </c>
      <c r="E46" s="68">
        <f t="shared" si="12"/>
        <v>1284.8</v>
      </c>
      <c r="F46" s="47">
        <f t="shared" si="13"/>
        <v>237192.92999999953</v>
      </c>
      <c r="G46" s="47">
        <f t="shared" si="14"/>
        <v>158519.72999999952</v>
      </c>
    </row>
    <row r="47" spans="1:7" x14ac:dyDescent="0.25">
      <c r="A47" s="36">
        <v>44368</v>
      </c>
      <c r="B47" s="46">
        <f t="shared" si="2"/>
        <v>14</v>
      </c>
      <c r="C47" s="47">
        <f t="shared" si="15"/>
        <v>79958</v>
      </c>
      <c r="D47" s="48">
        <f t="shared" si="11"/>
        <v>79033.3</v>
      </c>
      <c r="E47" s="68">
        <f t="shared" si="12"/>
        <v>924.7</v>
      </c>
      <c r="F47" s="47">
        <f t="shared" si="13"/>
        <v>158519.72999999952</v>
      </c>
      <c r="G47" s="47">
        <f t="shared" si="14"/>
        <v>79486.429999999513</v>
      </c>
    </row>
    <row r="48" spans="1:7" x14ac:dyDescent="0.25">
      <c r="A48" s="36">
        <v>44382</v>
      </c>
      <c r="B48" s="46">
        <f t="shared" si="2"/>
        <v>14</v>
      </c>
      <c r="C48" s="47">
        <f t="shared" si="15"/>
        <v>79958</v>
      </c>
      <c r="D48" s="48">
        <f t="shared" si="11"/>
        <v>79486.429999999993</v>
      </c>
      <c r="E48" s="68">
        <v>471.57</v>
      </c>
      <c r="F48" s="47">
        <f t="shared" si="13"/>
        <v>79486.429999999513</v>
      </c>
      <c r="G48" s="47">
        <f t="shared" si="14"/>
        <v>-4.8021320253610611E-10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AC620A-A95B-4292-AF4A-B89FAC1CF96C}">
  <dimension ref="A1:I50"/>
  <sheetViews>
    <sheetView zoomScale="80" zoomScaleNormal="80" workbookViewId="0">
      <pane ySplit="3" topLeftCell="A33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</cols>
  <sheetData>
    <row r="1" spans="1:9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175</v>
      </c>
      <c r="G1" s="132" t="s">
        <v>346</v>
      </c>
      <c r="H1" s="124" t="s">
        <v>149</v>
      </c>
      <c r="I1" s="132" t="s">
        <v>175</v>
      </c>
    </row>
    <row r="2" spans="1:9" x14ac:dyDescent="0.25">
      <c r="A2" s="75" t="s">
        <v>34</v>
      </c>
      <c r="B2" s="76">
        <v>0.15</v>
      </c>
      <c r="C2" s="17">
        <f>ROUNDUP(89458.2412434977,0)</f>
        <v>89459</v>
      </c>
      <c r="D2" s="125">
        <v>44102</v>
      </c>
      <c r="E2" s="124">
        <f>ROUNDUP(94825.2965199267,0)</f>
        <v>94826</v>
      </c>
      <c r="F2" s="183">
        <v>0.3</v>
      </c>
      <c r="G2" s="134">
        <v>44256</v>
      </c>
      <c r="H2" s="124">
        <f>ROUNDUP(93062.535567243,0)</f>
        <v>93063</v>
      </c>
      <c r="I2" s="180">
        <v>0.2</v>
      </c>
    </row>
    <row r="3" spans="1: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9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>F4-D4</f>
        <v>2000000</v>
      </c>
    </row>
    <row r="5" spans="1:9" x14ac:dyDescent="0.25">
      <c r="A5" s="36">
        <v>44060</v>
      </c>
      <c r="B5" s="46">
        <f>A5-A4</f>
        <v>14</v>
      </c>
      <c r="C5" s="47">
        <f t="shared" ref="C5:C30" si="0">$C$2</f>
        <v>89459</v>
      </c>
      <c r="D5" s="48">
        <f t="shared" ref="D5:D28" si="1">C5-E5</f>
        <v>77952.149999999994</v>
      </c>
      <c r="E5" s="68">
        <f>ROUND(F5*$B$2*B5/365,2)</f>
        <v>11506.85</v>
      </c>
      <c r="F5" s="47">
        <f>G4</f>
        <v>2000000</v>
      </c>
      <c r="G5" s="47">
        <f>F5-D5</f>
        <v>1922047.85</v>
      </c>
    </row>
    <row r="6" spans="1:9" x14ac:dyDescent="0.25">
      <c r="A6" s="36">
        <v>44074</v>
      </c>
      <c r="B6" s="46">
        <f t="shared" ref="B6:B28" si="2">A6-A5</f>
        <v>14</v>
      </c>
      <c r="C6" s="47">
        <f t="shared" si="0"/>
        <v>89459</v>
      </c>
      <c r="D6" s="48">
        <f t="shared" si="1"/>
        <v>78400.639999999999</v>
      </c>
      <c r="E6" s="68">
        <f>ROUND(F6*$B$2*B6/365,2)</f>
        <v>11058.36</v>
      </c>
      <c r="F6" s="47">
        <f t="shared" ref="F6:F28" si="3">G5</f>
        <v>1922047.85</v>
      </c>
      <c r="G6" s="47">
        <f t="shared" ref="G6:G31" si="4">F6-D6</f>
        <v>1843647.2100000002</v>
      </c>
    </row>
    <row r="7" spans="1:9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78851.709999999992</v>
      </c>
      <c r="E7" s="68">
        <f t="shared" ref="E7:E27" si="5">ROUND(F7*$B$2*B7/365,2)</f>
        <v>10607.29</v>
      </c>
      <c r="F7" s="47">
        <f t="shared" si="3"/>
        <v>1843647.2100000002</v>
      </c>
      <c r="G7" s="47">
        <f t="shared" si="4"/>
        <v>1764795.5000000002</v>
      </c>
    </row>
    <row r="8" spans="1:9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79305.38</v>
      </c>
      <c r="E8" s="68">
        <f t="shared" si="5"/>
        <v>10153.620000000001</v>
      </c>
      <c r="F8" s="47">
        <f t="shared" si="3"/>
        <v>1764795.5000000002</v>
      </c>
      <c r="G8" s="47">
        <f t="shared" si="4"/>
        <v>1685490.12</v>
      </c>
    </row>
    <row r="9" spans="1:9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79761.66</v>
      </c>
      <c r="E9" s="68">
        <f t="shared" si="5"/>
        <v>9697.34</v>
      </c>
      <c r="F9" s="47">
        <f t="shared" si="3"/>
        <v>1685490.12</v>
      </c>
      <c r="G9" s="47">
        <f t="shared" si="4"/>
        <v>1605728.4600000002</v>
      </c>
    </row>
    <row r="10" spans="1:9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80220.56</v>
      </c>
      <c r="E10" s="68">
        <f t="shared" si="5"/>
        <v>9238.44</v>
      </c>
      <c r="F10" s="47">
        <f t="shared" si="3"/>
        <v>1605728.4600000002</v>
      </c>
      <c r="G10" s="47">
        <f t="shared" si="4"/>
        <v>1525507.9000000001</v>
      </c>
    </row>
    <row r="11" spans="1:9" x14ac:dyDescent="0.25">
      <c r="A11" s="36">
        <v>44144</v>
      </c>
      <c r="B11" s="46">
        <f t="shared" si="2"/>
        <v>14</v>
      </c>
      <c r="C11" s="47">
        <f t="shared" si="0"/>
        <v>89459</v>
      </c>
      <c r="D11" s="48">
        <f t="shared" si="1"/>
        <v>80682.11</v>
      </c>
      <c r="E11" s="68">
        <f t="shared" si="5"/>
        <v>8776.89</v>
      </c>
      <c r="F11" s="47">
        <f t="shared" si="3"/>
        <v>1525507.9000000001</v>
      </c>
      <c r="G11" s="47">
        <f t="shared" si="4"/>
        <v>1444825.79</v>
      </c>
    </row>
    <row r="12" spans="1:9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81146.3</v>
      </c>
      <c r="E12" s="68">
        <f t="shared" si="5"/>
        <v>8312.7000000000007</v>
      </c>
      <c r="F12" s="47">
        <f t="shared" si="3"/>
        <v>1444825.79</v>
      </c>
      <c r="G12" s="47">
        <f t="shared" si="4"/>
        <v>1363679.49</v>
      </c>
    </row>
    <row r="13" spans="1:9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81613.17</v>
      </c>
      <c r="E13" s="68">
        <f t="shared" si="5"/>
        <v>7845.83</v>
      </c>
      <c r="F13" s="47">
        <f t="shared" si="3"/>
        <v>1363679.49</v>
      </c>
      <c r="G13" s="47">
        <f t="shared" si="4"/>
        <v>1282066.32</v>
      </c>
    </row>
    <row r="14" spans="1:9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82082.73</v>
      </c>
      <c r="E14" s="68">
        <f t="shared" si="5"/>
        <v>7376.27</v>
      </c>
      <c r="F14" s="47">
        <f t="shared" si="3"/>
        <v>1282066.32</v>
      </c>
      <c r="G14" s="47">
        <f t="shared" si="4"/>
        <v>1199983.5900000001</v>
      </c>
    </row>
    <row r="15" spans="1:9" x14ac:dyDescent="0.25">
      <c r="A15" s="36">
        <v>44200</v>
      </c>
      <c r="B15" s="46">
        <f t="shared" si="2"/>
        <v>14</v>
      </c>
      <c r="C15" s="47">
        <f t="shared" si="0"/>
        <v>89459</v>
      </c>
      <c r="D15" s="48">
        <f t="shared" si="1"/>
        <v>82554.98</v>
      </c>
      <c r="E15" s="68">
        <f t="shared" si="5"/>
        <v>6904.02</v>
      </c>
      <c r="F15" s="47">
        <f t="shared" si="3"/>
        <v>1199983.5900000001</v>
      </c>
      <c r="G15" s="47">
        <f t="shared" si="4"/>
        <v>1117428.6100000001</v>
      </c>
    </row>
    <row r="16" spans="1:9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83029.960000000006</v>
      </c>
      <c r="E16" s="68">
        <f t="shared" si="5"/>
        <v>6429.04</v>
      </c>
      <c r="F16" s="47">
        <f t="shared" si="3"/>
        <v>1117428.6100000001</v>
      </c>
      <c r="G16" s="47">
        <f t="shared" si="4"/>
        <v>1034398.6500000001</v>
      </c>
    </row>
    <row r="17" spans="1:7" x14ac:dyDescent="0.25">
      <c r="A17" s="36">
        <v>44228</v>
      </c>
      <c r="B17" s="46">
        <f t="shared" si="2"/>
        <v>14</v>
      </c>
      <c r="C17" s="47">
        <f t="shared" si="0"/>
        <v>89459</v>
      </c>
      <c r="D17" s="48">
        <f t="shared" si="1"/>
        <v>83507.67</v>
      </c>
      <c r="E17" s="68">
        <f t="shared" si="5"/>
        <v>5951.33</v>
      </c>
      <c r="F17" s="47">
        <f t="shared" si="3"/>
        <v>1034398.6500000001</v>
      </c>
      <c r="G17" s="47">
        <f t="shared" si="4"/>
        <v>950890.9800000001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83988.12</v>
      </c>
      <c r="E18" s="68">
        <f t="shared" si="5"/>
        <v>5470.88</v>
      </c>
      <c r="F18" s="47">
        <f t="shared" si="3"/>
        <v>950890.9800000001</v>
      </c>
      <c r="G18" s="47">
        <f t="shared" si="4"/>
        <v>866902.8600000001</v>
      </c>
    </row>
    <row r="19" spans="1:7" x14ac:dyDescent="0.25">
      <c r="A19" s="36">
        <v>44256</v>
      </c>
      <c r="B19" s="46">
        <f t="shared" si="2"/>
        <v>14</v>
      </c>
      <c r="C19" s="47">
        <f t="shared" si="0"/>
        <v>89459</v>
      </c>
      <c r="D19" s="48">
        <f t="shared" si="1"/>
        <v>84471.34</v>
      </c>
      <c r="E19" s="68">
        <f t="shared" si="5"/>
        <v>4987.66</v>
      </c>
      <c r="F19" s="47">
        <f t="shared" si="3"/>
        <v>866902.8600000001</v>
      </c>
      <c r="G19" s="47">
        <f t="shared" si="4"/>
        <v>782431.52000000014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84957.34</v>
      </c>
      <c r="E20" s="68">
        <f t="shared" si="5"/>
        <v>4501.66</v>
      </c>
      <c r="F20" s="47">
        <f t="shared" si="3"/>
        <v>782431.52000000014</v>
      </c>
      <c r="G20" s="47">
        <f t="shared" si="4"/>
        <v>697474.18000000017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85446.13</v>
      </c>
      <c r="E21" s="68">
        <f t="shared" si="5"/>
        <v>4012.87</v>
      </c>
      <c r="F21" s="47">
        <f t="shared" si="3"/>
        <v>697474.18000000017</v>
      </c>
      <c r="G21" s="47">
        <f t="shared" si="4"/>
        <v>612028.05000000016</v>
      </c>
    </row>
    <row r="22" spans="1:7" x14ac:dyDescent="0.25">
      <c r="A22" s="36">
        <v>44298</v>
      </c>
      <c r="B22" s="46">
        <f t="shared" si="2"/>
        <v>14</v>
      </c>
      <c r="C22" s="47">
        <f t="shared" si="0"/>
        <v>89459</v>
      </c>
      <c r="D22" s="48">
        <f t="shared" si="1"/>
        <v>85937.74</v>
      </c>
      <c r="E22" s="68">
        <f t="shared" si="5"/>
        <v>3521.26</v>
      </c>
      <c r="F22" s="47">
        <f t="shared" si="3"/>
        <v>612028.05000000016</v>
      </c>
      <c r="G22" s="47">
        <f t="shared" si="4"/>
        <v>526090.31000000017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86432.18</v>
      </c>
      <c r="E23" s="68">
        <f t="shared" si="5"/>
        <v>3026.82</v>
      </c>
      <c r="F23" s="47">
        <f t="shared" si="3"/>
        <v>526090.31000000017</v>
      </c>
      <c r="G23" s="47">
        <f t="shared" si="4"/>
        <v>439658.13000000018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86929.46</v>
      </c>
      <c r="E24" s="68">
        <f t="shared" si="5"/>
        <v>2529.54</v>
      </c>
      <c r="F24" s="47">
        <f t="shared" si="3"/>
        <v>439658.13000000018</v>
      </c>
      <c r="G24" s="47">
        <f t="shared" si="4"/>
        <v>352728.67000000016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87429.6</v>
      </c>
      <c r="E25" s="68">
        <f t="shared" si="5"/>
        <v>2029.4</v>
      </c>
      <c r="F25" s="47">
        <f t="shared" si="3"/>
        <v>352728.67000000016</v>
      </c>
      <c r="G25" s="47">
        <f t="shared" si="4"/>
        <v>265299.07000000018</v>
      </c>
    </row>
    <row r="26" spans="1:7" x14ac:dyDescent="0.25">
      <c r="A26" s="36">
        <v>44354</v>
      </c>
      <c r="B26" s="46">
        <f t="shared" si="2"/>
        <v>14</v>
      </c>
      <c r="C26" s="47">
        <f t="shared" si="0"/>
        <v>89459</v>
      </c>
      <c r="D26" s="48">
        <f t="shared" si="1"/>
        <v>87932.62</v>
      </c>
      <c r="E26" s="68">
        <f t="shared" si="5"/>
        <v>1526.38</v>
      </c>
      <c r="F26" s="47">
        <f t="shared" si="3"/>
        <v>265299.07000000018</v>
      </c>
      <c r="G26" s="47">
        <f t="shared" si="4"/>
        <v>177366.45000000019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88438.54</v>
      </c>
      <c r="E27" s="68">
        <f t="shared" si="5"/>
        <v>1020.46</v>
      </c>
      <c r="F27" s="47">
        <f t="shared" si="3"/>
        <v>177366.45000000019</v>
      </c>
      <c r="G27" s="47">
        <f t="shared" si="4"/>
        <v>88927.910000000193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88927.910000000193</v>
      </c>
      <c r="E28" s="68">
        <v>531.0899999998079</v>
      </c>
      <c r="F28" s="47">
        <f t="shared" si="3"/>
        <v>88927.910000000193</v>
      </c>
      <c r="G28" s="47">
        <f t="shared" si="4"/>
        <v>0</v>
      </c>
    </row>
    <row r="29" spans="1:7" x14ac:dyDescent="0.25">
      <c r="A29" s="36">
        <v>44088</v>
      </c>
      <c r="B29">
        <f>A7-A6</f>
        <v>14</v>
      </c>
      <c r="C29" s="47">
        <f t="shared" si="0"/>
        <v>89459</v>
      </c>
      <c r="D29" s="48">
        <f>C29-E29</f>
        <v>78851.709999999992</v>
      </c>
      <c r="E29">
        <f>ROUND(F7*$B$2*B7/365,2)</f>
        <v>10607.29</v>
      </c>
      <c r="F29" s="33">
        <f>G6</f>
        <v>1843647.2100000002</v>
      </c>
      <c r="G29" s="181">
        <f t="shared" si="4"/>
        <v>1764795.5000000002</v>
      </c>
    </row>
    <row r="30" spans="1:7" x14ac:dyDescent="0.25">
      <c r="A30" s="36">
        <v>44102</v>
      </c>
      <c r="B30" s="46">
        <f t="shared" ref="B30:B50" si="6">A30-A29</f>
        <v>14</v>
      </c>
      <c r="C30" s="47">
        <f t="shared" si="0"/>
        <v>89459</v>
      </c>
      <c r="D30" s="48">
        <f t="shared" ref="D30:D31" si="7">C30-E30</f>
        <v>79305.38</v>
      </c>
      <c r="E30" s="68">
        <f t="shared" ref="E30" si="8">ROUND(F30*$B$2*B30/365,2)</f>
        <v>10153.620000000001</v>
      </c>
      <c r="F30" s="47">
        <f t="shared" ref="F30" si="9">G29</f>
        <v>1764795.5000000002</v>
      </c>
      <c r="G30" s="47">
        <f t="shared" si="4"/>
        <v>1685490.12</v>
      </c>
    </row>
    <row r="31" spans="1:7" x14ac:dyDescent="0.25">
      <c r="A31" s="36">
        <v>44116</v>
      </c>
      <c r="B31" s="46">
        <f t="shared" si="6"/>
        <v>14</v>
      </c>
      <c r="C31" s="47">
        <f t="shared" ref="C31:C41" si="10">$E$2</f>
        <v>94826</v>
      </c>
      <c r="D31" s="48">
        <f t="shared" si="7"/>
        <v>75431.320000000007</v>
      </c>
      <c r="E31" s="68">
        <f>ROUND(F31*$F$2*B31/365,2)</f>
        <v>19394.68</v>
      </c>
      <c r="F31" s="47">
        <f>G30</f>
        <v>1685490.12</v>
      </c>
      <c r="G31" s="47">
        <f t="shared" si="4"/>
        <v>1610058.8</v>
      </c>
    </row>
    <row r="32" spans="1:7" x14ac:dyDescent="0.25">
      <c r="A32" s="36">
        <v>44130</v>
      </c>
      <c r="B32" s="46">
        <f t="shared" si="6"/>
        <v>14</v>
      </c>
      <c r="C32" s="47">
        <f t="shared" si="10"/>
        <v>94826</v>
      </c>
      <c r="D32" s="48">
        <f t="shared" ref="D32:D50" si="11">C32-E32</f>
        <v>76299.3</v>
      </c>
      <c r="E32" s="68">
        <f t="shared" ref="E32:E41" si="12">ROUND(F32*$F$2*B32/365,2)</f>
        <v>18526.7</v>
      </c>
      <c r="F32" s="47">
        <f t="shared" ref="F32:F50" si="13">G31</f>
        <v>1610058.8</v>
      </c>
      <c r="G32" s="47">
        <f t="shared" ref="G32:G50" si="14">F32-D32</f>
        <v>1533759.5</v>
      </c>
    </row>
    <row r="33" spans="1:7" x14ac:dyDescent="0.25">
      <c r="A33" s="36">
        <v>44144</v>
      </c>
      <c r="B33" s="46">
        <f t="shared" si="6"/>
        <v>14</v>
      </c>
      <c r="C33" s="47">
        <f t="shared" si="10"/>
        <v>94826</v>
      </c>
      <c r="D33" s="48">
        <f t="shared" si="11"/>
        <v>77177.259999999995</v>
      </c>
      <c r="E33" s="68">
        <f t="shared" si="12"/>
        <v>17648.740000000002</v>
      </c>
      <c r="F33" s="47">
        <f t="shared" si="13"/>
        <v>1533759.5</v>
      </c>
      <c r="G33" s="47">
        <f t="shared" si="14"/>
        <v>1456582.24</v>
      </c>
    </row>
    <row r="34" spans="1:7" x14ac:dyDescent="0.25">
      <c r="A34" s="36">
        <v>44158</v>
      </c>
      <c r="B34" s="46">
        <f t="shared" si="6"/>
        <v>14</v>
      </c>
      <c r="C34" s="47">
        <f t="shared" si="10"/>
        <v>94826</v>
      </c>
      <c r="D34" s="48">
        <f t="shared" si="11"/>
        <v>78065.33</v>
      </c>
      <c r="E34" s="68">
        <f t="shared" si="12"/>
        <v>16760.669999999998</v>
      </c>
      <c r="F34" s="47">
        <f t="shared" si="13"/>
        <v>1456582.24</v>
      </c>
      <c r="G34" s="47">
        <f t="shared" si="14"/>
        <v>1378516.91</v>
      </c>
    </row>
    <row r="35" spans="1:7" x14ac:dyDescent="0.25">
      <c r="A35" s="36">
        <v>44172</v>
      </c>
      <c r="B35" s="46">
        <f t="shared" si="6"/>
        <v>14</v>
      </c>
      <c r="C35" s="47">
        <f t="shared" si="10"/>
        <v>94826</v>
      </c>
      <c r="D35" s="48">
        <f t="shared" si="11"/>
        <v>78963.61</v>
      </c>
      <c r="E35" s="68">
        <f t="shared" si="12"/>
        <v>15862.39</v>
      </c>
      <c r="F35" s="47">
        <f t="shared" si="13"/>
        <v>1378516.91</v>
      </c>
      <c r="G35" s="47">
        <f t="shared" si="14"/>
        <v>1299553.2999999998</v>
      </c>
    </row>
    <row r="36" spans="1:7" x14ac:dyDescent="0.25">
      <c r="A36" s="36">
        <v>44186</v>
      </c>
      <c r="B36" s="46">
        <f t="shared" si="6"/>
        <v>14</v>
      </c>
      <c r="C36" s="47">
        <f t="shared" si="10"/>
        <v>94826</v>
      </c>
      <c r="D36" s="48">
        <f t="shared" si="11"/>
        <v>79872.240000000005</v>
      </c>
      <c r="E36" s="68">
        <f t="shared" si="12"/>
        <v>14953.76</v>
      </c>
      <c r="F36" s="47">
        <f t="shared" si="13"/>
        <v>1299553.2999999998</v>
      </c>
      <c r="G36" s="47">
        <f t="shared" si="14"/>
        <v>1219681.0599999998</v>
      </c>
    </row>
    <row r="37" spans="1:7" x14ac:dyDescent="0.25">
      <c r="A37" s="36">
        <v>44200</v>
      </c>
      <c r="B37" s="46">
        <f t="shared" si="6"/>
        <v>14</v>
      </c>
      <c r="C37" s="47">
        <f t="shared" si="10"/>
        <v>94826</v>
      </c>
      <c r="D37" s="48">
        <f t="shared" si="11"/>
        <v>80791.31</v>
      </c>
      <c r="E37" s="68">
        <f t="shared" si="12"/>
        <v>14034.69</v>
      </c>
      <c r="F37" s="47">
        <f t="shared" si="13"/>
        <v>1219681.0599999998</v>
      </c>
      <c r="G37" s="47">
        <f t="shared" si="14"/>
        <v>1138889.7499999998</v>
      </c>
    </row>
    <row r="38" spans="1:7" x14ac:dyDescent="0.25">
      <c r="A38" s="36">
        <v>44214</v>
      </c>
      <c r="B38" s="46">
        <f t="shared" si="6"/>
        <v>14</v>
      </c>
      <c r="C38" s="47">
        <f t="shared" si="10"/>
        <v>94826</v>
      </c>
      <c r="D38" s="48">
        <f t="shared" si="11"/>
        <v>81720.97</v>
      </c>
      <c r="E38" s="68">
        <f t="shared" si="12"/>
        <v>13105.03</v>
      </c>
      <c r="F38" s="47">
        <f t="shared" si="13"/>
        <v>1138889.7499999998</v>
      </c>
      <c r="G38" s="47">
        <f t="shared" si="14"/>
        <v>1057168.7799999998</v>
      </c>
    </row>
    <row r="39" spans="1:7" x14ac:dyDescent="0.25">
      <c r="A39" s="36">
        <v>44228</v>
      </c>
      <c r="B39" s="46">
        <f t="shared" si="6"/>
        <v>14</v>
      </c>
      <c r="C39" s="47">
        <f t="shared" si="10"/>
        <v>94826</v>
      </c>
      <c r="D39" s="48">
        <f t="shared" si="11"/>
        <v>82661.320000000007</v>
      </c>
      <c r="E39" s="68">
        <f t="shared" si="12"/>
        <v>12164.68</v>
      </c>
      <c r="F39" s="47">
        <f t="shared" si="13"/>
        <v>1057168.7799999998</v>
      </c>
      <c r="G39" s="47">
        <f t="shared" si="14"/>
        <v>974507.45999999973</v>
      </c>
    </row>
    <row r="40" spans="1:7" x14ac:dyDescent="0.25">
      <c r="A40" s="36">
        <v>44242</v>
      </c>
      <c r="B40" s="46">
        <f t="shared" si="6"/>
        <v>14</v>
      </c>
      <c r="C40" s="47">
        <f t="shared" si="10"/>
        <v>94826</v>
      </c>
      <c r="D40" s="48">
        <f t="shared" si="11"/>
        <v>83612.490000000005</v>
      </c>
      <c r="E40" s="68">
        <f t="shared" si="12"/>
        <v>11213.51</v>
      </c>
      <c r="F40" s="47">
        <f t="shared" si="13"/>
        <v>974507.45999999973</v>
      </c>
      <c r="G40" s="47">
        <f t="shared" si="14"/>
        <v>890894.96999999974</v>
      </c>
    </row>
    <row r="41" spans="1:7" x14ac:dyDescent="0.25">
      <c r="A41" s="36">
        <v>44256</v>
      </c>
      <c r="B41" s="46">
        <f t="shared" si="6"/>
        <v>14</v>
      </c>
      <c r="C41" s="47">
        <f t="shared" si="10"/>
        <v>94826</v>
      </c>
      <c r="D41" s="48">
        <f t="shared" si="11"/>
        <v>84574.61</v>
      </c>
      <c r="E41" s="68">
        <f t="shared" si="12"/>
        <v>10251.39</v>
      </c>
      <c r="F41" s="47">
        <f t="shared" si="13"/>
        <v>890894.96999999974</v>
      </c>
      <c r="G41" s="47">
        <f t="shared" si="14"/>
        <v>806320.35999999975</v>
      </c>
    </row>
    <row r="42" spans="1:7" x14ac:dyDescent="0.25">
      <c r="A42" s="36">
        <v>44270</v>
      </c>
      <c r="B42" s="46">
        <f t="shared" si="6"/>
        <v>14</v>
      </c>
      <c r="C42" s="47">
        <f>$H$2</f>
        <v>93063</v>
      </c>
      <c r="D42" s="48">
        <f t="shared" si="11"/>
        <v>86877.53</v>
      </c>
      <c r="E42" s="68">
        <f>ROUND(F42*$I$2*B42/365,2)</f>
        <v>6185.47</v>
      </c>
      <c r="F42" s="47">
        <f t="shared" si="13"/>
        <v>806320.35999999975</v>
      </c>
      <c r="G42" s="47">
        <f t="shared" si="14"/>
        <v>719442.82999999973</v>
      </c>
    </row>
    <row r="43" spans="1:7" x14ac:dyDescent="0.25">
      <c r="A43" s="36">
        <v>44284</v>
      </c>
      <c r="B43" s="46">
        <f t="shared" si="6"/>
        <v>14</v>
      </c>
      <c r="C43" s="47">
        <f t="shared" ref="C43:C50" si="15">$H$2</f>
        <v>93063</v>
      </c>
      <c r="D43" s="48">
        <f t="shared" si="11"/>
        <v>87543.99</v>
      </c>
      <c r="E43" s="68">
        <f t="shared" ref="E43:E49" si="16">ROUND(F43*$I$2*B43/365,2)</f>
        <v>5519.01</v>
      </c>
      <c r="F43" s="47">
        <f t="shared" si="13"/>
        <v>719442.82999999973</v>
      </c>
      <c r="G43" s="47">
        <f t="shared" si="14"/>
        <v>631898.83999999973</v>
      </c>
    </row>
    <row r="44" spans="1:7" x14ac:dyDescent="0.25">
      <c r="A44" s="36">
        <v>44298</v>
      </c>
      <c r="B44" s="46">
        <f t="shared" si="6"/>
        <v>14</v>
      </c>
      <c r="C44" s="47">
        <f t="shared" si="15"/>
        <v>93063</v>
      </c>
      <c r="D44" s="48">
        <f t="shared" si="11"/>
        <v>88215.56</v>
      </c>
      <c r="E44" s="68">
        <f t="shared" si="16"/>
        <v>4847.4399999999996</v>
      </c>
      <c r="F44" s="47">
        <f t="shared" si="13"/>
        <v>631898.83999999973</v>
      </c>
      <c r="G44" s="47">
        <f t="shared" si="14"/>
        <v>543683.2799999998</v>
      </c>
    </row>
    <row r="45" spans="1:7" x14ac:dyDescent="0.25">
      <c r="A45" s="36">
        <v>44312</v>
      </c>
      <c r="B45" s="46">
        <f t="shared" si="6"/>
        <v>14</v>
      </c>
      <c r="C45" s="47">
        <f t="shared" si="15"/>
        <v>93063</v>
      </c>
      <c r="D45" s="48">
        <f t="shared" si="11"/>
        <v>88892.28</v>
      </c>
      <c r="E45" s="68">
        <f t="shared" si="16"/>
        <v>4170.72</v>
      </c>
      <c r="F45" s="47">
        <f t="shared" si="13"/>
        <v>543683.2799999998</v>
      </c>
      <c r="G45" s="47">
        <f t="shared" si="14"/>
        <v>454790.99999999977</v>
      </c>
    </row>
    <row r="46" spans="1:7" x14ac:dyDescent="0.25">
      <c r="A46" s="36">
        <v>44326</v>
      </c>
      <c r="B46" s="46">
        <f t="shared" si="6"/>
        <v>14</v>
      </c>
      <c r="C46" s="47">
        <f t="shared" si="15"/>
        <v>93063</v>
      </c>
      <c r="D46" s="48">
        <f t="shared" si="11"/>
        <v>89574.19</v>
      </c>
      <c r="E46" s="68">
        <f t="shared" si="16"/>
        <v>3488.81</v>
      </c>
      <c r="F46" s="47">
        <f t="shared" si="13"/>
        <v>454790.99999999977</v>
      </c>
      <c r="G46" s="47">
        <f t="shared" si="14"/>
        <v>365216.80999999976</v>
      </c>
    </row>
    <row r="47" spans="1:7" x14ac:dyDescent="0.25">
      <c r="A47" s="36">
        <v>44340</v>
      </c>
      <c r="B47" s="46">
        <f t="shared" si="6"/>
        <v>14</v>
      </c>
      <c r="C47" s="47">
        <f t="shared" si="15"/>
        <v>93063</v>
      </c>
      <c r="D47" s="48">
        <f t="shared" si="11"/>
        <v>90261.34</v>
      </c>
      <c r="E47" s="68">
        <f t="shared" si="16"/>
        <v>2801.66</v>
      </c>
      <c r="F47" s="47">
        <f t="shared" si="13"/>
        <v>365216.80999999976</v>
      </c>
      <c r="G47" s="47">
        <f t="shared" si="14"/>
        <v>274955.46999999974</v>
      </c>
    </row>
    <row r="48" spans="1:7" x14ac:dyDescent="0.25">
      <c r="A48" s="36">
        <v>44354</v>
      </c>
      <c r="B48" s="46">
        <f t="shared" si="6"/>
        <v>14</v>
      </c>
      <c r="C48" s="47">
        <f t="shared" si="15"/>
        <v>93063</v>
      </c>
      <c r="D48" s="48">
        <f t="shared" si="11"/>
        <v>90953.75</v>
      </c>
      <c r="E48" s="68">
        <f t="shared" si="16"/>
        <v>2109.25</v>
      </c>
      <c r="F48" s="47">
        <f t="shared" si="13"/>
        <v>274955.46999999974</v>
      </c>
      <c r="G48" s="47">
        <f t="shared" si="14"/>
        <v>184001.71999999974</v>
      </c>
    </row>
    <row r="49" spans="1:7" x14ac:dyDescent="0.25">
      <c r="A49" s="36">
        <v>44368</v>
      </c>
      <c r="B49" s="46">
        <f t="shared" si="6"/>
        <v>14</v>
      </c>
      <c r="C49" s="47">
        <f t="shared" si="15"/>
        <v>93063</v>
      </c>
      <c r="D49" s="48">
        <f t="shared" si="11"/>
        <v>91651.48</v>
      </c>
      <c r="E49" s="68">
        <f t="shared" si="16"/>
        <v>1411.52</v>
      </c>
      <c r="F49" s="47">
        <f t="shared" si="13"/>
        <v>184001.71999999974</v>
      </c>
      <c r="G49" s="47">
        <f t="shared" si="14"/>
        <v>92350.239999999743</v>
      </c>
    </row>
    <row r="50" spans="1:7" x14ac:dyDescent="0.25">
      <c r="A50" s="36">
        <v>44382</v>
      </c>
      <c r="B50" s="46">
        <f t="shared" si="6"/>
        <v>14</v>
      </c>
      <c r="C50" s="47">
        <f t="shared" si="15"/>
        <v>93063</v>
      </c>
      <c r="D50" s="48">
        <f t="shared" si="11"/>
        <v>92350.239999999743</v>
      </c>
      <c r="E50" s="68">
        <v>712.76000000025442</v>
      </c>
      <c r="F50" s="47">
        <f t="shared" si="13"/>
        <v>92350.239999999743</v>
      </c>
      <c r="G50" s="47">
        <f t="shared" si="14"/>
        <v>0</v>
      </c>
    </row>
  </sheetData>
  <pageMargins left="0.7" right="0.7" top="0.75" bottom="0.75" header="0.3" footer="0.3"/>
  <pageSetup orientation="portrait" r:id="rId1"/>
</worksheet>
</file>

<file path=xl/worksheets/sheet1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D2DFD4-A2FF-459C-B3D1-88C275F2E72A}">
  <dimension ref="A1:I50"/>
  <sheetViews>
    <sheetView zoomScale="80" zoomScaleNormal="80" workbookViewId="0">
      <pane ySplit="3" topLeftCell="A4" activePane="bottomLeft" state="frozen"/>
      <selection activeCell="A2" sqref="A2"/>
      <selection pane="bottomLeft" activeCell="A2" sqref="A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</cols>
  <sheetData>
    <row r="1" spans="1:9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175</v>
      </c>
      <c r="G1" s="132" t="s">
        <v>346</v>
      </c>
      <c r="H1" s="124" t="s">
        <v>149</v>
      </c>
      <c r="I1" s="132" t="s">
        <v>175</v>
      </c>
    </row>
    <row r="2" spans="1:9" x14ac:dyDescent="0.25">
      <c r="A2" s="75" t="s">
        <v>34</v>
      </c>
      <c r="B2" s="76">
        <v>0.15</v>
      </c>
      <c r="C2" s="17">
        <f>ROUNDUP(89458.48375,0)</f>
        <v>89459</v>
      </c>
      <c r="D2" s="125">
        <v>44102</v>
      </c>
      <c r="E2" s="124">
        <f>ROUNDUP(94836.0714604484,0)</f>
        <v>94837</v>
      </c>
      <c r="F2" s="183">
        <v>0.3</v>
      </c>
      <c r="G2" s="134">
        <v>44256</v>
      </c>
      <c r="H2" s="124">
        <f>ROUNDUP(93076.4444489656,0)</f>
        <v>93077</v>
      </c>
      <c r="I2" s="180">
        <v>0.2</v>
      </c>
    </row>
    <row r="3" spans="1: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9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>F4-D4</f>
        <v>2000000</v>
      </c>
    </row>
    <row r="5" spans="1:9" x14ac:dyDescent="0.25">
      <c r="A5" s="36">
        <v>44060</v>
      </c>
      <c r="B5" s="46">
        <f>DAYS360(A4,A5,TRUE)</f>
        <v>14</v>
      </c>
      <c r="C5" s="47">
        <f t="shared" ref="C5:C30" si="0">$C$2</f>
        <v>89459</v>
      </c>
      <c r="D5" s="48">
        <f t="shared" ref="D5:D28" si="1">C5-E5</f>
        <v>77792.33</v>
      </c>
      <c r="E5" s="68">
        <f>ROUND(F5*$B$2*B5/360,2)</f>
        <v>11666.67</v>
      </c>
      <c r="F5" s="47">
        <f>G4</f>
        <v>2000000</v>
      </c>
      <c r="G5" s="47">
        <f>F5-D5</f>
        <v>1922207.67</v>
      </c>
    </row>
    <row r="6" spans="1:9" x14ac:dyDescent="0.25">
      <c r="A6" s="36">
        <v>44074</v>
      </c>
      <c r="B6" s="46">
        <f t="shared" ref="B6:B50" si="2">DAYS360(A5,A6,TRUE)</f>
        <v>13</v>
      </c>
      <c r="C6" s="47">
        <f t="shared" si="0"/>
        <v>89459</v>
      </c>
      <c r="D6" s="48">
        <f t="shared" si="1"/>
        <v>79047.040000000008</v>
      </c>
      <c r="E6" s="68">
        <f t="shared" ref="E6:E27" si="3">ROUND(F6*$B$2*B6/360,2)</f>
        <v>10411.959999999999</v>
      </c>
      <c r="F6" s="47">
        <f t="shared" ref="F6:F28" si="4">G5</f>
        <v>1922207.67</v>
      </c>
      <c r="G6" s="47">
        <f t="shared" ref="G6:G31" si="5">F6-D6</f>
        <v>1843160.63</v>
      </c>
    </row>
    <row r="7" spans="1:9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78707.23</v>
      </c>
      <c r="E7" s="68">
        <f t="shared" si="3"/>
        <v>10751.77</v>
      </c>
      <c r="F7" s="47">
        <f t="shared" si="4"/>
        <v>1843160.63</v>
      </c>
      <c r="G7" s="47">
        <f t="shared" si="5"/>
        <v>1764453.4</v>
      </c>
    </row>
    <row r="8" spans="1:9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79166.36</v>
      </c>
      <c r="E8" s="68">
        <f t="shared" si="3"/>
        <v>10292.64</v>
      </c>
      <c r="F8" s="47">
        <f t="shared" si="4"/>
        <v>1764453.4</v>
      </c>
      <c r="G8" s="47">
        <f t="shared" si="5"/>
        <v>1685287.0399999998</v>
      </c>
    </row>
    <row r="9" spans="1:9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79628.160000000003</v>
      </c>
      <c r="E9" s="68">
        <f t="shared" si="3"/>
        <v>9830.84</v>
      </c>
      <c r="F9" s="47">
        <f t="shared" si="4"/>
        <v>1685287.0399999998</v>
      </c>
      <c r="G9" s="47">
        <f t="shared" si="5"/>
        <v>1605658.88</v>
      </c>
    </row>
    <row r="10" spans="1:9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80092.66</v>
      </c>
      <c r="E10" s="68">
        <f t="shared" si="3"/>
        <v>9366.34</v>
      </c>
      <c r="F10" s="47">
        <f t="shared" si="4"/>
        <v>1605658.88</v>
      </c>
      <c r="G10" s="47">
        <f t="shared" si="5"/>
        <v>1525566.22</v>
      </c>
    </row>
    <row r="11" spans="1:9" x14ac:dyDescent="0.25">
      <c r="A11" s="36">
        <v>44144</v>
      </c>
      <c r="B11" s="46">
        <f t="shared" si="2"/>
        <v>13</v>
      </c>
      <c r="C11" s="47">
        <f t="shared" si="0"/>
        <v>89459</v>
      </c>
      <c r="D11" s="48">
        <f t="shared" si="1"/>
        <v>81195.520000000004</v>
      </c>
      <c r="E11" s="68">
        <f t="shared" si="3"/>
        <v>8263.48</v>
      </c>
      <c r="F11" s="47">
        <f t="shared" si="4"/>
        <v>1525566.22</v>
      </c>
      <c r="G11" s="47">
        <f t="shared" si="5"/>
        <v>1444370.7</v>
      </c>
    </row>
    <row r="12" spans="1:9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81033.5</v>
      </c>
      <c r="E12" s="68">
        <f t="shared" si="3"/>
        <v>8425.5</v>
      </c>
      <c r="F12" s="47">
        <f t="shared" si="4"/>
        <v>1444370.7</v>
      </c>
      <c r="G12" s="47">
        <f t="shared" si="5"/>
        <v>1363337.2</v>
      </c>
    </row>
    <row r="13" spans="1:9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81506.2</v>
      </c>
      <c r="E13" s="68">
        <f t="shared" si="3"/>
        <v>7952.8</v>
      </c>
      <c r="F13" s="47">
        <f t="shared" si="4"/>
        <v>1363337.2</v>
      </c>
      <c r="G13" s="47">
        <f t="shared" si="5"/>
        <v>1281831</v>
      </c>
    </row>
    <row r="14" spans="1:9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81981.649999999994</v>
      </c>
      <c r="E14" s="68">
        <f t="shared" si="3"/>
        <v>7477.35</v>
      </c>
      <c r="F14" s="47">
        <f t="shared" si="4"/>
        <v>1281831</v>
      </c>
      <c r="G14" s="47">
        <f t="shared" si="5"/>
        <v>1199849.3500000001</v>
      </c>
    </row>
    <row r="15" spans="1:9" x14ac:dyDescent="0.25">
      <c r="A15" s="36">
        <v>44200</v>
      </c>
      <c r="B15" s="46">
        <f t="shared" si="2"/>
        <v>13</v>
      </c>
      <c r="C15" s="47">
        <f t="shared" si="0"/>
        <v>89459</v>
      </c>
      <c r="D15" s="48">
        <f t="shared" si="1"/>
        <v>82959.820000000007</v>
      </c>
      <c r="E15" s="68">
        <f t="shared" si="3"/>
        <v>6499.18</v>
      </c>
      <c r="F15" s="47">
        <f t="shared" si="4"/>
        <v>1199849.3500000001</v>
      </c>
      <c r="G15" s="47">
        <f t="shared" si="5"/>
        <v>1116889.53</v>
      </c>
    </row>
    <row r="16" spans="1:9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82943.81</v>
      </c>
      <c r="E16" s="68">
        <f t="shared" si="3"/>
        <v>6515.19</v>
      </c>
      <c r="F16" s="47">
        <f t="shared" si="4"/>
        <v>1116889.53</v>
      </c>
      <c r="G16" s="47">
        <f t="shared" si="5"/>
        <v>1033945.72</v>
      </c>
    </row>
    <row r="17" spans="1:7" x14ac:dyDescent="0.25">
      <c r="A17" s="36">
        <v>44228</v>
      </c>
      <c r="B17" s="46">
        <f t="shared" si="2"/>
        <v>13</v>
      </c>
      <c r="C17" s="47">
        <f t="shared" si="0"/>
        <v>89459</v>
      </c>
      <c r="D17" s="48">
        <f t="shared" si="1"/>
        <v>83858.460000000006</v>
      </c>
      <c r="E17" s="68">
        <f t="shared" si="3"/>
        <v>5600.54</v>
      </c>
      <c r="F17" s="47">
        <f t="shared" si="4"/>
        <v>1033945.72</v>
      </c>
      <c r="G17" s="47">
        <f t="shared" si="5"/>
        <v>950087.26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83916.82</v>
      </c>
      <c r="E18" s="68">
        <f t="shared" si="3"/>
        <v>5542.18</v>
      </c>
      <c r="F18" s="47">
        <f t="shared" si="4"/>
        <v>950087.26</v>
      </c>
      <c r="G18" s="47">
        <f t="shared" si="5"/>
        <v>866170.44</v>
      </c>
    </row>
    <row r="19" spans="1:7" x14ac:dyDescent="0.25">
      <c r="A19" s="36">
        <v>44256</v>
      </c>
      <c r="B19" s="46">
        <f t="shared" si="2"/>
        <v>16</v>
      </c>
      <c r="C19" s="47">
        <f t="shared" si="0"/>
        <v>89459</v>
      </c>
      <c r="D19" s="48">
        <f t="shared" si="1"/>
        <v>83684.53</v>
      </c>
      <c r="E19" s="68">
        <f t="shared" si="3"/>
        <v>5774.47</v>
      </c>
      <c r="F19" s="47">
        <f t="shared" si="4"/>
        <v>866170.44</v>
      </c>
      <c r="G19" s="47">
        <f t="shared" si="5"/>
        <v>782485.90999999992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84894.5</v>
      </c>
      <c r="E20" s="68">
        <f t="shared" si="3"/>
        <v>4564.5</v>
      </c>
      <c r="F20" s="47">
        <f t="shared" si="4"/>
        <v>782485.90999999992</v>
      </c>
      <c r="G20" s="47">
        <f t="shared" si="5"/>
        <v>697591.40999999992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85389.72</v>
      </c>
      <c r="E21" s="68">
        <f t="shared" si="3"/>
        <v>4069.28</v>
      </c>
      <c r="F21" s="47">
        <f t="shared" si="4"/>
        <v>697591.40999999992</v>
      </c>
      <c r="G21" s="47">
        <f t="shared" si="5"/>
        <v>612201.68999999994</v>
      </c>
    </row>
    <row r="22" spans="1:7" x14ac:dyDescent="0.25">
      <c r="A22" s="36">
        <v>44298</v>
      </c>
      <c r="B22" s="46">
        <f t="shared" si="2"/>
        <v>13</v>
      </c>
      <c r="C22" s="47">
        <f t="shared" si="0"/>
        <v>89459</v>
      </c>
      <c r="D22" s="48">
        <f t="shared" si="1"/>
        <v>86142.91</v>
      </c>
      <c r="E22" s="68">
        <f t="shared" si="3"/>
        <v>3316.09</v>
      </c>
      <c r="F22" s="47">
        <f t="shared" si="4"/>
        <v>612201.68999999994</v>
      </c>
      <c r="G22" s="47">
        <f t="shared" si="5"/>
        <v>526058.77999999991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86390.32</v>
      </c>
      <c r="E23" s="68">
        <f t="shared" si="3"/>
        <v>3068.68</v>
      </c>
      <c r="F23" s="47">
        <f t="shared" si="4"/>
        <v>526058.77999999991</v>
      </c>
      <c r="G23" s="47">
        <f t="shared" si="5"/>
        <v>439668.4599999999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86894.27</v>
      </c>
      <c r="E24" s="68">
        <f t="shared" si="3"/>
        <v>2564.73</v>
      </c>
      <c r="F24" s="47">
        <f t="shared" si="4"/>
        <v>439668.4599999999</v>
      </c>
      <c r="G24" s="47">
        <f t="shared" si="5"/>
        <v>352774.18999999989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87401.15</v>
      </c>
      <c r="E25" s="68">
        <f t="shared" si="3"/>
        <v>2057.85</v>
      </c>
      <c r="F25" s="47">
        <f t="shared" si="4"/>
        <v>352774.18999999989</v>
      </c>
      <c r="G25" s="47">
        <f t="shared" si="5"/>
        <v>265373.03999999992</v>
      </c>
    </row>
    <row r="26" spans="1:7" x14ac:dyDescent="0.25">
      <c r="A26" s="36">
        <v>44354</v>
      </c>
      <c r="B26" s="46">
        <f t="shared" si="2"/>
        <v>13</v>
      </c>
      <c r="C26" s="47">
        <f t="shared" si="0"/>
        <v>89459</v>
      </c>
      <c r="D26" s="48">
        <f t="shared" si="1"/>
        <v>88021.56</v>
      </c>
      <c r="E26" s="68">
        <f t="shared" si="3"/>
        <v>1437.44</v>
      </c>
      <c r="F26" s="47">
        <f t="shared" si="4"/>
        <v>265373.03999999992</v>
      </c>
      <c r="G26" s="47">
        <f t="shared" si="5"/>
        <v>177351.47999999992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88424.45</v>
      </c>
      <c r="E27" s="68">
        <f t="shared" si="3"/>
        <v>1034.55</v>
      </c>
      <c r="F27" s="47">
        <f t="shared" si="4"/>
        <v>177351.47999999992</v>
      </c>
      <c r="G27" s="47">
        <f t="shared" si="5"/>
        <v>88927.029999999926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88927.029999999926</v>
      </c>
      <c r="E28" s="68">
        <v>531.97000000006869</v>
      </c>
      <c r="F28" s="47">
        <f t="shared" si="4"/>
        <v>88927.029999999926</v>
      </c>
      <c r="G28" s="47">
        <f t="shared" si="5"/>
        <v>0</v>
      </c>
    </row>
    <row r="29" spans="1:7" x14ac:dyDescent="0.25">
      <c r="A29" s="36">
        <v>44088</v>
      </c>
      <c r="B29">
        <f>DAYS360(A6,A7,TRUE)</f>
        <v>14</v>
      </c>
      <c r="C29" s="47">
        <f t="shared" si="0"/>
        <v>89459</v>
      </c>
      <c r="D29" s="48">
        <f>C29-E29</f>
        <v>78707.23</v>
      </c>
      <c r="E29">
        <f>ROUND(F7*$B$2*B7/360,2)</f>
        <v>10751.77</v>
      </c>
      <c r="F29" s="33">
        <f>G6</f>
        <v>1843160.63</v>
      </c>
      <c r="G29" s="181">
        <f t="shared" si="5"/>
        <v>1764453.4</v>
      </c>
    </row>
    <row r="30" spans="1:7" x14ac:dyDescent="0.25">
      <c r="A30" s="36">
        <v>44102</v>
      </c>
      <c r="B30" s="46">
        <f t="shared" si="2"/>
        <v>14</v>
      </c>
      <c r="C30" s="47">
        <f t="shared" si="0"/>
        <v>89459</v>
      </c>
      <c r="D30" s="48">
        <f t="shared" ref="D30:D31" si="6">C30-E30</f>
        <v>79166.36</v>
      </c>
      <c r="E30" s="68">
        <f>ROUND(F30*$B$2*B30/360,2)</f>
        <v>10292.64</v>
      </c>
      <c r="F30" s="47">
        <f t="shared" ref="F30" si="7">G29</f>
        <v>1764453.4</v>
      </c>
      <c r="G30" s="47">
        <f t="shared" si="5"/>
        <v>1685287.0399999998</v>
      </c>
    </row>
    <row r="31" spans="1:7" x14ac:dyDescent="0.25">
      <c r="A31" s="36">
        <v>44116</v>
      </c>
      <c r="B31" s="46">
        <f t="shared" si="2"/>
        <v>14</v>
      </c>
      <c r="C31" s="47">
        <f t="shared" ref="C31:C41" si="8">$E$2</f>
        <v>94837</v>
      </c>
      <c r="D31" s="48">
        <f t="shared" si="6"/>
        <v>75175.320000000007</v>
      </c>
      <c r="E31" s="68">
        <f>ROUND(F31*$F$2*B31/360,2)</f>
        <v>19661.68</v>
      </c>
      <c r="F31" s="47">
        <f>G30</f>
        <v>1685287.0399999998</v>
      </c>
      <c r="G31" s="47">
        <f t="shared" si="5"/>
        <v>1610111.7199999997</v>
      </c>
    </row>
    <row r="32" spans="1:7" x14ac:dyDescent="0.25">
      <c r="A32" s="36">
        <v>44130</v>
      </c>
      <c r="B32" s="46">
        <f t="shared" si="2"/>
        <v>14</v>
      </c>
      <c r="C32" s="47">
        <f t="shared" si="8"/>
        <v>94837</v>
      </c>
      <c r="D32" s="48">
        <f t="shared" ref="D32:D50" si="9">C32-E32</f>
        <v>76052.36</v>
      </c>
      <c r="E32" s="68">
        <f t="shared" ref="E32:E41" si="10">ROUND(F32*$F$2*B32/360,2)</f>
        <v>18784.64</v>
      </c>
      <c r="F32" s="47">
        <f t="shared" ref="F32:F50" si="11">G31</f>
        <v>1610111.7199999997</v>
      </c>
      <c r="G32" s="47">
        <f t="shared" ref="G32:G50" si="12">F32-D32</f>
        <v>1534059.3599999996</v>
      </c>
    </row>
    <row r="33" spans="1:7" x14ac:dyDescent="0.25">
      <c r="A33" s="36">
        <v>44144</v>
      </c>
      <c r="B33" s="46">
        <f t="shared" si="2"/>
        <v>13</v>
      </c>
      <c r="C33" s="47">
        <f t="shared" si="8"/>
        <v>94837</v>
      </c>
      <c r="D33" s="48">
        <f t="shared" si="9"/>
        <v>78218.02</v>
      </c>
      <c r="E33" s="68">
        <f t="shared" si="10"/>
        <v>16618.98</v>
      </c>
      <c r="F33" s="47">
        <f t="shared" si="11"/>
        <v>1534059.3599999996</v>
      </c>
      <c r="G33" s="47">
        <f t="shared" si="12"/>
        <v>1455841.3399999996</v>
      </c>
    </row>
    <row r="34" spans="1:7" x14ac:dyDescent="0.25">
      <c r="A34" s="36">
        <v>44158</v>
      </c>
      <c r="B34" s="46">
        <f t="shared" si="2"/>
        <v>14</v>
      </c>
      <c r="C34" s="47">
        <f t="shared" si="8"/>
        <v>94837</v>
      </c>
      <c r="D34" s="48">
        <f t="shared" si="9"/>
        <v>77852.179999999993</v>
      </c>
      <c r="E34" s="68">
        <f t="shared" si="10"/>
        <v>16984.82</v>
      </c>
      <c r="F34" s="47">
        <f t="shared" si="11"/>
        <v>1455841.3399999996</v>
      </c>
      <c r="G34" s="47">
        <f t="shared" si="12"/>
        <v>1377989.1599999997</v>
      </c>
    </row>
    <row r="35" spans="1:7" x14ac:dyDescent="0.25">
      <c r="A35" s="36">
        <v>44172</v>
      </c>
      <c r="B35" s="46">
        <f t="shared" si="2"/>
        <v>14</v>
      </c>
      <c r="C35" s="47">
        <f t="shared" si="8"/>
        <v>94837</v>
      </c>
      <c r="D35" s="48">
        <f t="shared" si="9"/>
        <v>78760.459999999992</v>
      </c>
      <c r="E35" s="68">
        <f t="shared" si="10"/>
        <v>16076.54</v>
      </c>
      <c r="F35" s="47">
        <f t="shared" si="11"/>
        <v>1377989.1599999997</v>
      </c>
      <c r="G35" s="47">
        <f t="shared" si="12"/>
        <v>1299228.6999999997</v>
      </c>
    </row>
    <row r="36" spans="1:7" x14ac:dyDescent="0.25">
      <c r="A36" s="36">
        <v>44186</v>
      </c>
      <c r="B36" s="46">
        <f t="shared" si="2"/>
        <v>14</v>
      </c>
      <c r="C36" s="47">
        <f t="shared" si="8"/>
        <v>94837</v>
      </c>
      <c r="D36" s="48">
        <f t="shared" si="9"/>
        <v>79679.33</v>
      </c>
      <c r="E36" s="68">
        <f t="shared" si="10"/>
        <v>15157.67</v>
      </c>
      <c r="F36" s="47">
        <f t="shared" si="11"/>
        <v>1299228.6999999997</v>
      </c>
      <c r="G36" s="47">
        <f t="shared" si="12"/>
        <v>1219549.3699999996</v>
      </c>
    </row>
    <row r="37" spans="1:7" x14ac:dyDescent="0.25">
      <c r="A37" s="36">
        <v>44200</v>
      </c>
      <c r="B37" s="46">
        <f t="shared" si="2"/>
        <v>13</v>
      </c>
      <c r="C37" s="47">
        <f t="shared" si="8"/>
        <v>94837</v>
      </c>
      <c r="D37" s="48">
        <f t="shared" si="9"/>
        <v>81625.22</v>
      </c>
      <c r="E37" s="68">
        <f t="shared" si="10"/>
        <v>13211.78</v>
      </c>
      <c r="F37" s="47">
        <f t="shared" si="11"/>
        <v>1219549.3699999996</v>
      </c>
      <c r="G37" s="47">
        <f t="shared" si="12"/>
        <v>1137924.1499999997</v>
      </c>
    </row>
    <row r="38" spans="1:7" x14ac:dyDescent="0.25">
      <c r="A38" s="36">
        <v>44214</v>
      </c>
      <c r="B38" s="46">
        <f t="shared" si="2"/>
        <v>14</v>
      </c>
      <c r="C38" s="47">
        <f t="shared" si="8"/>
        <v>94837</v>
      </c>
      <c r="D38" s="48">
        <f t="shared" si="9"/>
        <v>81561.22</v>
      </c>
      <c r="E38" s="68">
        <f t="shared" si="10"/>
        <v>13275.78</v>
      </c>
      <c r="F38" s="47">
        <f t="shared" si="11"/>
        <v>1137924.1499999997</v>
      </c>
      <c r="G38" s="47">
        <f t="shared" si="12"/>
        <v>1056362.9299999997</v>
      </c>
    </row>
    <row r="39" spans="1:7" x14ac:dyDescent="0.25">
      <c r="A39" s="36">
        <v>44228</v>
      </c>
      <c r="B39" s="46">
        <f t="shared" si="2"/>
        <v>13</v>
      </c>
      <c r="C39" s="47">
        <f t="shared" si="8"/>
        <v>94837</v>
      </c>
      <c r="D39" s="48">
        <f t="shared" si="9"/>
        <v>83393.070000000007</v>
      </c>
      <c r="E39" s="68">
        <f t="shared" si="10"/>
        <v>11443.93</v>
      </c>
      <c r="F39" s="47">
        <f t="shared" si="11"/>
        <v>1056362.9299999997</v>
      </c>
      <c r="G39" s="47">
        <f t="shared" si="12"/>
        <v>972969.85999999964</v>
      </c>
    </row>
    <row r="40" spans="1:7" x14ac:dyDescent="0.25">
      <c r="A40" s="36">
        <v>44242</v>
      </c>
      <c r="B40" s="46">
        <f t="shared" si="2"/>
        <v>14</v>
      </c>
      <c r="C40" s="47">
        <f t="shared" si="8"/>
        <v>94837</v>
      </c>
      <c r="D40" s="48">
        <f t="shared" si="9"/>
        <v>83485.679999999993</v>
      </c>
      <c r="E40" s="68">
        <f t="shared" si="10"/>
        <v>11351.32</v>
      </c>
      <c r="F40" s="47">
        <f t="shared" si="11"/>
        <v>972969.85999999964</v>
      </c>
      <c r="G40" s="47">
        <f t="shared" si="12"/>
        <v>889484.1799999997</v>
      </c>
    </row>
    <row r="41" spans="1:7" x14ac:dyDescent="0.25">
      <c r="A41" s="36">
        <v>44256</v>
      </c>
      <c r="B41" s="46">
        <f t="shared" si="2"/>
        <v>16</v>
      </c>
      <c r="C41" s="47">
        <f t="shared" si="8"/>
        <v>94837</v>
      </c>
      <c r="D41" s="48">
        <f t="shared" si="9"/>
        <v>82977.209999999992</v>
      </c>
      <c r="E41" s="68">
        <f t="shared" si="10"/>
        <v>11859.79</v>
      </c>
      <c r="F41" s="47">
        <f t="shared" si="11"/>
        <v>889484.1799999997</v>
      </c>
      <c r="G41" s="47">
        <f t="shared" si="12"/>
        <v>806506.96999999974</v>
      </c>
    </row>
    <row r="42" spans="1:7" x14ac:dyDescent="0.25">
      <c r="A42" s="36">
        <v>44270</v>
      </c>
      <c r="B42" s="46">
        <f t="shared" si="2"/>
        <v>14</v>
      </c>
      <c r="C42" s="47">
        <f>$H$2</f>
        <v>93077</v>
      </c>
      <c r="D42" s="48">
        <f t="shared" si="9"/>
        <v>86804.17</v>
      </c>
      <c r="E42" s="68">
        <f>ROUND(F42*$I$2*B42/360,2)</f>
        <v>6272.83</v>
      </c>
      <c r="F42" s="47">
        <f t="shared" si="11"/>
        <v>806506.96999999974</v>
      </c>
      <c r="G42" s="47">
        <f t="shared" si="12"/>
        <v>719702.7999999997</v>
      </c>
    </row>
    <row r="43" spans="1:7" x14ac:dyDescent="0.25">
      <c r="A43" s="36">
        <v>44284</v>
      </c>
      <c r="B43" s="46">
        <f t="shared" si="2"/>
        <v>14</v>
      </c>
      <c r="C43" s="47">
        <f t="shared" ref="C43:C50" si="13">$H$2</f>
        <v>93077</v>
      </c>
      <c r="D43" s="48">
        <f t="shared" si="9"/>
        <v>87479.31</v>
      </c>
      <c r="E43" s="68">
        <f t="shared" ref="E43:E49" si="14">ROUND(F43*$I$2*B43/360,2)</f>
        <v>5597.69</v>
      </c>
      <c r="F43" s="47">
        <f t="shared" si="11"/>
        <v>719702.7999999997</v>
      </c>
      <c r="G43" s="47">
        <f t="shared" si="12"/>
        <v>632223.48999999976</v>
      </c>
    </row>
    <row r="44" spans="1:7" x14ac:dyDescent="0.25">
      <c r="A44" s="36">
        <v>44298</v>
      </c>
      <c r="B44" s="46">
        <f t="shared" si="2"/>
        <v>13</v>
      </c>
      <c r="C44" s="47">
        <f t="shared" si="13"/>
        <v>93077</v>
      </c>
      <c r="D44" s="48">
        <f t="shared" si="9"/>
        <v>88510.94</v>
      </c>
      <c r="E44" s="68">
        <f t="shared" si="14"/>
        <v>4566.0600000000004</v>
      </c>
      <c r="F44" s="47">
        <f t="shared" si="11"/>
        <v>632223.48999999976</v>
      </c>
      <c r="G44" s="47">
        <f t="shared" si="12"/>
        <v>543712.54999999981</v>
      </c>
    </row>
    <row r="45" spans="1:7" x14ac:dyDescent="0.25">
      <c r="A45" s="36">
        <v>44312</v>
      </c>
      <c r="B45" s="46">
        <f t="shared" si="2"/>
        <v>14</v>
      </c>
      <c r="C45" s="47">
        <f t="shared" si="13"/>
        <v>93077</v>
      </c>
      <c r="D45" s="48">
        <f t="shared" si="9"/>
        <v>88848.12</v>
      </c>
      <c r="E45" s="68">
        <f t="shared" si="14"/>
        <v>4228.88</v>
      </c>
      <c r="F45" s="47">
        <f t="shared" si="11"/>
        <v>543712.54999999981</v>
      </c>
      <c r="G45" s="47">
        <f t="shared" si="12"/>
        <v>454864.42999999982</v>
      </c>
    </row>
    <row r="46" spans="1:7" x14ac:dyDescent="0.25">
      <c r="A46" s="36">
        <v>44326</v>
      </c>
      <c r="B46" s="46">
        <f t="shared" si="2"/>
        <v>14</v>
      </c>
      <c r="C46" s="47">
        <f t="shared" si="13"/>
        <v>93077</v>
      </c>
      <c r="D46" s="48">
        <f t="shared" si="9"/>
        <v>89539.17</v>
      </c>
      <c r="E46" s="68">
        <f t="shared" si="14"/>
        <v>3537.83</v>
      </c>
      <c r="F46" s="47">
        <f t="shared" si="11"/>
        <v>454864.42999999982</v>
      </c>
      <c r="G46" s="47">
        <f t="shared" si="12"/>
        <v>365325.25999999983</v>
      </c>
    </row>
    <row r="47" spans="1:7" x14ac:dyDescent="0.25">
      <c r="A47" s="36">
        <v>44340</v>
      </c>
      <c r="B47" s="46">
        <f t="shared" si="2"/>
        <v>14</v>
      </c>
      <c r="C47" s="47">
        <f t="shared" si="13"/>
        <v>93077</v>
      </c>
      <c r="D47" s="48">
        <f t="shared" si="9"/>
        <v>90235.58</v>
      </c>
      <c r="E47" s="68">
        <f t="shared" si="14"/>
        <v>2841.42</v>
      </c>
      <c r="F47" s="47">
        <f t="shared" si="11"/>
        <v>365325.25999999983</v>
      </c>
      <c r="G47" s="47">
        <f t="shared" si="12"/>
        <v>275089.67999999982</v>
      </c>
    </row>
    <row r="48" spans="1:7" x14ac:dyDescent="0.25">
      <c r="A48" s="36">
        <v>44354</v>
      </c>
      <c r="B48" s="46">
        <f t="shared" si="2"/>
        <v>13</v>
      </c>
      <c r="C48" s="47">
        <f t="shared" si="13"/>
        <v>93077</v>
      </c>
      <c r="D48" s="48">
        <f t="shared" si="9"/>
        <v>91090.240000000005</v>
      </c>
      <c r="E48" s="68">
        <f t="shared" si="14"/>
        <v>1986.76</v>
      </c>
      <c r="F48" s="47">
        <f t="shared" si="11"/>
        <v>275089.67999999982</v>
      </c>
      <c r="G48" s="47">
        <f t="shared" si="12"/>
        <v>183999.43999999983</v>
      </c>
    </row>
    <row r="49" spans="1:7" x14ac:dyDescent="0.25">
      <c r="A49" s="36">
        <v>44368</v>
      </c>
      <c r="B49" s="46">
        <f t="shared" si="2"/>
        <v>14</v>
      </c>
      <c r="C49" s="47">
        <f t="shared" si="13"/>
        <v>93077</v>
      </c>
      <c r="D49" s="48">
        <f t="shared" si="9"/>
        <v>91645.89</v>
      </c>
      <c r="E49" s="68">
        <f t="shared" si="14"/>
        <v>1431.11</v>
      </c>
      <c r="F49" s="47">
        <f t="shared" si="11"/>
        <v>183999.43999999983</v>
      </c>
      <c r="G49" s="47">
        <f t="shared" si="12"/>
        <v>92353.549999999828</v>
      </c>
    </row>
    <row r="50" spans="1:7" x14ac:dyDescent="0.25">
      <c r="A50" s="36">
        <v>44382</v>
      </c>
      <c r="B50" s="46">
        <f t="shared" si="2"/>
        <v>14</v>
      </c>
      <c r="C50" s="47">
        <f t="shared" si="13"/>
        <v>93077</v>
      </c>
      <c r="D50" s="48">
        <f t="shared" si="9"/>
        <v>92353.549999999828</v>
      </c>
      <c r="E50" s="68">
        <v>723.45000000017399</v>
      </c>
      <c r="F50" s="47">
        <f t="shared" si="11"/>
        <v>92353.549999999828</v>
      </c>
      <c r="G50" s="47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1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A1D562-EFEB-4FAF-A18D-8FE2720C1E46}">
  <dimension ref="A1:U7"/>
  <sheetViews>
    <sheetView workbookViewId="0">
      <selection sqref="A1:U1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.42578125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customWidth="1"/>
    <col min="21" max="21" width="132.57031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ht="15.75" x14ac:dyDescent="0.25">
      <c r="A2" s="12" t="s">
        <v>0</v>
      </c>
      <c r="B2" s="7" t="s">
        <v>9</v>
      </c>
      <c r="C2" s="7" t="s">
        <v>371</v>
      </c>
      <c r="D2" s="8" t="s">
        <v>71</v>
      </c>
      <c r="E2" s="8" t="s">
        <v>23</v>
      </c>
      <c r="F2" s="8" t="s">
        <v>274</v>
      </c>
      <c r="G2" s="8" t="s">
        <v>42</v>
      </c>
      <c r="H2" s="8" t="s">
        <v>105</v>
      </c>
      <c r="I2" s="8" t="s">
        <v>0</v>
      </c>
      <c r="J2" s="8" t="s">
        <v>42</v>
      </c>
      <c r="K2" s="8" t="s">
        <v>25</v>
      </c>
      <c r="L2" s="8" t="s">
        <v>392</v>
      </c>
      <c r="M2" s="8" t="s">
        <v>27</v>
      </c>
      <c r="N2" s="7" t="s">
        <v>29</v>
      </c>
      <c r="O2" s="7" t="s">
        <v>398</v>
      </c>
      <c r="P2" s="7" t="s">
        <v>21</v>
      </c>
      <c r="Q2" s="7" t="s">
        <v>404</v>
      </c>
      <c r="R2" s="7" t="s">
        <v>399</v>
      </c>
      <c r="S2" s="7" t="s">
        <v>21</v>
      </c>
      <c r="T2" s="7" t="s">
        <v>405</v>
      </c>
      <c r="U2" s="182" t="s">
        <v>402</v>
      </c>
    </row>
    <row r="3" spans="1:21" ht="15.75" x14ac:dyDescent="0.25">
      <c r="A3" s="12" t="s">
        <v>0</v>
      </c>
      <c r="B3" s="7" t="s">
        <v>9</v>
      </c>
      <c r="C3" s="7" t="s">
        <v>371</v>
      </c>
      <c r="D3" s="8" t="s">
        <v>71</v>
      </c>
      <c r="E3" s="8" t="s">
        <v>23</v>
      </c>
      <c r="F3" s="8" t="s">
        <v>274</v>
      </c>
      <c r="G3" s="8" t="s">
        <v>42</v>
      </c>
      <c r="H3" s="8" t="s">
        <v>105</v>
      </c>
      <c r="I3" s="8" t="s">
        <v>0</v>
      </c>
      <c r="J3" s="8" t="s">
        <v>42</v>
      </c>
      <c r="K3" s="8" t="s">
        <v>31</v>
      </c>
      <c r="L3" s="8" t="s">
        <v>392</v>
      </c>
      <c r="M3" s="8" t="s">
        <v>27</v>
      </c>
      <c r="N3" s="7" t="s">
        <v>29</v>
      </c>
      <c r="O3" s="7" t="s">
        <v>398</v>
      </c>
      <c r="P3" s="7" t="s">
        <v>21</v>
      </c>
      <c r="Q3" s="7" t="s">
        <v>404</v>
      </c>
      <c r="R3" s="7" t="s">
        <v>399</v>
      </c>
      <c r="S3" s="7" t="s">
        <v>21</v>
      </c>
      <c r="T3" s="7" t="s">
        <v>405</v>
      </c>
      <c r="U3" s="182" t="s">
        <v>403</v>
      </c>
    </row>
    <row r="4" spans="1:21" x14ac:dyDescent="0.25">
      <c r="A4" s="12" t="s">
        <v>0</v>
      </c>
      <c r="B4" s="7" t="s">
        <v>9</v>
      </c>
      <c r="C4" s="7" t="s">
        <v>371</v>
      </c>
      <c r="D4" s="8" t="s">
        <v>71</v>
      </c>
      <c r="E4" s="8" t="s">
        <v>23</v>
      </c>
      <c r="F4" s="8" t="s">
        <v>274</v>
      </c>
      <c r="G4" s="8" t="s">
        <v>42</v>
      </c>
      <c r="H4" s="8" t="s">
        <v>105</v>
      </c>
      <c r="I4" s="8" t="s">
        <v>0</v>
      </c>
      <c r="J4" s="8" t="s">
        <v>42</v>
      </c>
      <c r="K4" s="8" t="s">
        <v>25</v>
      </c>
      <c r="L4" s="8" t="s">
        <v>392</v>
      </c>
      <c r="M4" s="8" t="s">
        <v>27</v>
      </c>
      <c r="N4" s="7" t="s">
        <v>29</v>
      </c>
      <c r="O4" s="7" t="s">
        <v>393</v>
      </c>
      <c r="P4" s="7" t="s">
        <v>104</v>
      </c>
      <c r="Q4" s="7" t="s">
        <v>79</v>
      </c>
      <c r="R4" s="7" t="s">
        <v>394</v>
      </c>
      <c r="S4" s="7" t="s">
        <v>104</v>
      </c>
      <c r="T4" s="7" t="s">
        <v>55</v>
      </c>
      <c r="U4" t="s">
        <v>406</v>
      </c>
    </row>
    <row r="5" spans="1:21" x14ac:dyDescent="0.25">
      <c r="A5" s="12" t="s">
        <v>0</v>
      </c>
      <c r="B5" s="7" t="s">
        <v>9</v>
      </c>
      <c r="C5" s="7" t="s">
        <v>371</v>
      </c>
      <c r="D5" s="8" t="s">
        <v>71</v>
      </c>
      <c r="E5" s="8" t="s">
        <v>23</v>
      </c>
      <c r="F5" s="8" t="s">
        <v>274</v>
      </c>
      <c r="G5" s="8" t="s">
        <v>42</v>
      </c>
      <c r="H5" s="8" t="s">
        <v>105</v>
      </c>
      <c r="I5" s="8" t="s">
        <v>0</v>
      </c>
      <c r="J5" s="8" t="s">
        <v>42</v>
      </c>
      <c r="K5" s="8" t="s">
        <v>31</v>
      </c>
      <c r="L5" s="8" t="s">
        <v>392</v>
      </c>
      <c r="M5" s="8" t="s">
        <v>27</v>
      </c>
      <c r="N5" s="7" t="s">
        <v>29</v>
      </c>
      <c r="O5" s="7" t="s">
        <v>393</v>
      </c>
      <c r="P5" s="7" t="s">
        <v>104</v>
      </c>
      <c r="Q5" s="7" t="s">
        <v>79</v>
      </c>
      <c r="R5" s="7" t="s">
        <v>394</v>
      </c>
      <c r="S5" s="7" t="s">
        <v>104</v>
      </c>
      <c r="T5" s="7" t="s">
        <v>55</v>
      </c>
      <c r="U5" t="s">
        <v>407</v>
      </c>
    </row>
    <row r="6" spans="1:21" x14ac:dyDescent="0.25">
      <c r="A6" s="12" t="s">
        <v>0</v>
      </c>
      <c r="B6" s="7" t="s">
        <v>9</v>
      </c>
      <c r="C6" s="7" t="s">
        <v>371</v>
      </c>
      <c r="D6" s="8" t="s">
        <v>71</v>
      </c>
      <c r="E6" s="8" t="s">
        <v>23</v>
      </c>
      <c r="F6" s="8" t="s">
        <v>274</v>
      </c>
      <c r="G6" s="8" t="s">
        <v>42</v>
      </c>
      <c r="H6" s="8" t="s">
        <v>105</v>
      </c>
      <c r="I6" s="8" t="s">
        <v>0</v>
      </c>
      <c r="J6" s="8" t="s">
        <v>42</v>
      </c>
      <c r="K6" s="8" t="s">
        <v>25</v>
      </c>
      <c r="L6" s="8" t="s">
        <v>392</v>
      </c>
      <c r="M6" s="8" t="s">
        <v>27</v>
      </c>
      <c r="N6" s="7" t="s">
        <v>29</v>
      </c>
      <c r="O6" s="7" t="s">
        <v>408</v>
      </c>
      <c r="P6" s="7" t="s">
        <v>104</v>
      </c>
      <c r="Q6" s="186" t="s">
        <v>107</v>
      </c>
      <c r="R6" s="7" t="s">
        <v>399</v>
      </c>
      <c r="S6" s="7" t="s">
        <v>104</v>
      </c>
      <c r="T6" s="7" t="s">
        <v>55</v>
      </c>
      <c r="U6" t="s">
        <v>409</v>
      </c>
    </row>
    <row r="7" spans="1:21" x14ac:dyDescent="0.25">
      <c r="A7" s="12" t="s">
        <v>0</v>
      </c>
      <c r="B7" s="7" t="s">
        <v>9</v>
      </c>
      <c r="C7" s="7" t="s">
        <v>371</v>
      </c>
      <c r="D7" s="8" t="s">
        <v>71</v>
      </c>
      <c r="E7" s="8" t="s">
        <v>23</v>
      </c>
      <c r="F7" s="8" t="s">
        <v>274</v>
      </c>
      <c r="G7" s="8" t="s">
        <v>42</v>
      </c>
      <c r="H7" s="8" t="s">
        <v>105</v>
      </c>
      <c r="I7" s="8" t="s">
        <v>0</v>
      </c>
      <c r="J7" s="8" t="s">
        <v>42</v>
      </c>
      <c r="K7" s="8" t="s">
        <v>31</v>
      </c>
      <c r="L7" s="8" t="s">
        <v>392</v>
      </c>
      <c r="M7" s="8" t="s">
        <v>27</v>
      </c>
      <c r="N7" s="7" t="s">
        <v>29</v>
      </c>
      <c r="O7" s="7" t="s">
        <v>408</v>
      </c>
      <c r="P7" s="7" t="s">
        <v>104</v>
      </c>
      <c r="Q7" s="186" t="s">
        <v>107</v>
      </c>
      <c r="R7" s="7" t="s">
        <v>399</v>
      </c>
      <c r="S7" s="7" t="s">
        <v>104</v>
      </c>
      <c r="T7" s="7" t="s">
        <v>55</v>
      </c>
      <c r="U7" t="s">
        <v>410</v>
      </c>
    </row>
  </sheetData>
  <pageMargins left="0.7" right="0.7" top="0.75" bottom="0.75" header="0.3" footer="0.3"/>
</worksheet>
</file>

<file path=xl/worksheets/sheet1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1AD94E-7E47-441C-9299-164E88C7F7B7}">
  <dimension ref="A1:M48"/>
  <sheetViews>
    <sheetView zoomScale="80" zoomScaleNormal="80" workbookViewId="0">
      <pane ySplit="3" topLeftCell="A4" activePane="bottomLeft" state="frozen"/>
      <selection activeCell="E29" sqref="E29"/>
      <selection pane="bottomLeft" activeCell="E29" sqref="E29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6.7109375" bestFit="1" customWidth="1"/>
    <col min="9" max="9" width="10.5703125" bestFit="1" customWidth="1"/>
    <col min="10" max="10" width="17.42578125" bestFit="1" customWidth="1"/>
    <col min="11" max="11" width="15" bestFit="1" customWidth="1"/>
    <col min="12" max="12" width="14.42578125" bestFit="1" customWidth="1"/>
    <col min="13" max="13" width="12.42578125" bestFit="1" customWidth="1"/>
  </cols>
  <sheetData>
    <row r="1" spans="1:13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175</v>
      </c>
      <c r="G1" s="124" t="s">
        <v>362</v>
      </c>
      <c r="H1" s="124" t="s">
        <v>350</v>
      </c>
      <c r="I1" s="132" t="s">
        <v>346</v>
      </c>
      <c r="J1" s="124" t="s">
        <v>149</v>
      </c>
      <c r="K1" s="132" t="s">
        <v>359</v>
      </c>
      <c r="L1" s="124" t="s">
        <v>363</v>
      </c>
      <c r="M1" s="124" t="s">
        <v>351</v>
      </c>
    </row>
    <row r="2" spans="1:13" x14ac:dyDescent="0.25">
      <c r="A2" s="75" t="s">
        <v>34</v>
      </c>
      <c r="B2" s="76">
        <v>0.15</v>
      </c>
      <c r="C2" s="17">
        <f>ROUNDUP(89458.2412434977,0)</f>
        <v>89459</v>
      </c>
      <c r="D2" s="125">
        <v>44114</v>
      </c>
      <c r="E2" s="124">
        <f>ROUNDUP(87712.8629844846,0)</f>
        <v>87713</v>
      </c>
      <c r="F2" s="183">
        <v>9.5600000000000004E-2</v>
      </c>
      <c r="G2" s="124">
        <f>D2-A8</f>
        <v>12</v>
      </c>
      <c r="H2" s="124">
        <f>A29-D2</f>
        <v>2</v>
      </c>
      <c r="I2" s="134">
        <v>44226</v>
      </c>
      <c r="J2" s="124">
        <f>ROUNDUP(88843.5767124945,0)</f>
        <v>88844</v>
      </c>
      <c r="K2" s="180">
        <v>0.15567800000000001</v>
      </c>
      <c r="L2">
        <f>I2-A36</f>
        <v>12</v>
      </c>
      <c r="M2">
        <f>A37-I2</f>
        <v>2</v>
      </c>
    </row>
    <row r="3" spans="1:13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3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 t="shared" ref="G4:G30" si="0">F4-D4</f>
        <v>2000000</v>
      </c>
    </row>
    <row r="5" spans="1:13" x14ac:dyDescent="0.25">
      <c r="A5" s="36">
        <v>44060</v>
      </c>
      <c r="B5" s="46">
        <f>A5-A4</f>
        <v>14</v>
      </c>
      <c r="C5" s="47">
        <f t="shared" ref="C5:C28" si="1">$C$2</f>
        <v>89459</v>
      </c>
      <c r="D5" s="48">
        <f t="shared" ref="D5:D30" si="2">C5-E5</f>
        <v>77952.149999999994</v>
      </c>
      <c r="E5" s="68">
        <f>ROUND(F5*$B$2*B5/365,2)</f>
        <v>11506.85</v>
      </c>
      <c r="F5" s="47">
        <f>G4</f>
        <v>2000000</v>
      </c>
      <c r="G5" s="47">
        <f t="shared" si="0"/>
        <v>1922047.85</v>
      </c>
    </row>
    <row r="6" spans="1:13" x14ac:dyDescent="0.25">
      <c r="A6" s="36">
        <v>44074</v>
      </c>
      <c r="B6" s="46">
        <f t="shared" ref="B6:B28" si="3">A6-A5</f>
        <v>14</v>
      </c>
      <c r="C6" s="47">
        <f t="shared" si="1"/>
        <v>89459</v>
      </c>
      <c r="D6" s="48">
        <f t="shared" si="2"/>
        <v>78400.639999999999</v>
      </c>
      <c r="E6" s="68">
        <f>ROUND(F6*$B$2*B6/365,2)</f>
        <v>11058.36</v>
      </c>
      <c r="F6" s="47">
        <f t="shared" ref="F6:F28" si="4">G5</f>
        <v>1922047.85</v>
      </c>
      <c r="G6" s="47">
        <f t="shared" si="0"/>
        <v>1843647.2100000002</v>
      </c>
    </row>
    <row r="7" spans="1:13" x14ac:dyDescent="0.25">
      <c r="A7" s="36">
        <v>44088</v>
      </c>
      <c r="B7" s="46">
        <f t="shared" si="3"/>
        <v>14</v>
      </c>
      <c r="C7" s="47">
        <f t="shared" si="1"/>
        <v>89459</v>
      </c>
      <c r="D7" s="48">
        <f t="shared" si="2"/>
        <v>78851.709999999992</v>
      </c>
      <c r="E7" s="68">
        <f t="shared" ref="E7:E27" si="5">ROUND(F7*$B$2*B7/365,2)</f>
        <v>10607.29</v>
      </c>
      <c r="F7" s="47">
        <f t="shared" si="4"/>
        <v>1843647.2100000002</v>
      </c>
      <c r="G7" s="47">
        <f t="shared" si="0"/>
        <v>1764795.5000000002</v>
      </c>
    </row>
    <row r="8" spans="1:13" x14ac:dyDescent="0.25">
      <c r="A8" s="36">
        <v>44102</v>
      </c>
      <c r="B8" s="46">
        <f t="shared" si="3"/>
        <v>14</v>
      </c>
      <c r="C8" s="47">
        <f t="shared" si="1"/>
        <v>89459</v>
      </c>
      <c r="D8" s="48">
        <f t="shared" si="2"/>
        <v>79305.38</v>
      </c>
      <c r="E8" s="68">
        <f t="shared" si="5"/>
        <v>10153.620000000001</v>
      </c>
      <c r="F8" s="47">
        <f t="shared" si="4"/>
        <v>1764795.5000000002</v>
      </c>
      <c r="G8" s="47">
        <f t="shared" si="0"/>
        <v>1685490.12</v>
      </c>
    </row>
    <row r="9" spans="1:13" x14ac:dyDescent="0.25">
      <c r="A9" s="36">
        <v>44116</v>
      </c>
      <c r="B9" s="46">
        <f t="shared" si="3"/>
        <v>14</v>
      </c>
      <c r="C9" s="47">
        <f t="shared" si="1"/>
        <v>89459</v>
      </c>
      <c r="D9" s="48">
        <f t="shared" si="2"/>
        <v>79761.66</v>
      </c>
      <c r="E9" s="68">
        <f t="shared" si="5"/>
        <v>9697.34</v>
      </c>
      <c r="F9" s="47">
        <f t="shared" si="4"/>
        <v>1685490.12</v>
      </c>
      <c r="G9" s="47">
        <f t="shared" si="0"/>
        <v>1605728.4600000002</v>
      </c>
    </row>
    <row r="10" spans="1:13" x14ac:dyDescent="0.25">
      <c r="A10" s="36">
        <v>44130</v>
      </c>
      <c r="B10" s="46">
        <f t="shared" si="3"/>
        <v>14</v>
      </c>
      <c r="C10" s="47">
        <f t="shared" si="1"/>
        <v>89459</v>
      </c>
      <c r="D10" s="48">
        <f t="shared" si="2"/>
        <v>80220.56</v>
      </c>
      <c r="E10" s="68">
        <f t="shared" si="5"/>
        <v>9238.44</v>
      </c>
      <c r="F10" s="47">
        <f t="shared" si="4"/>
        <v>1605728.4600000002</v>
      </c>
      <c r="G10" s="47">
        <f t="shared" si="0"/>
        <v>1525507.9000000001</v>
      </c>
    </row>
    <row r="11" spans="1:13" x14ac:dyDescent="0.25">
      <c r="A11" s="36">
        <v>44144</v>
      </c>
      <c r="B11" s="46">
        <f t="shared" si="3"/>
        <v>14</v>
      </c>
      <c r="C11" s="47">
        <f t="shared" si="1"/>
        <v>89459</v>
      </c>
      <c r="D11" s="48">
        <f t="shared" si="2"/>
        <v>80682.11</v>
      </c>
      <c r="E11" s="68">
        <f t="shared" si="5"/>
        <v>8776.89</v>
      </c>
      <c r="F11" s="47">
        <f t="shared" si="4"/>
        <v>1525507.9000000001</v>
      </c>
      <c r="G11" s="47">
        <f t="shared" si="0"/>
        <v>1444825.79</v>
      </c>
    </row>
    <row r="12" spans="1:13" x14ac:dyDescent="0.25">
      <c r="A12" s="36">
        <v>44158</v>
      </c>
      <c r="B12" s="46">
        <f t="shared" si="3"/>
        <v>14</v>
      </c>
      <c r="C12" s="47">
        <f t="shared" si="1"/>
        <v>89459</v>
      </c>
      <c r="D12" s="48">
        <f t="shared" si="2"/>
        <v>81146.3</v>
      </c>
      <c r="E12" s="68">
        <f t="shared" si="5"/>
        <v>8312.7000000000007</v>
      </c>
      <c r="F12" s="47">
        <f t="shared" si="4"/>
        <v>1444825.79</v>
      </c>
      <c r="G12" s="47">
        <f t="shared" si="0"/>
        <v>1363679.49</v>
      </c>
    </row>
    <row r="13" spans="1:13" x14ac:dyDescent="0.25">
      <c r="A13" s="36">
        <v>44172</v>
      </c>
      <c r="B13" s="46">
        <f t="shared" si="3"/>
        <v>14</v>
      </c>
      <c r="C13" s="47">
        <f t="shared" si="1"/>
        <v>89459</v>
      </c>
      <c r="D13" s="48">
        <f t="shared" si="2"/>
        <v>81613.17</v>
      </c>
      <c r="E13" s="68">
        <f t="shared" si="5"/>
        <v>7845.83</v>
      </c>
      <c r="F13" s="47">
        <f t="shared" si="4"/>
        <v>1363679.49</v>
      </c>
      <c r="G13" s="47">
        <f t="shared" si="0"/>
        <v>1282066.32</v>
      </c>
    </row>
    <row r="14" spans="1:13" x14ac:dyDescent="0.25">
      <c r="A14" s="36">
        <v>44186</v>
      </c>
      <c r="B14" s="46">
        <f t="shared" si="3"/>
        <v>14</v>
      </c>
      <c r="C14" s="47">
        <f t="shared" si="1"/>
        <v>89459</v>
      </c>
      <c r="D14" s="48">
        <f t="shared" si="2"/>
        <v>82082.73</v>
      </c>
      <c r="E14" s="68">
        <f t="shared" si="5"/>
        <v>7376.27</v>
      </c>
      <c r="F14" s="47">
        <f t="shared" si="4"/>
        <v>1282066.32</v>
      </c>
      <c r="G14" s="47">
        <f t="shared" si="0"/>
        <v>1199983.5900000001</v>
      </c>
    </row>
    <row r="15" spans="1:13" x14ac:dyDescent="0.25">
      <c r="A15" s="36">
        <v>44200</v>
      </c>
      <c r="B15" s="46">
        <f t="shared" si="3"/>
        <v>14</v>
      </c>
      <c r="C15" s="47">
        <f t="shared" si="1"/>
        <v>89459</v>
      </c>
      <c r="D15" s="48">
        <f t="shared" si="2"/>
        <v>82554.98</v>
      </c>
      <c r="E15" s="68">
        <f t="shared" si="5"/>
        <v>6904.02</v>
      </c>
      <c r="F15" s="47">
        <f t="shared" si="4"/>
        <v>1199983.5900000001</v>
      </c>
      <c r="G15" s="47">
        <f t="shared" si="0"/>
        <v>1117428.6100000001</v>
      </c>
    </row>
    <row r="16" spans="1:13" x14ac:dyDescent="0.25">
      <c r="A16" s="36">
        <v>44214</v>
      </c>
      <c r="B16" s="46">
        <f t="shared" si="3"/>
        <v>14</v>
      </c>
      <c r="C16" s="47">
        <f t="shared" si="1"/>
        <v>89459</v>
      </c>
      <c r="D16" s="48">
        <f t="shared" si="2"/>
        <v>83029.960000000006</v>
      </c>
      <c r="E16" s="68">
        <f t="shared" si="5"/>
        <v>6429.04</v>
      </c>
      <c r="F16" s="47">
        <f t="shared" si="4"/>
        <v>1117428.6100000001</v>
      </c>
      <c r="G16" s="47">
        <f t="shared" si="0"/>
        <v>1034398.6500000001</v>
      </c>
    </row>
    <row r="17" spans="1:7" x14ac:dyDescent="0.25">
      <c r="A17" s="36">
        <v>44228</v>
      </c>
      <c r="B17" s="46">
        <f t="shared" si="3"/>
        <v>14</v>
      </c>
      <c r="C17" s="47">
        <f t="shared" si="1"/>
        <v>89459</v>
      </c>
      <c r="D17" s="48">
        <f t="shared" si="2"/>
        <v>83507.67</v>
      </c>
      <c r="E17" s="68">
        <f t="shared" si="5"/>
        <v>5951.33</v>
      </c>
      <c r="F17" s="47">
        <f t="shared" si="4"/>
        <v>1034398.6500000001</v>
      </c>
      <c r="G17" s="47">
        <f t="shared" si="0"/>
        <v>950890.9800000001</v>
      </c>
    </row>
    <row r="18" spans="1:7" x14ac:dyDescent="0.25">
      <c r="A18" s="36">
        <v>44242</v>
      </c>
      <c r="B18" s="46">
        <f t="shared" si="3"/>
        <v>14</v>
      </c>
      <c r="C18" s="47">
        <f t="shared" si="1"/>
        <v>89459</v>
      </c>
      <c r="D18" s="48">
        <f t="shared" si="2"/>
        <v>83988.12</v>
      </c>
      <c r="E18" s="68">
        <f t="shared" si="5"/>
        <v>5470.88</v>
      </c>
      <c r="F18" s="47">
        <f t="shared" si="4"/>
        <v>950890.9800000001</v>
      </c>
      <c r="G18" s="47">
        <f t="shared" si="0"/>
        <v>866902.8600000001</v>
      </c>
    </row>
    <row r="19" spans="1:7" x14ac:dyDescent="0.25">
      <c r="A19" s="36">
        <v>44256</v>
      </c>
      <c r="B19" s="46">
        <f t="shared" si="3"/>
        <v>14</v>
      </c>
      <c r="C19" s="47">
        <f t="shared" si="1"/>
        <v>89459</v>
      </c>
      <c r="D19" s="48">
        <f t="shared" si="2"/>
        <v>84471.34</v>
      </c>
      <c r="E19" s="68">
        <f t="shared" si="5"/>
        <v>4987.66</v>
      </c>
      <c r="F19" s="47">
        <f t="shared" si="4"/>
        <v>866902.8600000001</v>
      </c>
      <c r="G19" s="47">
        <f t="shared" si="0"/>
        <v>782431.52000000014</v>
      </c>
    </row>
    <row r="20" spans="1:7" x14ac:dyDescent="0.25">
      <c r="A20" s="36">
        <v>44270</v>
      </c>
      <c r="B20" s="46">
        <f t="shared" si="3"/>
        <v>14</v>
      </c>
      <c r="C20" s="47">
        <f t="shared" si="1"/>
        <v>89459</v>
      </c>
      <c r="D20" s="48">
        <f t="shared" si="2"/>
        <v>84957.34</v>
      </c>
      <c r="E20" s="68">
        <f t="shared" si="5"/>
        <v>4501.66</v>
      </c>
      <c r="F20" s="47">
        <f t="shared" si="4"/>
        <v>782431.52000000014</v>
      </c>
      <c r="G20" s="47">
        <f t="shared" si="0"/>
        <v>697474.18000000017</v>
      </c>
    </row>
    <row r="21" spans="1:7" x14ac:dyDescent="0.25">
      <c r="A21" s="36">
        <v>44284</v>
      </c>
      <c r="B21" s="46">
        <f t="shared" si="3"/>
        <v>14</v>
      </c>
      <c r="C21" s="47">
        <f t="shared" si="1"/>
        <v>89459</v>
      </c>
      <c r="D21" s="48">
        <f t="shared" si="2"/>
        <v>85446.13</v>
      </c>
      <c r="E21" s="68">
        <f t="shared" si="5"/>
        <v>4012.87</v>
      </c>
      <c r="F21" s="47">
        <f t="shared" si="4"/>
        <v>697474.18000000017</v>
      </c>
      <c r="G21" s="47">
        <f t="shared" si="0"/>
        <v>612028.05000000016</v>
      </c>
    </row>
    <row r="22" spans="1:7" x14ac:dyDescent="0.25">
      <c r="A22" s="36">
        <v>44298</v>
      </c>
      <c r="B22" s="46">
        <f t="shared" si="3"/>
        <v>14</v>
      </c>
      <c r="C22" s="47">
        <f t="shared" si="1"/>
        <v>89459</v>
      </c>
      <c r="D22" s="48">
        <f t="shared" si="2"/>
        <v>85937.74</v>
      </c>
      <c r="E22" s="68">
        <f t="shared" si="5"/>
        <v>3521.26</v>
      </c>
      <c r="F22" s="47">
        <f t="shared" si="4"/>
        <v>612028.05000000016</v>
      </c>
      <c r="G22" s="47">
        <f t="shared" si="0"/>
        <v>526090.31000000017</v>
      </c>
    </row>
    <row r="23" spans="1:7" x14ac:dyDescent="0.25">
      <c r="A23" s="36">
        <v>44312</v>
      </c>
      <c r="B23" s="46">
        <f t="shared" si="3"/>
        <v>14</v>
      </c>
      <c r="C23" s="47">
        <f t="shared" si="1"/>
        <v>89459</v>
      </c>
      <c r="D23" s="48">
        <f t="shared" si="2"/>
        <v>86432.18</v>
      </c>
      <c r="E23" s="68">
        <f t="shared" si="5"/>
        <v>3026.82</v>
      </c>
      <c r="F23" s="47">
        <f t="shared" si="4"/>
        <v>526090.31000000017</v>
      </c>
      <c r="G23" s="47">
        <f t="shared" si="0"/>
        <v>439658.13000000018</v>
      </c>
    </row>
    <row r="24" spans="1:7" x14ac:dyDescent="0.25">
      <c r="A24" s="36">
        <v>44326</v>
      </c>
      <c r="B24" s="46">
        <f t="shared" si="3"/>
        <v>14</v>
      </c>
      <c r="C24" s="47">
        <f t="shared" si="1"/>
        <v>89459</v>
      </c>
      <c r="D24" s="48">
        <f t="shared" si="2"/>
        <v>86929.46</v>
      </c>
      <c r="E24" s="68">
        <f t="shared" si="5"/>
        <v>2529.54</v>
      </c>
      <c r="F24" s="47">
        <f t="shared" si="4"/>
        <v>439658.13000000018</v>
      </c>
      <c r="G24" s="47">
        <f t="shared" si="0"/>
        <v>352728.67000000016</v>
      </c>
    </row>
    <row r="25" spans="1:7" x14ac:dyDescent="0.25">
      <c r="A25" s="36">
        <v>44340</v>
      </c>
      <c r="B25" s="46">
        <f t="shared" si="3"/>
        <v>14</v>
      </c>
      <c r="C25" s="47">
        <f t="shared" si="1"/>
        <v>89459</v>
      </c>
      <c r="D25" s="48">
        <f t="shared" si="2"/>
        <v>87429.6</v>
      </c>
      <c r="E25" s="68">
        <f t="shared" si="5"/>
        <v>2029.4</v>
      </c>
      <c r="F25" s="47">
        <f t="shared" si="4"/>
        <v>352728.67000000016</v>
      </c>
      <c r="G25" s="47">
        <f t="shared" si="0"/>
        <v>265299.07000000018</v>
      </c>
    </row>
    <row r="26" spans="1:7" x14ac:dyDescent="0.25">
      <c r="A26" s="36">
        <v>44354</v>
      </c>
      <c r="B26" s="46">
        <f t="shared" si="3"/>
        <v>14</v>
      </c>
      <c r="C26" s="47">
        <f t="shared" si="1"/>
        <v>89459</v>
      </c>
      <c r="D26" s="48">
        <f t="shared" si="2"/>
        <v>87932.62</v>
      </c>
      <c r="E26" s="68">
        <f t="shared" si="5"/>
        <v>1526.38</v>
      </c>
      <c r="F26" s="47">
        <f t="shared" si="4"/>
        <v>265299.07000000018</v>
      </c>
      <c r="G26" s="47">
        <f t="shared" si="0"/>
        <v>177366.45000000019</v>
      </c>
    </row>
    <row r="27" spans="1:7" x14ac:dyDescent="0.25">
      <c r="A27" s="36">
        <v>44368</v>
      </c>
      <c r="B27" s="46">
        <f t="shared" si="3"/>
        <v>14</v>
      </c>
      <c r="C27" s="47">
        <f t="shared" si="1"/>
        <v>89459</v>
      </c>
      <c r="D27" s="48">
        <f t="shared" si="2"/>
        <v>88438.54</v>
      </c>
      <c r="E27" s="68">
        <f t="shared" si="5"/>
        <v>1020.46</v>
      </c>
      <c r="F27" s="47">
        <f t="shared" si="4"/>
        <v>177366.45000000019</v>
      </c>
      <c r="G27" s="47">
        <f t="shared" si="0"/>
        <v>88927.910000000193</v>
      </c>
    </row>
    <row r="28" spans="1:7" x14ac:dyDescent="0.25">
      <c r="A28" s="36">
        <v>44382</v>
      </c>
      <c r="B28" s="46">
        <f t="shared" si="3"/>
        <v>14</v>
      </c>
      <c r="C28" s="47">
        <f t="shared" si="1"/>
        <v>89459</v>
      </c>
      <c r="D28" s="48">
        <f t="shared" si="2"/>
        <v>88927.910000000193</v>
      </c>
      <c r="E28" s="68">
        <v>531.0899999998079</v>
      </c>
      <c r="F28" s="47">
        <f t="shared" si="4"/>
        <v>88927.910000000193</v>
      </c>
      <c r="G28" s="47">
        <f t="shared" si="0"/>
        <v>0</v>
      </c>
    </row>
    <row r="29" spans="1:7" x14ac:dyDescent="0.25">
      <c r="A29" s="36">
        <v>44116</v>
      </c>
      <c r="B29" s="46">
        <f>A9-A8</f>
        <v>14</v>
      </c>
      <c r="C29" s="47">
        <f t="shared" ref="C29:C36" si="6">$E$2</f>
        <v>87713</v>
      </c>
      <c r="D29" s="48">
        <f t="shared" si="2"/>
        <v>78518.070000000007</v>
      </c>
      <c r="E29" s="68">
        <f>ROUND(F29*$B$2*G2/365+F29*$F$2*H2/365,2)</f>
        <v>9194.93</v>
      </c>
      <c r="F29" s="47">
        <f>G8</f>
        <v>1685490.12</v>
      </c>
      <c r="G29" s="47">
        <f t="shared" si="0"/>
        <v>1606972.05</v>
      </c>
    </row>
    <row r="30" spans="1:7" x14ac:dyDescent="0.25">
      <c r="A30" s="36">
        <v>44130</v>
      </c>
      <c r="B30" s="46">
        <f t="shared" ref="B30:B48" si="7">A30-A29</f>
        <v>14</v>
      </c>
      <c r="C30" s="47">
        <f t="shared" si="6"/>
        <v>87713</v>
      </c>
      <c r="D30" s="48">
        <f t="shared" si="2"/>
        <v>81820.479999999996</v>
      </c>
      <c r="E30" s="68">
        <f>ROUND(F30*$F$2*B30/365,2)</f>
        <v>5892.52</v>
      </c>
      <c r="F30" s="47">
        <f t="shared" ref="F30" si="8">G29</f>
        <v>1606972.05</v>
      </c>
      <c r="G30" s="47">
        <f t="shared" si="0"/>
        <v>1525151.57</v>
      </c>
    </row>
    <row r="31" spans="1:7" x14ac:dyDescent="0.25">
      <c r="A31" s="36">
        <v>44144</v>
      </c>
      <c r="B31" s="46">
        <f t="shared" si="7"/>
        <v>14</v>
      </c>
      <c r="C31" s="47">
        <f t="shared" si="6"/>
        <v>87713</v>
      </c>
      <c r="D31" s="48">
        <f t="shared" ref="D31:D48" si="9">C31-E31</f>
        <v>82120.5</v>
      </c>
      <c r="E31" s="68">
        <f t="shared" ref="E31:E36" si="10">ROUND(F31*$F$2*B31/365,2)</f>
        <v>5592.5</v>
      </c>
      <c r="F31" s="47">
        <f t="shared" ref="F31:F48" si="11">G30</f>
        <v>1525151.57</v>
      </c>
      <c r="G31" s="47">
        <f t="shared" ref="G31:G48" si="12">F31-D31</f>
        <v>1443031.07</v>
      </c>
    </row>
    <row r="32" spans="1:7" x14ac:dyDescent="0.25">
      <c r="A32" s="36">
        <v>44158</v>
      </c>
      <c r="B32" s="46">
        <f t="shared" si="7"/>
        <v>14</v>
      </c>
      <c r="C32" s="47">
        <f t="shared" si="6"/>
        <v>87713</v>
      </c>
      <c r="D32" s="48">
        <f t="shared" si="9"/>
        <v>82421.62</v>
      </c>
      <c r="E32" s="68">
        <f t="shared" si="10"/>
        <v>5291.38</v>
      </c>
      <c r="F32" s="47">
        <f t="shared" si="11"/>
        <v>1443031.07</v>
      </c>
      <c r="G32" s="47">
        <f t="shared" si="12"/>
        <v>1360609.4500000002</v>
      </c>
    </row>
    <row r="33" spans="1:7" x14ac:dyDescent="0.25">
      <c r="A33" s="36">
        <v>44172</v>
      </c>
      <c r="B33" s="46">
        <f t="shared" si="7"/>
        <v>14</v>
      </c>
      <c r="C33" s="47">
        <f t="shared" si="6"/>
        <v>87713</v>
      </c>
      <c r="D33" s="48">
        <f t="shared" si="9"/>
        <v>82723.850000000006</v>
      </c>
      <c r="E33" s="68">
        <f t="shared" si="10"/>
        <v>4989.1499999999996</v>
      </c>
      <c r="F33" s="47">
        <f t="shared" si="11"/>
        <v>1360609.4500000002</v>
      </c>
      <c r="G33" s="47">
        <f t="shared" si="12"/>
        <v>1277885.6000000001</v>
      </c>
    </row>
    <row r="34" spans="1:7" x14ac:dyDescent="0.25">
      <c r="A34" s="36">
        <v>44186</v>
      </c>
      <c r="B34" s="46">
        <f t="shared" si="7"/>
        <v>14</v>
      </c>
      <c r="C34" s="47">
        <f t="shared" si="6"/>
        <v>87713</v>
      </c>
      <c r="D34" s="48">
        <f t="shared" si="9"/>
        <v>83027.19</v>
      </c>
      <c r="E34" s="68">
        <f t="shared" si="10"/>
        <v>4685.8100000000004</v>
      </c>
      <c r="F34" s="47">
        <f t="shared" si="11"/>
        <v>1277885.6000000001</v>
      </c>
      <c r="G34" s="47">
        <f t="shared" si="12"/>
        <v>1194858.4100000001</v>
      </c>
    </row>
    <row r="35" spans="1:7" x14ac:dyDescent="0.25">
      <c r="A35" s="36">
        <v>44200</v>
      </c>
      <c r="B35" s="46">
        <f t="shared" si="7"/>
        <v>14</v>
      </c>
      <c r="C35" s="47">
        <f t="shared" si="6"/>
        <v>87713</v>
      </c>
      <c r="D35" s="48">
        <f t="shared" si="9"/>
        <v>83331.63</v>
      </c>
      <c r="E35" s="68">
        <f t="shared" si="10"/>
        <v>4381.37</v>
      </c>
      <c r="F35" s="47">
        <f t="shared" si="11"/>
        <v>1194858.4100000001</v>
      </c>
      <c r="G35" s="47">
        <f t="shared" si="12"/>
        <v>1111526.7800000003</v>
      </c>
    </row>
    <row r="36" spans="1:7" x14ac:dyDescent="0.25">
      <c r="A36" s="36">
        <v>44214</v>
      </c>
      <c r="B36" s="46">
        <f t="shared" si="7"/>
        <v>14</v>
      </c>
      <c r="C36" s="47">
        <f t="shared" si="6"/>
        <v>87713</v>
      </c>
      <c r="D36" s="48">
        <f t="shared" si="9"/>
        <v>83637.2</v>
      </c>
      <c r="E36" s="68">
        <f t="shared" si="10"/>
        <v>4075.8</v>
      </c>
      <c r="F36" s="47">
        <f t="shared" si="11"/>
        <v>1111526.7800000003</v>
      </c>
      <c r="G36" s="47">
        <f t="shared" si="12"/>
        <v>1027889.5800000003</v>
      </c>
    </row>
    <row r="37" spans="1:7" x14ac:dyDescent="0.25">
      <c r="A37" s="36">
        <v>44228</v>
      </c>
      <c r="B37" s="46">
        <f t="shared" si="7"/>
        <v>14</v>
      </c>
      <c r="C37" s="47">
        <f>$J$2</f>
        <v>88844</v>
      </c>
      <c r="D37" s="48">
        <f t="shared" si="9"/>
        <v>84736.51</v>
      </c>
      <c r="E37" s="68">
        <f>ROUND((F37*$F$2*L2/365)+(F37*$K$2*M2/365),2)</f>
        <v>4107.49</v>
      </c>
      <c r="F37" s="47">
        <f t="shared" si="11"/>
        <v>1027889.5800000003</v>
      </c>
      <c r="G37" s="47">
        <f t="shared" si="12"/>
        <v>943153.0700000003</v>
      </c>
    </row>
    <row r="38" spans="1:7" x14ac:dyDescent="0.25">
      <c r="A38" s="36">
        <v>44242</v>
      </c>
      <c r="B38" s="46">
        <f t="shared" si="7"/>
        <v>14</v>
      </c>
      <c r="C38" s="47">
        <f t="shared" ref="C38:C48" si="13">$J$2</f>
        <v>88844</v>
      </c>
      <c r="D38" s="48">
        <f t="shared" si="9"/>
        <v>83212.23</v>
      </c>
      <c r="E38" s="68">
        <f>ROUND(F38*$K$2*B38/365,2)</f>
        <v>5631.77</v>
      </c>
      <c r="F38" s="47">
        <f t="shared" si="11"/>
        <v>943153.0700000003</v>
      </c>
      <c r="G38" s="47">
        <f t="shared" si="12"/>
        <v>859940.84000000032</v>
      </c>
    </row>
    <row r="39" spans="1:7" x14ac:dyDescent="0.25">
      <c r="A39" s="36">
        <v>44256</v>
      </c>
      <c r="B39" s="46">
        <f t="shared" si="7"/>
        <v>14</v>
      </c>
      <c r="C39" s="47">
        <f t="shared" si="13"/>
        <v>88844</v>
      </c>
      <c r="D39" s="48">
        <f t="shared" si="9"/>
        <v>83709.11</v>
      </c>
      <c r="E39" s="68">
        <f t="shared" ref="E39:E47" si="14">ROUND(F39*$K$2*B39/365,2)</f>
        <v>5134.8900000000003</v>
      </c>
      <c r="F39" s="47">
        <f t="shared" si="11"/>
        <v>859940.84000000032</v>
      </c>
      <c r="G39" s="47">
        <f t="shared" si="12"/>
        <v>776231.73000000033</v>
      </c>
    </row>
    <row r="40" spans="1:7" x14ac:dyDescent="0.25">
      <c r="A40" s="36">
        <v>44270</v>
      </c>
      <c r="B40" s="46">
        <f t="shared" si="7"/>
        <v>14</v>
      </c>
      <c r="C40" s="47">
        <f t="shared" si="13"/>
        <v>88844</v>
      </c>
      <c r="D40" s="48">
        <f t="shared" si="9"/>
        <v>84208.960000000006</v>
      </c>
      <c r="E40" s="68">
        <f t="shared" si="14"/>
        <v>4635.04</v>
      </c>
      <c r="F40" s="47">
        <f t="shared" si="11"/>
        <v>776231.73000000033</v>
      </c>
      <c r="G40" s="47">
        <f t="shared" si="12"/>
        <v>692022.77000000037</v>
      </c>
    </row>
    <row r="41" spans="1:7" x14ac:dyDescent="0.25">
      <c r="A41" s="36">
        <v>44284</v>
      </c>
      <c r="B41" s="46">
        <f t="shared" si="7"/>
        <v>14</v>
      </c>
      <c r="C41" s="47">
        <f t="shared" si="13"/>
        <v>88844</v>
      </c>
      <c r="D41" s="48">
        <f t="shared" si="9"/>
        <v>84711.79</v>
      </c>
      <c r="E41" s="68">
        <f t="shared" si="14"/>
        <v>4132.21</v>
      </c>
      <c r="F41" s="47">
        <f t="shared" si="11"/>
        <v>692022.77000000037</v>
      </c>
      <c r="G41" s="47">
        <f t="shared" si="12"/>
        <v>607310.98000000033</v>
      </c>
    </row>
    <row r="42" spans="1:7" x14ac:dyDescent="0.25">
      <c r="A42" s="36">
        <v>44298</v>
      </c>
      <c r="B42" s="46">
        <f t="shared" si="7"/>
        <v>14</v>
      </c>
      <c r="C42" s="47">
        <f t="shared" si="13"/>
        <v>88844</v>
      </c>
      <c r="D42" s="48">
        <f t="shared" si="9"/>
        <v>85217.62</v>
      </c>
      <c r="E42" s="68">
        <f t="shared" si="14"/>
        <v>3626.38</v>
      </c>
      <c r="F42" s="47">
        <f t="shared" si="11"/>
        <v>607310.98000000033</v>
      </c>
      <c r="G42" s="47">
        <f t="shared" si="12"/>
        <v>522093.36000000034</v>
      </c>
    </row>
    <row r="43" spans="1:7" x14ac:dyDescent="0.25">
      <c r="A43" s="36">
        <v>44312</v>
      </c>
      <c r="B43" s="46">
        <f t="shared" si="7"/>
        <v>14</v>
      </c>
      <c r="C43" s="47">
        <f t="shared" si="13"/>
        <v>88844</v>
      </c>
      <c r="D43" s="48">
        <f t="shared" si="9"/>
        <v>85726.47</v>
      </c>
      <c r="E43" s="68">
        <f t="shared" si="14"/>
        <v>3117.53</v>
      </c>
      <c r="F43" s="47">
        <f t="shared" si="11"/>
        <v>522093.36000000034</v>
      </c>
      <c r="G43" s="47">
        <f t="shared" si="12"/>
        <v>436366.89000000036</v>
      </c>
    </row>
    <row r="44" spans="1:7" x14ac:dyDescent="0.25">
      <c r="A44" s="36">
        <v>44326</v>
      </c>
      <c r="B44" s="46">
        <f t="shared" si="7"/>
        <v>14</v>
      </c>
      <c r="C44" s="47">
        <f t="shared" si="13"/>
        <v>88844</v>
      </c>
      <c r="D44" s="48">
        <f t="shared" si="9"/>
        <v>86238.36</v>
      </c>
      <c r="E44" s="68">
        <f t="shared" si="14"/>
        <v>2605.64</v>
      </c>
      <c r="F44" s="47">
        <f t="shared" si="11"/>
        <v>436366.89000000036</v>
      </c>
      <c r="G44" s="47">
        <f t="shared" si="12"/>
        <v>350128.53000000038</v>
      </c>
    </row>
    <row r="45" spans="1:7" x14ac:dyDescent="0.25">
      <c r="A45" s="36">
        <v>44340</v>
      </c>
      <c r="B45" s="46">
        <f t="shared" si="7"/>
        <v>14</v>
      </c>
      <c r="C45" s="47">
        <f t="shared" si="13"/>
        <v>88844</v>
      </c>
      <c r="D45" s="48">
        <f t="shared" si="9"/>
        <v>86753.31</v>
      </c>
      <c r="E45" s="68">
        <f t="shared" si="14"/>
        <v>2090.69</v>
      </c>
      <c r="F45" s="47">
        <f t="shared" si="11"/>
        <v>350128.53000000038</v>
      </c>
      <c r="G45" s="47">
        <f t="shared" si="12"/>
        <v>263375.22000000038</v>
      </c>
    </row>
    <row r="46" spans="1:7" x14ac:dyDescent="0.25">
      <c r="A46" s="36">
        <v>44354</v>
      </c>
      <c r="B46" s="46">
        <f t="shared" si="7"/>
        <v>14</v>
      </c>
      <c r="C46" s="47">
        <f t="shared" si="13"/>
        <v>88844</v>
      </c>
      <c r="D46" s="48">
        <f t="shared" si="9"/>
        <v>87271.33</v>
      </c>
      <c r="E46" s="68">
        <f t="shared" si="14"/>
        <v>1572.67</v>
      </c>
      <c r="F46" s="47">
        <f t="shared" si="11"/>
        <v>263375.22000000038</v>
      </c>
      <c r="G46" s="47">
        <f t="shared" si="12"/>
        <v>176103.89000000036</v>
      </c>
    </row>
    <row r="47" spans="1:7" x14ac:dyDescent="0.25">
      <c r="A47" s="36">
        <v>44368</v>
      </c>
      <c r="B47" s="46">
        <f t="shared" si="7"/>
        <v>14</v>
      </c>
      <c r="C47" s="47">
        <f t="shared" si="13"/>
        <v>88844</v>
      </c>
      <c r="D47" s="48">
        <f t="shared" si="9"/>
        <v>87792.45</v>
      </c>
      <c r="E47" s="68">
        <f t="shared" si="14"/>
        <v>1051.55</v>
      </c>
      <c r="F47" s="47">
        <f t="shared" si="11"/>
        <v>176103.89000000036</v>
      </c>
      <c r="G47" s="47">
        <f t="shared" si="12"/>
        <v>88311.440000000366</v>
      </c>
    </row>
    <row r="48" spans="1:7" x14ac:dyDescent="0.25">
      <c r="A48" s="36">
        <v>44382</v>
      </c>
      <c r="B48" s="46">
        <f t="shared" si="7"/>
        <v>14</v>
      </c>
      <c r="C48" s="47">
        <f t="shared" si="13"/>
        <v>88844</v>
      </c>
      <c r="D48" s="48">
        <f t="shared" si="9"/>
        <v>88311.440000000366</v>
      </c>
      <c r="E48" s="68">
        <v>532.55999999963217</v>
      </c>
      <c r="F48" s="47">
        <f t="shared" si="11"/>
        <v>88311.440000000366</v>
      </c>
      <c r="G48" s="47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1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A15CE5-6AEE-4B39-B8BF-4DD7CF095D8B}">
  <dimension ref="A1:M48"/>
  <sheetViews>
    <sheetView zoomScale="80" zoomScaleNormal="80" workbookViewId="0">
      <pane ySplit="3" topLeftCell="A30" activePane="bottomLeft" state="frozen"/>
      <selection activeCell="E29" sqref="E29"/>
      <selection pane="bottomLeft" activeCell="E29" sqref="E29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  <col min="10" max="10" width="14.42578125" bestFit="1" customWidth="1"/>
    <col min="11" max="11" width="12.42578125" bestFit="1" customWidth="1"/>
    <col min="12" max="12" width="14.42578125" bestFit="1" customWidth="1"/>
    <col min="13" max="13" width="12.42578125" bestFit="1" customWidth="1"/>
  </cols>
  <sheetData>
    <row r="1" spans="1:13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175</v>
      </c>
      <c r="G1" s="132" t="s">
        <v>346</v>
      </c>
      <c r="H1" s="124" t="s">
        <v>149</v>
      </c>
      <c r="I1" s="132" t="s">
        <v>359</v>
      </c>
      <c r="J1" s="124" t="s">
        <v>362</v>
      </c>
      <c r="K1" s="124" t="s">
        <v>350</v>
      </c>
      <c r="L1" s="124" t="s">
        <v>363</v>
      </c>
      <c r="M1" s="124" t="s">
        <v>351</v>
      </c>
    </row>
    <row r="2" spans="1:13" x14ac:dyDescent="0.25">
      <c r="A2" s="75" t="s">
        <v>34</v>
      </c>
      <c r="B2" s="76">
        <v>0.15</v>
      </c>
      <c r="C2" s="17">
        <f>ROUNDUP(89458.48375,0)</f>
        <v>89459</v>
      </c>
      <c r="D2" s="125">
        <v>44114</v>
      </c>
      <c r="E2" s="124">
        <f>ROUNDUP(87711.5125061832,0)</f>
        <v>87712</v>
      </c>
      <c r="F2" s="183">
        <v>9.5600000000000004E-2</v>
      </c>
      <c r="G2" s="134">
        <v>44226</v>
      </c>
      <c r="H2" s="124">
        <f>ROUNDUP(88855.1024535194,0)</f>
        <v>88856</v>
      </c>
      <c r="I2" s="180">
        <v>0.15567800000000001</v>
      </c>
      <c r="J2" s="124">
        <f>DAYS360(A8,D2,TRUE)</f>
        <v>12</v>
      </c>
      <c r="K2" s="124">
        <f>DAYS360(D2,A29,TRUE)</f>
        <v>2</v>
      </c>
      <c r="L2">
        <f>DAYS360(A36,G2,TRUE)</f>
        <v>12</v>
      </c>
      <c r="M2">
        <f>DAYS360(G2,A37,TRUE)</f>
        <v>1</v>
      </c>
    </row>
    <row r="3" spans="1:13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3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>F4-D4</f>
        <v>2000000</v>
      </c>
    </row>
    <row r="5" spans="1:13" x14ac:dyDescent="0.25">
      <c r="A5" s="36">
        <v>44060</v>
      </c>
      <c r="B5" s="46">
        <f>DAYS360(A4,A5,TRUE)</f>
        <v>14</v>
      </c>
      <c r="C5" s="47">
        <f t="shared" ref="C5:C28" si="0">$C$2</f>
        <v>89459</v>
      </c>
      <c r="D5" s="48">
        <f t="shared" ref="D5:D30" si="1">C5-E5</f>
        <v>77792.33</v>
      </c>
      <c r="E5" s="68">
        <f>ROUND(F5*$B$2*B5/360,2)</f>
        <v>11666.67</v>
      </c>
      <c r="F5" s="47">
        <f>G4</f>
        <v>2000000</v>
      </c>
      <c r="G5" s="47">
        <f>F5-D5</f>
        <v>1922207.67</v>
      </c>
    </row>
    <row r="6" spans="1:13" x14ac:dyDescent="0.25">
      <c r="A6" s="36">
        <v>44074</v>
      </c>
      <c r="B6" s="46">
        <f t="shared" ref="B6:B48" si="2">DAYS360(A5,A6,TRUE)</f>
        <v>13</v>
      </c>
      <c r="C6" s="47">
        <f t="shared" si="0"/>
        <v>89459</v>
      </c>
      <c r="D6" s="48">
        <f t="shared" si="1"/>
        <v>79047.040000000008</v>
      </c>
      <c r="E6" s="68">
        <f t="shared" ref="E6:E27" si="3">ROUND(F6*$B$2*B6/360,2)</f>
        <v>10411.959999999999</v>
      </c>
      <c r="F6" s="47">
        <f t="shared" ref="F6:F28" si="4">G5</f>
        <v>1922207.67</v>
      </c>
      <c r="G6" s="47">
        <f t="shared" ref="G6:G30" si="5">F6-D6</f>
        <v>1843160.63</v>
      </c>
    </row>
    <row r="7" spans="1:13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78707.23</v>
      </c>
      <c r="E7" s="68">
        <f t="shared" si="3"/>
        <v>10751.77</v>
      </c>
      <c r="F7" s="47">
        <f t="shared" si="4"/>
        <v>1843160.63</v>
      </c>
      <c r="G7" s="47">
        <f t="shared" si="5"/>
        <v>1764453.4</v>
      </c>
    </row>
    <row r="8" spans="1:13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79166.36</v>
      </c>
      <c r="E8" s="68">
        <f t="shared" si="3"/>
        <v>10292.64</v>
      </c>
      <c r="F8" s="47">
        <f t="shared" si="4"/>
        <v>1764453.4</v>
      </c>
      <c r="G8" s="47">
        <f t="shared" si="5"/>
        <v>1685287.0399999998</v>
      </c>
    </row>
    <row r="9" spans="1:13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79628.160000000003</v>
      </c>
      <c r="E9" s="68">
        <f t="shared" si="3"/>
        <v>9830.84</v>
      </c>
      <c r="F9" s="47">
        <f t="shared" si="4"/>
        <v>1685287.0399999998</v>
      </c>
      <c r="G9" s="47">
        <f t="shared" si="5"/>
        <v>1605658.88</v>
      </c>
    </row>
    <row r="10" spans="1:13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80092.66</v>
      </c>
      <c r="E10" s="68">
        <f t="shared" si="3"/>
        <v>9366.34</v>
      </c>
      <c r="F10" s="47">
        <f t="shared" si="4"/>
        <v>1605658.88</v>
      </c>
      <c r="G10" s="47">
        <f t="shared" si="5"/>
        <v>1525566.22</v>
      </c>
    </row>
    <row r="11" spans="1:13" x14ac:dyDescent="0.25">
      <c r="A11" s="36">
        <v>44144</v>
      </c>
      <c r="B11" s="46">
        <f t="shared" si="2"/>
        <v>13</v>
      </c>
      <c r="C11" s="47">
        <f t="shared" si="0"/>
        <v>89459</v>
      </c>
      <c r="D11" s="48">
        <f t="shared" si="1"/>
        <v>81195.520000000004</v>
      </c>
      <c r="E11" s="68">
        <f t="shared" si="3"/>
        <v>8263.48</v>
      </c>
      <c r="F11" s="47">
        <f t="shared" si="4"/>
        <v>1525566.22</v>
      </c>
      <c r="G11" s="47">
        <f t="shared" si="5"/>
        <v>1444370.7</v>
      </c>
    </row>
    <row r="12" spans="1:13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81033.5</v>
      </c>
      <c r="E12" s="68">
        <f t="shared" si="3"/>
        <v>8425.5</v>
      </c>
      <c r="F12" s="47">
        <f t="shared" si="4"/>
        <v>1444370.7</v>
      </c>
      <c r="G12" s="47">
        <f t="shared" si="5"/>
        <v>1363337.2</v>
      </c>
    </row>
    <row r="13" spans="1:13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81506.2</v>
      </c>
      <c r="E13" s="68">
        <f t="shared" si="3"/>
        <v>7952.8</v>
      </c>
      <c r="F13" s="47">
        <f t="shared" si="4"/>
        <v>1363337.2</v>
      </c>
      <c r="G13" s="47">
        <f t="shared" si="5"/>
        <v>1281831</v>
      </c>
    </row>
    <row r="14" spans="1:13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81981.649999999994</v>
      </c>
      <c r="E14" s="68">
        <f t="shared" si="3"/>
        <v>7477.35</v>
      </c>
      <c r="F14" s="47">
        <f t="shared" si="4"/>
        <v>1281831</v>
      </c>
      <c r="G14" s="47">
        <f t="shared" si="5"/>
        <v>1199849.3500000001</v>
      </c>
    </row>
    <row r="15" spans="1:13" x14ac:dyDescent="0.25">
      <c r="A15" s="36">
        <v>44200</v>
      </c>
      <c r="B15" s="46">
        <f t="shared" si="2"/>
        <v>13</v>
      </c>
      <c r="C15" s="47">
        <f t="shared" si="0"/>
        <v>89459</v>
      </c>
      <c r="D15" s="48">
        <f t="shared" si="1"/>
        <v>82959.820000000007</v>
      </c>
      <c r="E15" s="68">
        <f t="shared" si="3"/>
        <v>6499.18</v>
      </c>
      <c r="F15" s="47">
        <f t="shared" si="4"/>
        <v>1199849.3500000001</v>
      </c>
      <c r="G15" s="47">
        <f t="shared" si="5"/>
        <v>1116889.53</v>
      </c>
    </row>
    <row r="16" spans="1:13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82943.81</v>
      </c>
      <c r="E16" s="68">
        <f t="shared" si="3"/>
        <v>6515.19</v>
      </c>
      <c r="F16" s="47">
        <f t="shared" si="4"/>
        <v>1116889.53</v>
      </c>
      <c r="G16" s="47">
        <f t="shared" si="5"/>
        <v>1033945.72</v>
      </c>
    </row>
    <row r="17" spans="1:7" x14ac:dyDescent="0.25">
      <c r="A17" s="36">
        <v>44228</v>
      </c>
      <c r="B17" s="46">
        <f t="shared" si="2"/>
        <v>13</v>
      </c>
      <c r="C17" s="47">
        <f t="shared" si="0"/>
        <v>89459</v>
      </c>
      <c r="D17" s="48">
        <f t="shared" si="1"/>
        <v>83858.460000000006</v>
      </c>
      <c r="E17" s="68">
        <f t="shared" si="3"/>
        <v>5600.54</v>
      </c>
      <c r="F17" s="47">
        <f t="shared" si="4"/>
        <v>1033945.72</v>
      </c>
      <c r="G17" s="47">
        <f t="shared" si="5"/>
        <v>950087.26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83916.82</v>
      </c>
      <c r="E18" s="68">
        <f t="shared" si="3"/>
        <v>5542.18</v>
      </c>
      <c r="F18" s="47">
        <f t="shared" si="4"/>
        <v>950087.26</v>
      </c>
      <c r="G18" s="47">
        <f t="shared" si="5"/>
        <v>866170.44</v>
      </c>
    </row>
    <row r="19" spans="1:7" x14ac:dyDescent="0.25">
      <c r="A19" s="36">
        <v>44256</v>
      </c>
      <c r="B19" s="46">
        <f t="shared" si="2"/>
        <v>16</v>
      </c>
      <c r="C19" s="47">
        <f t="shared" si="0"/>
        <v>89459</v>
      </c>
      <c r="D19" s="48">
        <f t="shared" si="1"/>
        <v>83684.53</v>
      </c>
      <c r="E19" s="68">
        <f t="shared" si="3"/>
        <v>5774.47</v>
      </c>
      <c r="F19" s="47">
        <f t="shared" si="4"/>
        <v>866170.44</v>
      </c>
      <c r="G19" s="47">
        <f t="shared" si="5"/>
        <v>782485.90999999992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84894.5</v>
      </c>
      <c r="E20" s="68">
        <f t="shared" si="3"/>
        <v>4564.5</v>
      </c>
      <c r="F20" s="47">
        <f t="shared" si="4"/>
        <v>782485.90999999992</v>
      </c>
      <c r="G20" s="47">
        <f t="shared" si="5"/>
        <v>697591.40999999992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85389.72</v>
      </c>
      <c r="E21" s="68">
        <f t="shared" si="3"/>
        <v>4069.28</v>
      </c>
      <c r="F21" s="47">
        <f t="shared" si="4"/>
        <v>697591.40999999992</v>
      </c>
      <c r="G21" s="47">
        <f t="shared" si="5"/>
        <v>612201.68999999994</v>
      </c>
    </row>
    <row r="22" spans="1:7" x14ac:dyDescent="0.25">
      <c r="A22" s="36">
        <v>44298</v>
      </c>
      <c r="B22" s="46">
        <f t="shared" si="2"/>
        <v>13</v>
      </c>
      <c r="C22" s="47">
        <f t="shared" si="0"/>
        <v>89459</v>
      </c>
      <c r="D22" s="48">
        <f t="shared" si="1"/>
        <v>86142.91</v>
      </c>
      <c r="E22" s="68">
        <f t="shared" si="3"/>
        <v>3316.09</v>
      </c>
      <c r="F22" s="47">
        <f t="shared" si="4"/>
        <v>612201.68999999994</v>
      </c>
      <c r="G22" s="47">
        <f t="shared" si="5"/>
        <v>526058.77999999991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86390.32</v>
      </c>
      <c r="E23" s="68">
        <f t="shared" si="3"/>
        <v>3068.68</v>
      </c>
      <c r="F23" s="47">
        <f t="shared" si="4"/>
        <v>526058.77999999991</v>
      </c>
      <c r="G23" s="47">
        <f t="shared" si="5"/>
        <v>439668.4599999999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86894.27</v>
      </c>
      <c r="E24" s="68">
        <f t="shared" si="3"/>
        <v>2564.73</v>
      </c>
      <c r="F24" s="47">
        <f t="shared" si="4"/>
        <v>439668.4599999999</v>
      </c>
      <c r="G24" s="47">
        <f t="shared" si="5"/>
        <v>352774.18999999989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87401.15</v>
      </c>
      <c r="E25" s="68">
        <f t="shared" si="3"/>
        <v>2057.85</v>
      </c>
      <c r="F25" s="47">
        <f t="shared" si="4"/>
        <v>352774.18999999989</v>
      </c>
      <c r="G25" s="47">
        <f t="shared" si="5"/>
        <v>265373.03999999992</v>
      </c>
    </row>
    <row r="26" spans="1:7" x14ac:dyDescent="0.25">
      <c r="A26" s="36">
        <v>44354</v>
      </c>
      <c r="B26" s="46">
        <f t="shared" si="2"/>
        <v>13</v>
      </c>
      <c r="C26" s="47">
        <f t="shared" si="0"/>
        <v>89459</v>
      </c>
      <c r="D26" s="48">
        <f t="shared" si="1"/>
        <v>88021.56</v>
      </c>
      <c r="E26" s="68">
        <f t="shared" si="3"/>
        <v>1437.44</v>
      </c>
      <c r="F26" s="47">
        <f t="shared" si="4"/>
        <v>265373.03999999992</v>
      </c>
      <c r="G26" s="47">
        <f t="shared" si="5"/>
        <v>177351.47999999992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88424.45</v>
      </c>
      <c r="E27" s="68">
        <f t="shared" si="3"/>
        <v>1034.55</v>
      </c>
      <c r="F27" s="47">
        <f t="shared" si="4"/>
        <v>177351.47999999992</v>
      </c>
      <c r="G27" s="47">
        <f t="shared" si="5"/>
        <v>88927.029999999926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88927.029999999926</v>
      </c>
      <c r="E28" s="68">
        <v>531.97000000006869</v>
      </c>
      <c r="F28" s="47">
        <f t="shared" si="4"/>
        <v>88927.029999999926</v>
      </c>
      <c r="G28" s="47">
        <f t="shared" si="5"/>
        <v>0</v>
      </c>
    </row>
    <row r="29" spans="1:7" x14ac:dyDescent="0.25">
      <c r="A29" s="36">
        <v>44116</v>
      </c>
      <c r="B29" s="46">
        <f>DAYS360(A8,A9,TRUE)</f>
        <v>14</v>
      </c>
      <c r="C29" s="47">
        <f>$E$2</f>
        <v>87712</v>
      </c>
      <c r="D29" s="48">
        <f t="shared" si="1"/>
        <v>78390.490000000005</v>
      </c>
      <c r="E29" s="68">
        <f>ROUND(F29*$B$2*J2/360+F29*$F$2*K2/360,2)</f>
        <v>9321.51</v>
      </c>
      <c r="F29" s="47">
        <f>G8</f>
        <v>1685287.0399999998</v>
      </c>
      <c r="G29" s="47">
        <f t="shared" si="5"/>
        <v>1606896.5499999998</v>
      </c>
    </row>
    <row r="30" spans="1:7" x14ac:dyDescent="0.25">
      <c r="A30" s="36">
        <v>44130</v>
      </c>
      <c r="B30" s="46">
        <f t="shared" si="2"/>
        <v>14</v>
      </c>
      <c r="C30" s="47">
        <f t="shared" ref="C30:C36" si="6">$E$2</f>
        <v>87712</v>
      </c>
      <c r="D30" s="48">
        <f t="shared" si="1"/>
        <v>81737.919999999998</v>
      </c>
      <c r="E30" s="68">
        <f>ROUND(F30*$F$2*B30/360,2)</f>
        <v>5974.08</v>
      </c>
      <c r="F30" s="47">
        <f t="shared" ref="F30" si="7">G29</f>
        <v>1606896.5499999998</v>
      </c>
      <c r="G30" s="47">
        <f t="shared" si="5"/>
        <v>1525158.63</v>
      </c>
    </row>
    <row r="31" spans="1:7" x14ac:dyDescent="0.25">
      <c r="A31" s="36">
        <v>44144</v>
      </c>
      <c r="B31" s="46">
        <f t="shared" si="2"/>
        <v>13</v>
      </c>
      <c r="C31" s="47">
        <f t="shared" si="6"/>
        <v>87712</v>
      </c>
      <c r="D31" s="48">
        <f t="shared" ref="D31:D48" si="8">C31-E31</f>
        <v>82446.81</v>
      </c>
      <c r="E31" s="68">
        <f t="shared" ref="E31:E36" si="9">ROUND(F31*$F$2*B31/360,2)</f>
        <v>5265.19</v>
      </c>
      <c r="F31" s="47">
        <f t="shared" ref="F31:F48" si="10">G30</f>
        <v>1525158.63</v>
      </c>
      <c r="G31" s="47">
        <f t="shared" ref="G31:G48" si="11">F31-D31</f>
        <v>1442711.8199999998</v>
      </c>
    </row>
    <row r="32" spans="1:7" x14ac:dyDescent="0.25">
      <c r="A32" s="36">
        <v>44158</v>
      </c>
      <c r="B32" s="46">
        <f t="shared" si="2"/>
        <v>14</v>
      </c>
      <c r="C32" s="47">
        <f t="shared" si="6"/>
        <v>87712</v>
      </c>
      <c r="D32" s="48">
        <f t="shared" si="8"/>
        <v>82348.320000000007</v>
      </c>
      <c r="E32" s="68">
        <f t="shared" si="9"/>
        <v>5363.68</v>
      </c>
      <c r="F32" s="47">
        <f t="shared" si="10"/>
        <v>1442711.8199999998</v>
      </c>
      <c r="G32" s="47">
        <f t="shared" si="11"/>
        <v>1360363.4999999998</v>
      </c>
    </row>
    <row r="33" spans="1:7" x14ac:dyDescent="0.25">
      <c r="A33" s="36">
        <v>44172</v>
      </c>
      <c r="B33" s="46">
        <f t="shared" si="2"/>
        <v>14</v>
      </c>
      <c r="C33" s="47">
        <f t="shared" si="6"/>
        <v>87712</v>
      </c>
      <c r="D33" s="48">
        <f t="shared" si="8"/>
        <v>82654.47</v>
      </c>
      <c r="E33" s="68">
        <f t="shared" si="9"/>
        <v>5057.53</v>
      </c>
      <c r="F33" s="47">
        <f t="shared" si="10"/>
        <v>1360363.4999999998</v>
      </c>
      <c r="G33" s="47">
        <f t="shared" si="11"/>
        <v>1277709.0299999998</v>
      </c>
    </row>
    <row r="34" spans="1:7" x14ac:dyDescent="0.25">
      <c r="A34" s="36">
        <v>44186</v>
      </c>
      <c r="B34" s="46">
        <f t="shared" si="2"/>
        <v>14</v>
      </c>
      <c r="C34" s="47">
        <f t="shared" si="6"/>
        <v>87712</v>
      </c>
      <c r="D34" s="48">
        <f t="shared" si="8"/>
        <v>82961.759999999995</v>
      </c>
      <c r="E34" s="68">
        <f t="shared" si="9"/>
        <v>4750.24</v>
      </c>
      <c r="F34" s="47">
        <f t="shared" si="10"/>
        <v>1277709.0299999998</v>
      </c>
      <c r="G34" s="47">
        <f t="shared" si="11"/>
        <v>1194747.2699999998</v>
      </c>
    </row>
    <row r="35" spans="1:7" x14ac:dyDescent="0.25">
      <c r="A35" s="36">
        <v>44200</v>
      </c>
      <c r="B35" s="46">
        <f t="shared" si="2"/>
        <v>13</v>
      </c>
      <c r="C35" s="47">
        <f t="shared" si="6"/>
        <v>87712</v>
      </c>
      <c r="D35" s="48">
        <f t="shared" si="8"/>
        <v>83587.47</v>
      </c>
      <c r="E35" s="68">
        <f t="shared" si="9"/>
        <v>4124.53</v>
      </c>
      <c r="F35" s="47">
        <f t="shared" si="10"/>
        <v>1194747.2699999998</v>
      </c>
      <c r="G35" s="47">
        <f t="shared" si="11"/>
        <v>1111159.7999999998</v>
      </c>
    </row>
    <row r="36" spans="1:7" x14ac:dyDescent="0.25">
      <c r="A36" s="36">
        <v>44214</v>
      </c>
      <c r="B36" s="46">
        <f t="shared" si="2"/>
        <v>14</v>
      </c>
      <c r="C36" s="47">
        <f t="shared" si="6"/>
        <v>87712</v>
      </c>
      <c r="D36" s="48">
        <f t="shared" si="8"/>
        <v>83580.95</v>
      </c>
      <c r="E36" s="68">
        <f t="shared" si="9"/>
        <v>4131.05</v>
      </c>
      <c r="F36" s="47">
        <f t="shared" si="10"/>
        <v>1111159.7999999998</v>
      </c>
      <c r="G36" s="47">
        <f t="shared" si="11"/>
        <v>1027578.8499999999</v>
      </c>
    </row>
    <row r="37" spans="1:7" x14ac:dyDescent="0.25">
      <c r="A37" s="36">
        <v>44228</v>
      </c>
      <c r="B37" s="46">
        <f t="shared" si="2"/>
        <v>13</v>
      </c>
      <c r="C37" s="47">
        <f>$H$2</f>
        <v>88856</v>
      </c>
      <c r="D37" s="48">
        <f t="shared" si="8"/>
        <v>85137.08</v>
      </c>
      <c r="E37" s="68">
        <f>ROUND(F37*$F$2*L2/360+F37*$I$2*M2/360,2)</f>
        <v>3718.92</v>
      </c>
      <c r="F37" s="47">
        <f t="shared" si="10"/>
        <v>1027578.8499999999</v>
      </c>
      <c r="G37" s="47">
        <f t="shared" si="11"/>
        <v>942441.7699999999</v>
      </c>
    </row>
    <row r="38" spans="1:7" x14ac:dyDescent="0.25">
      <c r="A38" s="36">
        <v>44242</v>
      </c>
      <c r="B38" s="46">
        <f t="shared" si="2"/>
        <v>14</v>
      </c>
      <c r="C38" s="47">
        <f t="shared" ref="C38:C48" si="12">$H$2</f>
        <v>88856</v>
      </c>
      <c r="D38" s="48">
        <f t="shared" si="8"/>
        <v>83150.320000000007</v>
      </c>
      <c r="E38" s="68">
        <f>ROUND(F38*$I$2*B38/360,2)</f>
        <v>5705.68</v>
      </c>
      <c r="F38" s="47">
        <f t="shared" si="10"/>
        <v>942441.7699999999</v>
      </c>
      <c r="G38" s="47">
        <f t="shared" si="11"/>
        <v>859291.45</v>
      </c>
    </row>
    <row r="39" spans="1:7" x14ac:dyDescent="0.25">
      <c r="A39" s="36">
        <v>44256</v>
      </c>
      <c r="B39" s="46">
        <f t="shared" si="2"/>
        <v>16</v>
      </c>
      <c r="C39" s="47">
        <f t="shared" si="12"/>
        <v>88856</v>
      </c>
      <c r="D39" s="48">
        <f t="shared" si="8"/>
        <v>82910.539999999994</v>
      </c>
      <c r="E39" s="68">
        <f t="shared" ref="E39:E47" si="13">ROUND(F39*$I$2*B39/360,2)</f>
        <v>5945.46</v>
      </c>
      <c r="F39" s="47">
        <f t="shared" si="10"/>
        <v>859291.45</v>
      </c>
      <c r="G39" s="47">
        <f t="shared" si="11"/>
        <v>776380.90999999992</v>
      </c>
    </row>
    <row r="40" spans="1:7" x14ac:dyDescent="0.25">
      <c r="A40" s="36">
        <v>44270</v>
      </c>
      <c r="B40" s="46">
        <f t="shared" si="2"/>
        <v>14</v>
      </c>
      <c r="C40" s="47">
        <f t="shared" si="12"/>
        <v>88856</v>
      </c>
      <c r="D40" s="48">
        <f t="shared" si="8"/>
        <v>84155.68</v>
      </c>
      <c r="E40" s="68">
        <f t="shared" si="13"/>
        <v>4700.32</v>
      </c>
      <c r="F40" s="47">
        <f t="shared" si="10"/>
        <v>776380.90999999992</v>
      </c>
      <c r="G40" s="47">
        <f t="shared" si="11"/>
        <v>692225.23</v>
      </c>
    </row>
    <row r="41" spans="1:7" x14ac:dyDescent="0.25">
      <c r="A41" s="36">
        <v>44284</v>
      </c>
      <c r="B41" s="46">
        <f t="shared" si="2"/>
        <v>14</v>
      </c>
      <c r="C41" s="47">
        <f t="shared" si="12"/>
        <v>88856</v>
      </c>
      <c r="D41" s="48">
        <f t="shared" si="8"/>
        <v>84665.17</v>
      </c>
      <c r="E41" s="68">
        <f t="shared" si="13"/>
        <v>4190.83</v>
      </c>
      <c r="F41" s="47">
        <f t="shared" si="10"/>
        <v>692225.23</v>
      </c>
      <c r="G41" s="47">
        <f t="shared" si="11"/>
        <v>607560.05999999994</v>
      </c>
    </row>
    <row r="42" spans="1:7" x14ac:dyDescent="0.25">
      <c r="A42" s="36">
        <v>44298</v>
      </c>
      <c r="B42" s="46">
        <f t="shared" si="2"/>
        <v>13</v>
      </c>
      <c r="C42" s="47">
        <f t="shared" si="12"/>
        <v>88856</v>
      </c>
      <c r="D42" s="48">
        <f t="shared" si="8"/>
        <v>85440.48</v>
      </c>
      <c r="E42" s="68">
        <f t="shared" si="13"/>
        <v>3415.52</v>
      </c>
      <c r="F42" s="47">
        <f t="shared" si="10"/>
        <v>607560.05999999994</v>
      </c>
      <c r="G42" s="47">
        <f t="shared" si="11"/>
        <v>522119.57999999996</v>
      </c>
    </row>
    <row r="43" spans="1:7" x14ac:dyDescent="0.25">
      <c r="A43" s="36">
        <v>44312</v>
      </c>
      <c r="B43" s="46">
        <f t="shared" si="2"/>
        <v>14</v>
      </c>
      <c r="C43" s="47">
        <f t="shared" si="12"/>
        <v>88856</v>
      </c>
      <c r="D43" s="48">
        <f t="shared" si="8"/>
        <v>85695.01</v>
      </c>
      <c r="E43" s="68">
        <f t="shared" si="13"/>
        <v>3160.99</v>
      </c>
      <c r="F43" s="47">
        <f t="shared" si="10"/>
        <v>522119.57999999996</v>
      </c>
      <c r="G43" s="47">
        <f t="shared" si="11"/>
        <v>436424.56999999995</v>
      </c>
    </row>
    <row r="44" spans="1:7" x14ac:dyDescent="0.25">
      <c r="A44" s="36">
        <v>44326</v>
      </c>
      <c r="B44" s="46">
        <f t="shared" si="2"/>
        <v>14</v>
      </c>
      <c r="C44" s="47">
        <f t="shared" si="12"/>
        <v>88856</v>
      </c>
      <c r="D44" s="48">
        <f t="shared" si="8"/>
        <v>86213.82</v>
      </c>
      <c r="E44" s="68">
        <f t="shared" si="13"/>
        <v>2642.18</v>
      </c>
      <c r="F44" s="47">
        <f t="shared" si="10"/>
        <v>436424.56999999995</v>
      </c>
      <c r="G44" s="47">
        <f t="shared" si="11"/>
        <v>350210.74999999994</v>
      </c>
    </row>
    <row r="45" spans="1:7" x14ac:dyDescent="0.25">
      <c r="A45" s="36">
        <v>44340</v>
      </c>
      <c r="B45" s="46">
        <f t="shared" si="2"/>
        <v>14</v>
      </c>
      <c r="C45" s="47">
        <f t="shared" si="12"/>
        <v>88856</v>
      </c>
      <c r="D45" s="48">
        <f t="shared" si="8"/>
        <v>86735.77</v>
      </c>
      <c r="E45" s="68">
        <f t="shared" si="13"/>
        <v>2120.23</v>
      </c>
      <c r="F45" s="47">
        <f t="shared" si="10"/>
        <v>350210.74999999994</v>
      </c>
      <c r="G45" s="47">
        <f t="shared" si="11"/>
        <v>263474.97999999992</v>
      </c>
    </row>
    <row r="46" spans="1:7" x14ac:dyDescent="0.25">
      <c r="A46" s="36">
        <v>44354</v>
      </c>
      <c r="B46" s="46">
        <f t="shared" si="2"/>
        <v>13</v>
      </c>
      <c r="C46" s="47">
        <f t="shared" si="12"/>
        <v>88856</v>
      </c>
      <c r="D46" s="48">
        <f t="shared" si="8"/>
        <v>87374.82</v>
      </c>
      <c r="E46" s="68">
        <f t="shared" si="13"/>
        <v>1481.18</v>
      </c>
      <c r="F46" s="47">
        <f t="shared" si="10"/>
        <v>263474.97999999992</v>
      </c>
      <c r="G46" s="47">
        <f t="shared" si="11"/>
        <v>176100.15999999992</v>
      </c>
    </row>
    <row r="47" spans="1:7" x14ac:dyDescent="0.25">
      <c r="A47" s="36">
        <v>44368</v>
      </c>
      <c r="B47" s="46">
        <f t="shared" si="2"/>
        <v>14</v>
      </c>
      <c r="C47" s="47">
        <f t="shared" si="12"/>
        <v>88856</v>
      </c>
      <c r="D47" s="48">
        <f t="shared" si="8"/>
        <v>87789.86</v>
      </c>
      <c r="E47" s="68">
        <f t="shared" si="13"/>
        <v>1066.1400000000001</v>
      </c>
      <c r="F47" s="47">
        <f t="shared" si="10"/>
        <v>176100.15999999992</v>
      </c>
      <c r="G47" s="47">
        <f t="shared" si="11"/>
        <v>88310.299999999916</v>
      </c>
    </row>
    <row r="48" spans="1:7" x14ac:dyDescent="0.25">
      <c r="A48" s="36">
        <v>44382</v>
      </c>
      <c r="B48" s="46">
        <f t="shared" si="2"/>
        <v>14</v>
      </c>
      <c r="C48" s="47">
        <f t="shared" si="12"/>
        <v>88856</v>
      </c>
      <c r="D48" s="48">
        <f t="shared" si="8"/>
        <v>88310.299999999916</v>
      </c>
      <c r="E48" s="68">
        <v>545.70000000008497</v>
      </c>
      <c r="F48" s="47">
        <f t="shared" si="10"/>
        <v>88310.299999999916</v>
      </c>
      <c r="G48" s="47">
        <f t="shared" si="11"/>
        <v>0</v>
      </c>
    </row>
  </sheetData>
  <pageMargins left="0.7" right="0.7" top="0.75" bottom="0.75" header="0.3" footer="0.3"/>
  <pageSetup orientation="portrait" r:id="rId1"/>
</worksheet>
</file>

<file path=xl/worksheets/sheet1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C7FABF-F064-49CB-ACF5-A63A495A72EC}">
  <dimension ref="A1:I56"/>
  <sheetViews>
    <sheetView zoomScale="80" zoomScaleNormal="80" workbookViewId="0">
      <pane ySplit="3" topLeftCell="A37" activePane="bottomLeft" state="frozen"/>
      <selection activeCell="F1" sqref="F1:I2"/>
      <selection pane="bottomLeft" activeCell="F1" sqref="F1:I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</cols>
  <sheetData>
    <row r="1" spans="1:9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331</v>
      </c>
      <c r="G1" s="132" t="s">
        <v>346</v>
      </c>
      <c r="H1" s="124" t="s">
        <v>149</v>
      </c>
      <c r="I1" s="132" t="s">
        <v>331</v>
      </c>
    </row>
    <row r="2" spans="1:9" x14ac:dyDescent="0.25">
      <c r="A2" s="75" t="s">
        <v>34</v>
      </c>
      <c r="B2" s="76">
        <v>0.15</v>
      </c>
      <c r="C2" s="17">
        <f>ROUNDUP(89458.2412434977,0)</f>
        <v>89459</v>
      </c>
      <c r="D2" s="125">
        <v>44102</v>
      </c>
      <c r="E2" s="124">
        <f>ROUNDUP(110568.721575092,0)</f>
        <v>110569</v>
      </c>
      <c r="F2" s="184">
        <v>20</v>
      </c>
      <c r="G2" s="134">
        <v>44256</v>
      </c>
      <c r="H2" s="124">
        <f>ROUNDUP(37918.1379503144,0)</f>
        <v>37919</v>
      </c>
      <c r="I2" s="185">
        <v>30</v>
      </c>
    </row>
    <row r="3" spans="1: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9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>F4-D4</f>
        <v>2000000</v>
      </c>
    </row>
    <row r="5" spans="1:9" x14ac:dyDescent="0.25">
      <c r="A5" s="36">
        <v>44060</v>
      </c>
      <c r="B5" s="46">
        <f>A5-A4</f>
        <v>14</v>
      </c>
      <c r="C5" s="47">
        <f t="shared" ref="C5:C30" si="0">$C$2</f>
        <v>89459</v>
      </c>
      <c r="D5" s="48">
        <f t="shared" ref="D5:D28" si="1">C5-E5</f>
        <v>77952.149999999994</v>
      </c>
      <c r="E5" s="68">
        <f>ROUND(F5*$B$2*B5/365,2)</f>
        <v>11506.85</v>
      </c>
      <c r="F5" s="47">
        <f>G4</f>
        <v>2000000</v>
      </c>
      <c r="G5" s="47">
        <f>F5-D5</f>
        <v>1922047.85</v>
      </c>
    </row>
    <row r="6" spans="1:9" x14ac:dyDescent="0.25">
      <c r="A6" s="36">
        <v>44074</v>
      </c>
      <c r="B6" s="46">
        <f t="shared" ref="B6:B28" si="2">A6-A5</f>
        <v>14</v>
      </c>
      <c r="C6" s="47">
        <f t="shared" si="0"/>
        <v>89459</v>
      </c>
      <c r="D6" s="48">
        <f t="shared" si="1"/>
        <v>78400.639999999999</v>
      </c>
      <c r="E6" s="68">
        <f>ROUND(F6*$B$2*B6/365,2)</f>
        <v>11058.36</v>
      </c>
      <c r="F6" s="47">
        <f t="shared" ref="F6:F28" si="3">G5</f>
        <v>1922047.85</v>
      </c>
      <c r="G6" s="47">
        <f t="shared" ref="G6:G34" si="4">F6-D6</f>
        <v>1843647.2100000002</v>
      </c>
    </row>
    <row r="7" spans="1:9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78851.709999999992</v>
      </c>
      <c r="E7" s="68">
        <f t="shared" ref="E7:E27" si="5">ROUND(F7*$B$2*B7/365,2)</f>
        <v>10607.29</v>
      </c>
      <c r="F7" s="47">
        <f t="shared" si="3"/>
        <v>1843647.2100000002</v>
      </c>
      <c r="G7" s="47">
        <f t="shared" si="4"/>
        <v>1764795.5000000002</v>
      </c>
    </row>
    <row r="8" spans="1:9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79305.38</v>
      </c>
      <c r="E8" s="68">
        <f t="shared" si="5"/>
        <v>10153.620000000001</v>
      </c>
      <c r="F8" s="47">
        <f t="shared" si="3"/>
        <v>1764795.5000000002</v>
      </c>
      <c r="G8" s="47">
        <f t="shared" si="4"/>
        <v>1685490.12</v>
      </c>
    </row>
    <row r="9" spans="1:9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79761.66</v>
      </c>
      <c r="E9" s="68">
        <f t="shared" si="5"/>
        <v>9697.34</v>
      </c>
      <c r="F9" s="47">
        <f t="shared" si="3"/>
        <v>1685490.12</v>
      </c>
      <c r="G9" s="47">
        <f t="shared" si="4"/>
        <v>1605728.4600000002</v>
      </c>
    </row>
    <row r="10" spans="1:9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80220.56</v>
      </c>
      <c r="E10" s="68">
        <f t="shared" si="5"/>
        <v>9238.44</v>
      </c>
      <c r="F10" s="47">
        <f t="shared" si="3"/>
        <v>1605728.4600000002</v>
      </c>
      <c r="G10" s="47">
        <f t="shared" si="4"/>
        <v>1525507.9000000001</v>
      </c>
    </row>
    <row r="11" spans="1:9" x14ac:dyDescent="0.25">
      <c r="A11" s="36">
        <v>44144</v>
      </c>
      <c r="B11" s="46">
        <f t="shared" si="2"/>
        <v>14</v>
      </c>
      <c r="C11" s="47">
        <f t="shared" si="0"/>
        <v>89459</v>
      </c>
      <c r="D11" s="48">
        <f t="shared" si="1"/>
        <v>80682.11</v>
      </c>
      <c r="E11" s="68">
        <f t="shared" si="5"/>
        <v>8776.89</v>
      </c>
      <c r="F11" s="47">
        <f t="shared" si="3"/>
        <v>1525507.9000000001</v>
      </c>
      <c r="G11" s="47">
        <f t="shared" si="4"/>
        <v>1444825.79</v>
      </c>
    </row>
    <row r="12" spans="1:9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81146.3</v>
      </c>
      <c r="E12" s="68">
        <f t="shared" si="5"/>
        <v>8312.7000000000007</v>
      </c>
      <c r="F12" s="47">
        <f t="shared" si="3"/>
        <v>1444825.79</v>
      </c>
      <c r="G12" s="47">
        <f t="shared" si="4"/>
        <v>1363679.49</v>
      </c>
    </row>
    <row r="13" spans="1:9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81613.17</v>
      </c>
      <c r="E13" s="68">
        <f t="shared" si="5"/>
        <v>7845.83</v>
      </c>
      <c r="F13" s="47">
        <f t="shared" si="3"/>
        <v>1363679.49</v>
      </c>
      <c r="G13" s="47">
        <f t="shared" si="4"/>
        <v>1282066.32</v>
      </c>
    </row>
    <row r="14" spans="1:9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82082.73</v>
      </c>
      <c r="E14" s="68">
        <f t="shared" si="5"/>
        <v>7376.27</v>
      </c>
      <c r="F14" s="47">
        <f t="shared" si="3"/>
        <v>1282066.32</v>
      </c>
      <c r="G14" s="47">
        <f t="shared" si="4"/>
        <v>1199983.5900000001</v>
      </c>
    </row>
    <row r="15" spans="1:9" x14ac:dyDescent="0.25">
      <c r="A15" s="36">
        <v>44200</v>
      </c>
      <c r="B15" s="46">
        <f t="shared" si="2"/>
        <v>14</v>
      </c>
      <c r="C15" s="47">
        <f t="shared" si="0"/>
        <v>89459</v>
      </c>
      <c r="D15" s="48">
        <f t="shared" si="1"/>
        <v>82554.98</v>
      </c>
      <c r="E15" s="68">
        <f t="shared" si="5"/>
        <v>6904.02</v>
      </c>
      <c r="F15" s="47">
        <f t="shared" si="3"/>
        <v>1199983.5900000001</v>
      </c>
      <c r="G15" s="47">
        <f t="shared" si="4"/>
        <v>1117428.6100000001</v>
      </c>
    </row>
    <row r="16" spans="1:9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83029.960000000006</v>
      </c>
      <c r="E16" s="68">
        <f t="shared" si="5"/>
        <v>6429.04</v>
      </c>
      <c r="F16" s="47">
        <f t="shared" si="3"/>
        <v>1117428.6100000001</v>
      </c>
      <c r="G16" s="47">
        <f t="shared" si="4"/>
        <v>1034398.6500000001</v>
      </c>
    </row>
    <row r="17" spans="1:7" x14ac:dyDescent="0.25">
      <c r="A17" s="36">
        <v>44228</v>
      </c>
      <c r="B17" s="46">
        <f t="shared" si="2"/>
        <v>14</v>
      </c>
      <c r="C17" s="47">
        <f t="shared" si="0"/>
        <v>89459</v>
      </c>
      <c r="D17" s="48">
        <f t="shared" si="1"/>
        <v>83507.67</v>
      </c>
      <c r="E17" s="68">
        <f t="shared" si="5"/>
        <v>5951.33</v>
      </c>
      <c r="F17" s="47">
        <f t="shared" si="3"/>
        <v>1034398.6500000001</v>
      </c>
      <c r="G17" s="47">
        <f t="shared" si="4"/>
        <v>950890.9800000001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83988.12</v>
      </c>
      <c r="E18" s="68">
        <f t="shared" si="5"/>
        <v>5470.88</v>
      </c>
      <c r="F18" s="47">
        <f t="shared" si="3"/>
        <v>950890.9800000001</v>
      </c>
      <c r="G18" s="47">
        <f t="shared" si="4"/>
        <v>866902.8600000001</v>
      </c>
    </row>
    <row r="19" spans="1:7" x14ac:dyDescent="0.25">
      <c r="A19" s="36">
        <v>44256</v>
      </c>
      <c r="B19" s="46">
        <f t="shared" si="2"/>
        <v>14</v>
      </c>
      <c r="C19" s="47">
        <f t="shared" si="0"/>
        <v>89459</v>
      </c>
      <c r="D19" s="48">
        <f t="shared" si="1"/>
        <v>84471.34</v>
      </c>
      <c r="E19" s="68">
        <f t="shared" si="5"/>
        <v>4987.66</v>
      </c>
      <c r="F19" s="47">
        <f t="shared" si="3"/>
        <v>866902.8600000001</v>
      </c>
      <c r="G19" s="47">
        <f t="shared" si="4"/>
        <v>782431.52000000014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84957.34</v>
      </c>
      <c r="E20" s="68">
        <f t="shared" si="5"/>
        <v>4501.66</v>
      </c>
      <c r="F20" s="47">
        <f t="shared" si="3"/>
        <v>782431.52000000014</v>
      </c>
      <c r="G20" s="47">
        <f t="shared" si="4"/>
        <v>697474.18000000017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85446.13</v>
      </c>
      <c r="E21" s="68">
        <f t="shared" si="5"/>
        <v>4012.87</v>
      </c>
      <c r="F21" s="47">
        <f t="shared" si="3"/>
        <v>697474.18000000017</v>
      </c>
      <c r="G21" s="47">
        <f t="shared" si="4"/>
        <v>612028.05000000016</v>
      </c>
    </row>
    <row r="22" spans="1:7" x14ac:dyDescent="0.25">
      <c r="A22" s="36">
        <v>44298</v>
      </c>
      <c r="B22" s="46">
        <f t="shared" si="2"/>
        <v>14</v>
      </c>
      <c r="C22" s="47">
        <f t="shared" si="0"/>
        <v>89459</v>
      </c>
      <c r="D22" s="48">
        <f t="shared" si="1"/>
        <v>85937.74</v>
      </c>
      <c r="E22" s="68">
        <f t="shared" si="5"/>
        <v>3521.26</v>
      </c>
      <c r="F22" s="47">
        <f t="shared" si="3"/>
        <v>612028.05000000016</v>
      </c>
      <c r="G22" s="47">
        <f t="shared" si="4"/>
        <v>526090.31000000017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86432.18</v>
      </c>
      <c r="E23" s="68">
        <f t="shared" si="5"/>
        <v>3026.82</v>
      </c>
      <c r="F23" s="47">
        <f t="shared" si="3"/>
        <v>526090.31000000017</v>
      </c>
      <c r="G23" s="47">
        <f t="shared" si="4"/>
        <v>439658.13000000018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86929.46</v>
      </c>
      <c r="E24" s="68">
        <f t="shared" si="5"/>
        <v>2529.54</v>
      </c>
      <c r="F24" s="47">
        <f t="shared" si="3"/>
        <v>439658.13000000018</v>
      </c>
      <c r="G24" s="47">
        <f t="shared" si="4"/>
        <v>352728.67000000016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87429.6</v>
      </c>
      <c r="E25" s="68">
        <f t="shared" si="5"/>
        <v>2029.4</v>
      </c>
      <c r="F25" s="47">
        <f t="shared" si="3"/>
        <v>352728.67000000016</v>
      </c>
      <c r="G25" s="47">
        <f t="shared" si="4"/>
        <v>265299.07000000018</v>
      </c>
    </row>
    <row r="26" spans="1:7" x14ac:dyDescent="0.25">
      <c r="A26" s="36">
        <v>44354</v>
      </c>
      <c r="B26" s="46">
        <f t="shared" si="2"/>
        <v>14</v>
      </c>
      <c r="C26" s="47">
        <f t="shared" si="0"/>
        <v>89459</v>
      </c>
      <c r="D26" s="48">
        <f t="shared" si="1"/>
        <v>87932.62</v>
      </c>
      <c r="E26" s="68">
        <f t="shared" si="5"/>
        <v>1526.38</v>
      </c>
      <c r="F26" s="47">
        <f t="shared" si="3"/>
        <v>265299.07000000018</v>
      </c>
      <c r="G26" s="47">
        <f t="shared" si="4"/>
        <v>177366.45000000019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88438.54</v>
      </c>
      <c r="E27" s="68">
        <f t="shared" si="5"/>
        <v>1020.46</v>
      </c>
      <c r="F27" s="47">
        <f t="shared" si="3"/>
        <v>177366.45000000019</v>
      </c>
      <c r="G27" s="47">
        <f t="shared" si="4"/>
        <v>88927.910000000193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88927.910000000193</v>
      </c>
      <c r="E28" s="68">
        <v>531.0899999998079</v>
      </c>
      <c r="F28" s="47">
        <f t="shared" si="3"/>
        <v>88927.910000000193</v>
      </c>
      <c r="G28" s="47">
        <f t="shared" si="4"/>
        <v>0</v>
      </c>
    </row>
    <row r="29" spans="1:7" x14ac:dyDescent="0.25">
      <c r="A29" s="36">
        <v>44088</v>
      </c>
      <c r="B29">
        <f>A7-A6</f>
        <v>14</v>
      </c>
      <c r="C29" s="47">
        <f t="shared" si="0"/>
        <v>89459</v>
      </c>
      <c r="D29" s="48">
        <f>C29-E29</f>
        <v>78851.709999999992</v>
      </c>
      <c r="E29">
        <f>ROUND(F7*$B$2*B7/365,2)</f>
        <v>10607.29</v>
      </c>
      <c r="F29" s="33">
        <f>G6</f>
        <v>1843647.2100000002</v>
      </c>
      <c r="G29" s="181">
        <f t="shared" si="4"/>
        <v>1764795.5000000002</v>
      </c>
    </row>
    <row r="30" spans="1:7" x14ac:dyDescent="0.25">
      <c r="A30" s="36">
        <v>44102</v>
      </c>
      <c r="B30" s="46">
        <f t="shared" ref="B30:B46" si="6">A30-A29</f>
        <v>14</v>
      </c>
      <c r="C30" s="47">
        <f t="shared" si="0"/>
        <v>89459</v>
      </c>
      <c r="D30" s="48">
        <f t="shared" ref="D30:D34" si="7">C30-E30</f>
        <v>79305.38</v>
      </c>
      <c r="E30" s="68">
        <f t="shared" ref="E30" si="8">ROUND(F30*$B$2*B30/365,2)</f>
        <v>10153.620000000001</v>
      </c>
      <c r="F30" s="47">
        <f t="shared" ref="F30" si="9">G29</f>
        <v>1764795.5000000002</v>
      </c>
      <c r="G30" s="47">
        <f t="shared" si="4"/>
        <v>1685490.12</v>
      </c>
    </row>
    <row r="31" spans="1:7" x14ac:dyDescent="0.25">
      <c r="A31" s="36">
        <v>44116</v>
      </c>
      <c r="B31" s="46">
        <f t="shared" si="6"/>
        <v>14</v>
      </c>
      <c r="C31" s="47">
        <f t="shared" ref="C31:C41" si="10">$E$2</f>
        <v>110569</v>
      </c>
      <c r="D31" s="48">
        <f t="shared" si="7"/>
        <v>100871.66</v>
      </c>
      <c r="E31" s="68">
        <f>ROUND(F31*$B$2*B31/365,2)</f>
        <v>9697.34</v>
      </c>
      <c r="F31" s="47">
        <f>G30</f>
        <v>1685490.12</v>
      </c>
      <c r="G31" s="47">
        <f t="shared" si="4"/>
        <v>1584618.4600000002</v>
      </c>
    </row>
    <row r="32" spans="1:7" x14ac:dyDescent="0.25">
      <c r="A32" s="36">
        <v>44130</v>
      </c>
      <c r="B32" s="46">
        <f t="shared" si="6"/>
        <v>14</v>
      </c>
      <c r="C32" s="47">
        <f t="shared" si="10"/>
        <v>110569</v>
      </c>
      <c r="D32" s="48">
        <f t="shared" si="7"/>
        <v>101452.02</v>
      </c>
      <c r="E32" s="68">
        <f t="shared" ref="E32:E34" si="11">ROUND(F32*$B$2*B32/365,2)</f>
        <v>9116.98</v>
      </c>
      <c r="F32" s="47">
        <f t="shared" ref="F32:F34" si="12">G31</f>
        <v>1584618.4600000002</v>
      </c>
      <c r="G32" s="47">
        <f t="shared" si="4"/>
        <v>1483166.4400000002</v>
      </c>
    </row>
    <row r="33" spans="1:7" x14ac:dyDescent="0.25">
      <c r="A33" s="36">
        <v>44144</v>
      </c>
      <c r="B33" s="46">
        <f t="shared" si="6"/>
        <v>14</v>
      </c>
      <c r="C33" s="47">
        <f t="shared" si="10"/>
        <v>110569</v>
      </c>
      <c r="D33" s="48">
        <f t="shared" si="7"/>
        <v>102035.70999999999</v>
      </c>
      <c r="E33" s="68">
        <f t="shared" si="11"/>
        <v>8533.2900000000009</v>
      </c>
      <c r="F33" s="47">
        <f t="shared" si="12"/>
        <v>1483166.4400000002</v>
      </c>
      <c r="G33" s="47">
        <f t="shared" si="4"/>
        <v>1381130.7300000002</v>
      </c>
    </row>
    <row r="34" spans="1:7" x14ac:dyDescent="0.25">
      <c r="A34" s="36">
        <v>44158</v>
      </c>
      <c r="B34" s="46">
        <f t="shared" si="6"/>
        <v>14</v>
      </c>
      <c r="C34" s="47">
        <f t="shared" si="10"/>
        <v>110569</v>
      </c>
      <c r="D34" s="48">
        <f t="shared" si="7"/>
        <v>102622.77</v>
      </c>
      <c r="E34" s="68">
        <f t="shared" si="11"/>
        <v>7946.23</v>
      </c>
      <c r="F34" s="47">
        <f t="shared" si="12"/>
        <v>1381130.7300000002</v>
      </c>
      <c r="G34" s="47">
        <f t="shared" si="4"/>
        <v>1278507.9600000002</v>
      </c>
    </row>
    <row r="35" spans="1:7" x14ac:dyDescent="0.25">
      <c r="A35" s="36">
        <v>44172</v>
      </c>
      <c r="B35" s="46">
        <f t="shared" si="6"/>
        <v>14</v>
      </c>
      <c r="C35" s="47">
        <f t="shared" si="10"/>
        <v>110569</v>
      </c>
      <c r="D35" s="48">
        <f t="shared" ref="D35:D46" si="13">C35-E35</f>
        <v>103213.2</v>
      </c>
      <c r="E35" s="68">
        <f t="shared" ref="E35:E46" si="14">ROUND(F35*$B$2*B35/365,2)</f>
        <v>7355.8</v>
      </c>
      <c r="F35" s="47">
        <f t="shared" ref="F35:F46" si="15">G34</f>
        <v>1278507.9600000002</v>
      </c>
      <c r="G35" s="47">
        <f t="shared" ref="G35:G46" si="16">F35-D35</f>
        <v>1175294.7600000002</v>
      </c>
    </row>
    <row r="36" spans="1:7" x14ac:dyDescent="0.25">
      <c r="A36" s="36">
        <v>44186</v>
      </c>
      <c r="B36" s="46">
        <f t="shared" si="6"/>
        <v>14</v>
      </c>
      <c r="C36" s="47">
        <f t="shared" si="10"/>
        <v>110569</v>
      </c>
      <c r="D36" s="48">
        <f t="shared" si="13"/>
        <v>103807.03</v>
      </c>
      <c r="E36" s="68">
        <f t="shared" si="14"/>
        <v>6761.97</v>
      </c>
      <c r="F36" s="47">
        <f t="shared" si="15"/>
        <v>1175294.7600000002</v>
      </c>
      <c r="G36" s="47">
        <f t="shared" si="16"/>
        <v>1071487.7300000002</v>
      </c>
    </row>
    <row r="37" spans="1:7" x14ac:dyDescent="0.25">
      <c r="A37" s="36">
        <v>44200</v>
      </c>
      <c r="B37" s="46">
        <f t="shared" si="6"/>
        <v>14</v>
      </c>
      <c r="C37" s="47">
        <f t="shared" si="10"/>
        <v>110569</v>
      </c>
      <c r="D37" s="48">
        <f t="shared" si="13"/>
        <v>104404.28</v>
      </c>
      <c r="E37" s="68">
        <f t="shared" si="14"/>
        <v>6164.72</v>
      </c>
      <c r="F37" s="47">
        <f t="shared" si="15"/>
        <v>1071487.7300000002</v>
      </c>
      <c r="G37" s="47">
        <f t="shared" si="16"/>
        <v>967083.45000000019</v>
      </c>
    </row>
    <row r="38" spans="1:7" x14ac:dyDescent="0.25">
      <c r="A38" s="36">
        <v>44214</v>
      </c>
      <c r="B38" s="46">
        <f t="shared" si="6"/>
        <v>14</v>
      </c>
      <c r="C38" s="47">
        <f t="shared" si="10"/>
        <v>110569</v>
      </c>
      <c r="D38" s="48">
        <f t="shared" si="13"/>
        <v>105004.96</v>
      </c>
      <c r="E38" s="68">
        <f t="shared" si="14"/>
        <v>5564.04</v>
      </c>
      <c r="F38" s="47">
        <f t="shared" si="15"/>
        <v>967083.45000000019</v>
      </c>
      <c r="G38" s="47">
        <f t="shared" si="16"/>
        <v>862078.49000000022</v>
      </c>
    </row>
    <row r="39" spans="1:7" x14ac:dyDescent="0.25">
      <c r="A39" s="36">
        <v>44228</v>
      </c>
      <c r="B39" s="46">
        <f t="shared" si="6"/>
        <v>14</v>
      </c>
      <c r="C39" s="47">
        <f t="shared" si="10"/>
        <v>110569</v>
      </c>
      <c r="D39" s="48">
        <f t="shared" si="13"/>
        <v>105609.1</v>
      </c>
      <c r="E39" s="68">
        <f t="shared" si="14"/>
        <v>4959.8999999999996</v>
      </c>
      <c r="F39" s="47">
        <f t="shared" si="15"/>
        <v>862078.49000000022</v>
      </c>
      <c r="G39" s="47">
        <f t="shared" si="16"/>
        <v>756469.39000000025</v>
      </c>
    </row>
    <row r="40" spans="1:7" x14ac:dyDescent="0.25">
      <c r="A40" s="36">
        <v>44242</v>
      </c>
      <c r="B40" s="46">
        <f t="shared" si="6"/>
        <v>14</v>
      </c>
      <c r="C40" s="47">
        <f t="shared" si="10"/>
        <v>110569</v>
      </c>
      <c r="D40" s="48">
        <f t="shared" si="13"/>
        <v>106216.71</v>
      </c>
      <c r="E40" s="68">
        <f t="shared" si="14"/>
        <v>4352.29</v>
      </c>
      <c r="F40" s="47">
        <f t="shared" si="15"/>
        <v>756469.39000000025</v>
      </c>
      <c r="G40" s="47">
        <f t="shared" si="16"/>
        <v>650252.68000000028</v>
      </c>
    </row>
    <row r="41" spans="1:7" x14ac:dyDescent="0.25">
      <c r="A41" s="36">
        <v>44256</v>
      </c>
      <c r="B41" s="46">
        <f t="shared" si="6"/>
        <v>14</v>
      </c>
      <c r="C41" s="47">
        <f t="shared" si="10"/>
        <v>110569</v>
      </c>
      <c r="D41" s="48">
        <f t="shared" si="13"/>
        <v>106827.82</v>
      </c>
      <c r="E41" s="68">
        <f t="shared" si="14"/>
        <v>3741.18</v>
      </c>
      <c r="F41" s="47">
        <f t="shared" si="15"/>
        <v>650252.68000000028</v>
      </c>
      <c r="G41" s="47">
        <f t="shared" si="16"/>
        <v>543424.86000000034</v>
      </c>
    </row>
    <row r="42" spans="1:7" x14ac:dyDescent="0.25">
      <c r="A42" s="36">
        <v>44270</v>
      </c>
      <c r="B42" s="46">
        <f t="shared" si="6"/>
        <v>14</v>
      </c>
      <c r="C42" s="47">
        <f>$H$2</f>
        <v>37919</v>
      </c>
      <c r="D42" s="48">
        <f t="shared" si="13"/>
        <v>34792.449999999997</v>
      </c>
      <c r="E42" s="68">
        <f t="shared" si="14"/>
        <v>3126.55</v>
      </c>
      <c r="F42" s="47">
        <f t="shared" si="15"/>
        <v>543424.86000000034</v>
      </c>
      <c r="G42" s="47">
        <f t="shared" si="16"/>
        <v>508632.41000000032</v>
      </c>
    </row>
    <row r="43" spans="1:7" x14ac:dyDescent="0.25">
      <c r="A43" s="36">
        <v>44284</v>
      </c>
      <c r="B43" s="46">
        <f t="shared" si="6"/>
        <v>14</v>
      </c>
      <c r="C43" s="47">
        <f t="shared" ref="C43:C56" si="17">$H$2</f>
        <v>37919</v>
      </c>
      <c r="D43" s="48">
        <f t="shared" si="13"/>
        <v>34992.620000000003</v>
      </c>
      <c r="E43" s="68">
        <f t="shared" si="14"/>
        <v>2926.38</v>
      </c>
      <c r="F43" s="47">
        <f t="shared" si="15"/>
        <v>508632.41000000032</v>
      </c>
      <c r="G43" s="47">
        <f t="shared" si="16"/>
        <v>473639.79000000033</v>
      </c>
    </row>
    <row r="44" spans="1:7" x14ac:dyDescent="0.25">
      <c r="A44" s="36">
        <v>44298</v>
      </c>
      <c r="B44" s="46">
        <f t="shared" si="6"/>
        <v>14</v>
      </c>
      <c r="C44" s="47">
        <f t="shared" si="17"/>
        <v>37919</v>
      </c>
      <c r="D44" s="48">
        <f t="shared" si="13"/>
        <v>35193.949999999997</v>
      </c>
      <c r="E44" s="68">
        <f t="shared" si="14"/>
        <v>2725.05</v>
      </c>
      <c r="F44" s="47">
        <f t="shared" si="15"/>
        <v>473639.79000000033</v>
      </c>
      <c r="G44" s="47">
        <f t="shared" si="16"/>
        <v>438445.84000000032</v>
      </c>
    </row>
    <row r="45" spans="1:7" x14ac:dyDescent="0.25">
      <c r="A45" s="36">
        <v>44312</v>
      </c>
      <c r="B45" s="46">
        <f t="shared" si="6"/>
        <v>14</v>
      </c>
      <c r="C45" s="47">
        <f t="shared" si="17"/>
        <v>37919</v>
      </c>
      <c r="D45" s="48">
        <f t="shared" si="13"/>
        <v>35396.43</v>
      </c>
      <c r="E45" s="68">
        <f t="shared" si="14"/>
        <v>2522.5700000000002</v>
      </c>
      <c r="F45" s="47">
        <f t="shared" si="15"/>
        <v>438445.84000000032</v>
      </c>
      <c r="G45" s="47">
        <f t="shared" si="16"/>
        <v>403049.41000000032</v>
      </c>
    </row>
    <row r="46" spans="1:7" x14ac:dyDescent="0.25">
      <c r="A46" s="36">
        <v>44326</v>
      </c>
      <c r="B46" s="46">
        <f t="shared" si="6"/>
        <v>14</v>
      </c>
      <c r="C46" s="47">
        <f t="shared" si="17"/>
        <v>37919</v>
      </c>
      <c r="D46" s="48">
        <f t="shared" si="13"/>
        <v>35600.089999999997</v>
      </c>
      <c r="E46" s="68">
        <f t="shared" si="14"/>
        <v>2318.91</v>
      </c>
      <c r="F46" s="47">
        <f t="shared" si="15"/>
        <v>403049.41000000032</v>
      </c>
      <c r="G46" s="47">
        <f t="shared" si="16"/>
        <v>367449.3200000003</v>
      </c>
    </row>
    <row r="47" spans="1:7" x14ac:dyDescent="0.25">
      <c r="A47" s="36">
        <v>44340</v>
      </c>
      <c r="B47" s="46">
        <f t="shared" ref="B47:B56" si="18">A47-A46</f>
        <v>14</v>
      </c>
      <c r="C47" s="47">
        <f t="shared" si="17"/>
        <v>37919</v>
      </c>
      <c r="D47" s="48">
        <f t="shared" ref="D47:D56" si="19">C47-E47</f>
        <v>35804.910000000003</v>
      </c>
      <c r="E47" s="68">
        <f t="shared" ref="E47:E55" si="20">ROUND(F47*$B$2*B47/365,2)</f>
        <v>2114.09</v>
      </c>
      <c r="F47" s="47">
        <f t="shared" ref="F47:F56" si="21">G46</f>
        <v>367449.3200000003</v>
      </c>
      <c r="G47" s="47">
        <f t="shared" ref="G47:G56" si="22">F47-D47</f>
        <v>331644.41000000027</v>
      </c>
    </row>
    <row r="48" spans="1:7" x14ac:dyDescent="0.25">
      <c r="A48" s="36">
        <v>44354</v>
      </c>
      <c r="B48" s="46">
        <f t="shared" si="18"/>
        <v>14</v>
      </c>
      <c r="C48" s="47">
        <f t="shared" si="17"/>
        <v>37919</v>
      </c>
      <c r="D48" s="48">
        <f t="shared" si="19"/>
        <v>36010.910000000003</v>
      </c>
      <c r="E48" s="68">
        <f t="shared" si="20"/>
        <v>1908.09</v>
      </c>
      <c r="F48" s="47">
        <f t="shared" si="21"/>
        <v>331644.41000000027</v>
      </c>
      <c r="G48" s="47">
        <f t="shared" si="22"/>
        <v>295633.50000000023</v>
      </c>
    </row>
    <row r="49" spans="1:7" x14ac:dyDescent="0.25">
      <c r="A49" s="36">
        <v>44368</v>
      </c>
      <c r="B49" s="46">
        <f t="shared" si="18"/>
        <v>14</v>
      </c>
      <c r="C49" s="47">
        <f t="shared" si="17"/>
        <v>37919</v>
      </c>
      <c r="D49" s="48">
        <f t="shared" si="19"/>
        <v>36218.089999999997</v>
      </c>
      <c r="E49" s="68">
        <f t="shared" si="20"/>
        <v>1700.91</v>
      </c>
      <c r="F49" s="47">
        <f t="shared" si="21"/>
        <v>295633.50000000023</v>
      </c>
      <c r="G49" s="47">
        <f t="shared" si="22"/>
        <v>259415.41000000024</v>
      </c>
    </row>
    <row r="50" spans="1:7" x14ac:dyDescent="0.25">
      <c r="A50" s="36">
        <v>44382</v>
      </c>
      <c r="B50" s="46">
        <f t="shared" si="18"/>
        <v>14</v>
      </c>
      <c r="C50" s="47">
        <f t="shared" si="17"/>
        <v>37919</v>
      </c>
      <c r="D50" s="48">
        <f t="shared" si="19"/>
        <v>36426.47</v>
      </c>
      <c r="E50" s="68">
        <f t="shared" si="20"/>
        <v>1492.53</v>
      </c>
      <c r="F50" s="47">
        <f t="shared" si="21"/>
        <v>259415.41000000024</v>
      </c>
      <c r="G50" s="47">
        <f t="shared" si="22"/>
        <v>222988.94000000024</v>
      </c>
    </row>
    <row r="51" spans="1:7" x14ac:dyDescent="0.25">
      <c r="A51" s="36">
        <v>44396</v>
      </c>
      <c r="B51" s="46">
        <f t="shared" si="18"/>
        <v>14</v>
      </c>
      <c r="C51" s="47">
        <f t="shared" si="17"/>
        <v>37919</v>
      </c>
      <c r="D51" s="48">
        <f t="shared" si="19"/>
        <v>36636.050000000003</v>
      </c>
      <c r="E51" s="68">
        <f t="shared" si="20"/>
        <v>1282.95</v>
      </c>
      <c r="F51" s="47">
        <f t="shared" si="21"/>
        <v>222988.94000000024</v>
      </c>
      <c r="G51" s="47">
        <f t="shared" si="22"/>
        <v>186352.89000000025</v>
      </c>
    </row>
    <row r="52" spans="1:7" x14ac:dyDescent="0.25">
      <c r="A52" s="36">
        <v>44410</v>
      </c>
      <c r="B52" s="46">
        <f t="shared" si="18"/>
        <v>14</v>
      </c>
      <c r="C52" s="47">
        <f t="shared" si="17"/>
        <v>37919</v>
      </c>
      <c r="D52" s="48">
        <f t="shared" si="19"/>
        <v>36846.83</v>
      </c>
      <c r="E52" s="68">
        <f t="shared" si="20"/>
        <v>1072.17</v>
      </c>
      <c r="F52" s="47">
        <f t="shared" si="21"/>
        <v>186352.89000000025</v>
      </c>
      <c r="G52" s="47">
        <f t="shared" si="22"/>
        <v>149506.06000000023</v>
      </c>
    </row>
    <row r="53" spans="1:7" x14ac:dyDescent="0.25">
      <c r="A53" s="36">
        <v>44424</v>
      </c>
      <c r="B53" s="46">
        <f t="shared" si="18"/>
        <v>14</v>
      </c>
      <c r="C53" s="47">
        <f t="shared" si="17"/>
        <v>37919</v>
      </c>
      <c r="D53" s="48">
        <f t="shared" si="19"/>
        <v>37058.83</v>
      </c>
      <c r="E53" s="68">
        <f t="shared" si="20"/>
        <v>860.17</v>
      </c>
      <c r="F53" s="47">
        <f t="shared" si="21"/>
        <v>149506.06000000023</v>
      </c>
      <c r="G53" s="47">
        <f t="shared" si="22"/>
        <v>112447.23000000023</v>
      </c>
    </row>
    <row r="54" spans="1:7" x14ac:dyDescent="0.25">
      <c r="A54" s="36">
        <v>44438</v>
      </c>
      <c r="B54" s="46">
        <f t="shared" si="18"/>
        <v>14</v>
      </c>
      <c r="C54" s="47">
        <f t="shared" si="17"/>
        <v>37919</v>
      </c>
      <c r="D54" s="48">
        <f t="shared" si="19"/>
        <v>37272.04</v>
      </c>
      <c r="E54" s="68">
        <f t="shared" si="20"/>
        <v>646.96</v>
      </c>
      <c r="F54" s="47">
        <f t="shared" si="21"/>
        <v>112447.23000000023</v>
      </c>
      <c r="G54" s="47">
        <f t="shared" si="22"/>
        <v>75175.190000000235</v>
      </c>
    </row>
    <row r="55" spans="1:7" x14ac:dyDescent="0.25">
      <c r="A55" s="36">
        <v>44452</v>
      </c>
      <c r="B55" s="46">
        <f t="shared" si="18"/>
        <v>14</v>
      </c>
      <c r="C55" s="47">
        <f t="shared" si="17"/>
        <v>37919</v>
      </c>
      <c r="D55" s="48">
        <f t="shared" si="19"/>
        <v>37486.49</v>
      </c>
      <c r="E55" s="68">
        <f t="shared" si="20"/>
        <v>432.51</v>
      </c>
      <c r="F55" s="47">
        <f t="shared" si="21"/>
        <v>75175.190000000235</v>
      </c>
      <c r="G55" s="47">
        <f t="shared" si="22"/>
        <v>37688.700000000237</v>
      </c>
    </row>
    <row r="56" spans="1:7" x14ac:dyDescent="0.25">
      <c r="A56" s="36">
        <v>44466</v>
      </c>
      <c r="B56" s="46">
        <f t="shared" si="18"/>
        <v>14</v>
      </c>
      <c r="C56" s="47">
        <f t="shared" si="17"/>
        <v>37919</v>
      </c>
      <c r="D56" s="48">
        <f t="shared" si="19"/>
        <v>37688.700000000237</v>
      </c>
      <c r="E56" s="68">
        <v>230.2999999997663</v>
      </c>
      <c r="F56" s="47">
        <f t="shared" si="21"/>
        <v>37688.700000000237</v>
      </c>
      <c r="G56" s="47">
        <f t="shared" si="22"/>
        <v>0</v>
      </c>
    </row>
  </sheetData>
  <pageMargins left="0.7" right="0.7" top="0.75" bottom="0.75" header="0.3" footer="0.3"/>
  <pageSetup orientation="portrait" r:id="rId1"/>
</worksheet>
</file>

<file path=xl/worksheets/sheet1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7B9BD9-4B1A-4996-AFA8-AD4F753A97EE}">
  <dimension ref="A1:I56"/>
  <sheetViews>
    <sheetView zoomScale="80" zoomScaleNormal="80" workbookViewId="0">
      <pane ySplit="3" topLeftCell="A39" activePane="bottomLeft" state="frozen"/>
      <selection activeCell="F1" sqref="F1:I2"/>
      <selection pane="bottomLeft" activeCell="F1" sqref="F1:I2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</cols>
  <sheetData>
    <row r="1" spans="1:9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331</v>
      </c>
      <c r="G1" s="132" t="s">
        <v>346</v>
      </c>
      <c r="H1" s="124" t="s">
        <v>149</v>
      </c>
      <c r="I1" s="132" t="s">
        <v>331</v>
      </c>
    </row>
    <row r="2" spans="1:9" x14ac:dyDescent="0.25">
      <c r="A2" s="75" t="s">
        <v>34</v>
      </c>
      <c r="B2" s="76">
        <v>0.15</v>
      </c>
      <c r="C2" s="17">
        <f>ROUNDUP(89458.48375,0)</f>
        <v>89459</v>
      </c>
      <c r="D2" s="125">
        <v>44102</v>
      </c>
      <c r="E2" s="124">
        <f>ROUNDUP(110563.701268848,0)</f>
        <v>110564</v>
      </c>
      <c r="F2" s="184">
        <v>20</v>
      </c>
      <c r="G2" s="134">
        <v>44256</v>
      </c>
      <c r="H2" s="124">
        <f>ROUNDUP(37910.6432937989,0)</f>
        <v>37911</v>
      </c>
      <c r="I2" s="185">
        <v>30</v>
      </c>
    </row>
    <row r="3" spans="1: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9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>F4-D4</f>
        <v>2000000</v>
      </c>
    </row>
    <row r="5" spans="1:9" x14ac:dyDescent="0.25">
      <c r="A5" s="36">
        <v>44060</v>
      </c>
      <c r="B5" s="46">
        <f>DAYS360(A4,A5,TRUE)</f>
        <v>14</v>
      </c>
      <c r="C5" s="47">
        <f t="shared" ref="C5:C30" si="0">$C$2</f>
        <v>89459</v>
      </c>
      <c r="D5" s="48">
        <f t="shared" ref="D5:D28" si="1">C5-E5</f>
        <v>77792.33</v>
      </c>
      <c r="E5" s="68">
        <f>ROUND(F5*$B$2*B5/360,2)</f>
        <v>11666.67</v>
      </c>
      <c r="F5" s="47">
        <f>G4</f>
        <v>2000000</v>
      </c>
      <c r="G5" s="47">
        <f>F5-D5</f>
        <v>1922207.67</v>
      </c>
    </row>
    <row r="6" spans="1:9" x14ac:dyDescent="0.25">
      <c r="A6" s="36">
        <v>44074</v>
      </c>
      <c r="B6" s="46">
        <f t="shared" ref="B6:B42" si="2">DAYS360(A5,A6,TRUE)</f>
        <v>13</v>
      </c>
      <c r="C6" s="47">
        <f t="shared" si="0"/>
        <v>89459</v>
      </c>
      <c r="D6" s="48">
        <f t="shared" si="1"/>
        <v>79047.040000000008</v>
      </c>
      <c r="E6" s="68">
        <f t="shared" ref="E6:E27" si="3">ROUND(F6*$B$2*B6/360,2)</f>
        <v>10411.959999999999</v>
      </c>
      <c r="F6" s="47">
        <f t="shared" ref="F6:F28" si="4">G5</f>
        <v>1922207.67</v>
      </c>
      <c r="G6" s="47">
        <f t="shared" ref="G6:G31" si="5">F6-D6</f>
        <v>1843160.63</v>
      </c>
    </row>
    <row r="7" spans="1:9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78707.23</v>
      </c>
      <c r="E7" s="68">
        <f t="shared" si="3"/>
        <v>10751.77</v>
      </c>
      <c r="F7" s="47">
        <f t="shared" si="4"/>
        <v>1843160.63</v>
      </c>
      <c r="G7" s="47">
        <f t="shared" si="5"/>
        <v>1764453.4</v>
      </c>
    </row>
    <row r="8" spans="1:9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79166.36</v>
      </c>
      <c r="E8" s="68">
        <f t="shared" si="3"/>
        <v>10292.64</v>
      </c>
      <c r="F8" s="47">
        <f t="shared" si="4"/>
        <v>1764453.4</v>
      </c>
      <c r="G8" s="47">
        <f t="shared" si="5"/>
        <v>1685287.0399999998</v>
      </c>
    </row>
    <row r="9" spans="1:9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79628.160000000003</v>
      </c>
      <c r="E9" s="68">
        <f t="shared" si="3"/>
        <v>9830.84</v>
      </c>
      <c r="F9" s="47">
        <f t="shared" si="4"/>
        <v>1685287.0399999998</v>
      </c>
      <c r="G9" s="47">
        <f t="shared" si="5"/>
        <v>1605658.88</v>
      </c>
    </row>
    <row r="10" spans="1:9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80092.66</v>
      </c>
      <c r="E10" s="68">
        <f t="shared" si="3"/>
        <v>9366.34</v>
      </c>
      <c r="F10" s="47">
        <f t="shared" si="4"/>
        <v>1605658.88</v>
      </c>
      <c r="G10" s="47">
        <f t="shared" si="5"/>
        <v>1525566.22</v>
      </c>
    </row>
    <row r="11" spans="1:9" x14ac:dyDescent="0.25">
      <c r="A11" s="36">
        <v>44144</v>
      </c>
      <c r="B11" s="46">
        <f t="shared" si="2"/>
        <v>13</v>
      </c>
      <c r="C11" s="47">
        <f t="shared" si="0"/>
        <v>89459</v>
      </c>
      <c r="D11" s="48">
        <f t="shared" si="1"/>
        <v>81195.520000000004</v>
      </c>
      <c r="E11" s="68">
        <f t="shared" si="3"/>
        <v>8263.48</v>
      </c>
      <c r="F11" s="47">
        <f t="shared" si="4"/>
        <v>1525566.22</v>
      </c>
      <c r="G11" s="47">
        <f t="shared" si="5"/>
        <v>1444370.7</v>
      </c>
    </row>
    <row r="12" spans="1:9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81033.5</v>
      </c>
      <c r="E12" s="68">
        <f t="shared" si="3"/>
        <v>8425.5</v>
      </c>
      <c r="F12" s="47">
        <f t="shared" si="4"/>
        <v>1444370.7</v>
      </c>
      <c r="G12" s="47">
        <f t="shared" si="5"/>
        <v>1363337.2</v>
      </c>
    </row>
    <row r="13" spans="1:9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81506.2</v>
      </c>
      <c r="E13" s="68">
        <f t="shared" si="3"/>
        <v>7952.8</v>
      </c>
      <c r="F13" s="47">
        <f t="shared" si="4"/>
        <v>1363337.2</v>
      </c>
      <c r="G13" s="47">
        <f t="shared" si="5"/>
        <v>1281831</v>
      </c>
    </row>
    <row r="14" spans="1:9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81981.649999999994</v>
      </c>
      <c r="E14" s="68">
        <f t="shared" si="3"/>
        <v>7477.35</v>
      </c>
      <c r="F14" s="47">
        <f t="shared" si="4"/>
        <v>1281831</v>
      </c>
      <c r="G14" s="47">
        <f t="shared" si="5"/>
        <v>1199849.3500000001</v>
      </c>
    </row>
    <row r="15" spans="1:9" x14ac:dyDescent="0.25">
      <c r="A15" s="36">
        <v>44200</v>
      </c>
      <c r="B15" s="46">
        <f t="shared" si="2"/>
        <v>13</v>
      </c>
      <c r="C15" s="47">
        <f t="shared" si="0"/>
        <v>89459</v>
      </c>
      <c r="D15" s="48">
        <f t="shared" si="1"/>
        <v>82959.820000000007</v>
      </c>
      <c r="E15" s="68">
        <f t="shared" si="3"/>
        <v>6499.18</v>
      </c>
      <c r="F15" s="47">
        <f t="shared" si="4"/>
        <v>1199849.3500000001</v>
      </c>
      <c r="G15" s="47">
        <f t="shared" si="5"/>
        <v>1116889.53</v>
      </c>
    </row>
    <row r="16" spans="1:9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82943.81</v>
      </c>
      <c r="E16" s="68">
        <f t="shared" si="3"/>
        <v>6515.19</v>
      </c>
      <c r="F16" s="47">
        <f t="shared" si="4"/>
        <v>1116889.53</v>
      </c>
      <c r="G16" s="47">
        <f t="shared" si="5"/>
        <v>1033945.72</v>
      </c>
    </row>
    <row r="17" spans="1:7" x14ac:dyDescent="0.25">
      <c r="A17" s="36">
        <v>44228</v>
      </c>
      <c r="B17" s="46">
        <f t="shared" si="2"/>
        <v>13</v>
      </c>
      <c r="C17" s="47">
        <f t="shared" si="0"/>
        <v>89459</v>
      </c>
      <c r="D17" s="48">
        <f t="shared" si="1"/>
        <v>83858.460000000006</v>
      </c>
      <c r="E17" s="68">
        <f t="shared" si="3"/>
        <v>5600.54</v>
      </c>
      <c r="F17" s="47">
        <f t="shared" si="4"/>
        <v>1033945.72</v>
      </c>
      <c r="G17" s="47">
        <f t="shared" si="5"/>
        <v>950087.26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83916.82</v>
      </c>
      <c r="E18" s="68">
        <f t="shared" si="3"/>
        <v>5542.18</v>
      </c>
      <c r="F18" s="47">
        <f t="shared" si="4"/>
        <v>950087.26</v>
      </c>
      <c r="G18" s="47">
        <f t="shared" si="5"/>
        <v>866170.44</v>
      </c>
    </row>
    <row r="19" spans="1:7" x14ac:dyDescent="0.25">
      <c r="A19" s="36">
        <v>44256</v>
      </c>
      <c r="B19" s="46">
        <f t="shared" si="2"/>
        <v>16</v>
      </c>
      <c r="C19" s="47">
        <f t="shared" si="0"/>
        <v>89459</v>
      </c>
      <c r="D19" s="48">
        <f t="shared" si="1"/>
        <v>83684.53</v>
      </c>
      <c r="E19" s="68">
        <f t="shared" si="3"/>
        <v>5774.47</v>
      </c>
      <c r="F19" s="47">
        <f t="shared" si="4"/>
        <v>866170.44</v>
      </c>
      <c r="G19" s="47">
        <f t="shared" si="5"/>
        <v>782485.90999999992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84894.5</v>
      </c>
      <c r="E20" s="68">
        <f t="shared" si="3"/>
        <v>4564.5</v>
      </c>
      <c r="F20" s="47">
        <f t="shared" si="4"/>
        <v>782485.90999999992</v>
      </c>
      <c r="G20" s="47">
        <f t="shared" si="5"/>
        <v>697591.40999999992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85389.72</v>
      </c>
      <c r="E21" s="68">
        <f t="shared" si="3"/>
        <v>4069.28</v>
      </c>
      <c r="F21" s="47">
        <f t="shared" si="4"/>
        <v>697591.40999999992</v>
      </c>
      <c r="G21" s="47">
        <f t="shared" si="5"/>
        <v>612201.68999999994</v>
      </c>
    </row>
    <row r="22" spans="1:7" x14ac:dyDescent="0.25">
      <c r="A22" s="36">
        <v>44298</v>
      </c>
      <c r="B22" s="46">
        <f t="shared" si="2"/>
        <v>13</v>
      </c>
      <c r="C22" s="47">
        <f t="shared" si="0"/>
        <v>89459</v>
      </c>
      <c r="D22" s="48">
        <f t="shared" si="1"/>
        <v>86142.91</v>
      </c>
      <c r="E22" s="68">
        <f t="shared" si="3"/>
        <v>3316.09</v>
      </c>
      <c r="F22" s="47">
        <f t="shared" si="4"/>
        <v>612201.68999999994</v>
      </c>
      <c r="G22" s="47">
        <f t="shared" si="5"/>
        <v>526058.77999999991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86390.32</v>
      </c>
      <c r="E23" s="68">
        <f t="shared" si="3"/>
        <v>3068.68</v>
      </c>
      <c r="F23" s="47">
        <f t="shared" si="4"/>
        <v>526058.77999999991</v>
      </c>
      <c r="G23" s="47">
        <f t="shared" si="5"/>
        <v>439668.4599999999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86894.27</v>
      </c>
      <c r="E24" s="68">
        <f t="shared" si="3"/>
        <v>2564.73</v>
      </c>
      <c r="F24" s="47">
        <f t="shared" si="4"/>
        <v>439668.4599999999</v>
      </c>
      <c r="G24" s="47">
        <f t="shared" si="5"/>
        <v>352774.18999999989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87401.15</v>
      </c>
      <c r="E25" s="68">
        <f t="shared" si="3"/>
        <v>2057.85</v>
      </c>
      <c r="F25" s="47">
        <f t="shared" si="4"/>
        <v>352774.18999999989</v>
      </c>
      <c r="G25" s="47">
        <f t="shared" si="5"/>
        <v>265373.03999999992</v>
      </c>
    </row>
    <row r="26" spans="1:7" x14ac:dyDescent="0.25">
      <c r="A26" s="36">
        <v>44354</v>
      </c>
      <c r="B26" s="46">
        <f t="shared" si="2"/>
        <v>13</v>
      </c>
      <c r="C26" s="47">
        <f t="shared" si="0"/>
        <v>89459</v>
      </c>
      <c r="D26" s="48">
        <f t="shared" si="1"/>
        <v>88021.56</v>
      </c>
      <c r="E26" s="68">
        <f t="shared" si="3"/>
        <v>1437.44</v>
      </c>
      <c r="F26" s="47">
        <f t="shared" si="4"/>
        <v>265373.03999999992</v>
      </c>
      <c r="G26" s="47">
        <f t="shared" si="5"/>
        <v>177351.47999999992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88424.45</v>
      </c>
      <c r="E27" s="68">
        <f t="shared" si="3"/>
        <v>1034.55</v>
      </c>
      <c r="F27" s="47">
        <f t="shared" si="4"/>
        <v>177351.47999999992</v>
      </c>
      <c r="G27" s="47">
        <f t="shared" si="5"/>
        <v>88927.029999999926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88927.029999999926</v>
      </c>
      <c r="E28" s="68">
        <v>531.97000000006869</v>
      </c>
      <c r="F28" s="47">
        <f t="shared" si="4"/>
        <v>88927.029999999926</v>
      </c>
      <c r="G28" s="47">
        <f t="shared" si="5"/>
        <v>0</v>
      </c>
    </row>
    <row r="29" spans="1:7" x14ac:dyDescent="0.25">
      <c r="A29" s="36">
        <v>44088</v>
      </c>
      <c r="B29">
        <f>DAYS360(A6,A7,TRUE)</f>
        <v>14</v>
      </c>
      <c r="C29" s="47">
        <f t="shared" si="0"/>
        <v>89459</v>
      </c>
      <c r="D29" s="48">
        <f>C29-E29</f>
        <v>78707.23</v>
      </c>
      <c r="E29">
        <f>ROUND(F7*$B$2*B7/360,2)</f>
        <v>10751.77</v>
      </c>
      <c r="F29" s="33">
        <f>G6</f>
        <v>1843160.63</v>
      </c>
      <c r="G29" s="181">
        <f t="shared" si="5"/>
        <v>1764453.4</v>
      </c>
    </row>
    <row r="30" spans="1:7" x14ac:dyDescent="0.25">
      <c r="A30" s="36">
        <v>44102</v>
      </c>
      <c r="B30" s="46">
        <f t="shared" si="2"/>
        <v>14</v>
      </c>
      <c r="C30" s="47">
        <f t="shared" si="0"/>
        <v>89459</v>
      </c>
      <c r="D30" s="48">
        <f t="shared" ref="D30:D31" si="6">C30-E30</f>
        <v>79166.36</v>
      </c>
      <c r="E30" s="68">
        <f>ROUND(F30*$B$2*B30/360,2)</f>
        <v>10292.64</v>
      </c>
      <c r="F30" s="47">
        <f t="shared" ref="F30" si="7">G29</f>
        <v>1764453.4</v>
      </c>
      <c r="G30" s="47">
        <f t="shared" si="5"/>
        <v>1685287.0399999998</v>
      </c>
    </row>
    <row r="31" spans="1:7" x14ac:dyDescent="0.25">
      <c r="A31" s="36">
        <v>44116</v>
      </c>
      <c r="B31" s="46">
        <f t="shared" si="2"/>
        <v>14</v>
      </c>
      <c r="C31" s="47">
        <f t="shared" ref="C31:C41" si="8">$E$2</f>
        <v>110564</v>
      </c>
      <c r="D31" s="48">
        <f t="shared" si="6"/>
        <v>100733.16</v>
      </c>
      <c r="E31" s="68">
        <f>ROUND(F31*$B$2*B31/360,2)</f>
        <v>9830.84</v>
      </c>
      <c r="F31" s="47">
        <f>G30</f>
        <v>1685287.0399999998</v>
      </c>
      <c r="G31" s="47">
        <f t="shared" si="5"/>
        <v>1584553.88</v>
      </c>
    </row>
    <row r="32" spans="1:7" x14ac:dyDescent="0.25">
      <c r="A32" s="36">
        <v>44130</v>
      </c>
      <c r="B32" s="46">
        <f t="shared" si="2"/>
        <v>14</v>
      </c>
      <c r="C32" s="47">
        <f t="shared" si="8"/>
        <v>110564</v>
      </c>
      <c r="D32" s="48">
        <f t="shared" ref="D32:D42" si="9">C32-E32</f>
        <v>101320.77</v>
      </c>
      <c r="E32" s="68">
        <f t="shared" ref="E32:E42" si="10">ROUND(F32*$B$2*B32/360,2)</f>
        <v>9243.23</v>
      </c>
      <c r="F32" s="47">
        <f t="shared" ref="F32:F56" si="11">G31</f>
        <v>1584553.88</v>
      </c>
      <c r="G32" s="47">
        <f t="shared" ref="G32:G42" si="12">F32-D32</f>
        <v>1483233.1099999999</v>
      </c>
    </row>
    <row r="33" spans="1:7" x14ac:dyDescent="0.25">
      <c r="A33" s="36">
        <v>44144</v>
      </c>
      <c r="B33" s="46">
        <f t="shared" si="2"/>
        <v>13</v>
      </c>
      <c r="C33" s="47">
        <f t="shared" si="8"/>
        <v>110564</v>
      </c>
      <c r="D33" s="48">
        <f t="shared" si="9"/>
        <v>102529.82</v>
      </c>
      <c r="E33" s="68">
        <f t="shared" si="10"/>
        <v>8034.18</v>
      </c>
      <c r="F33" s="47">
        <f t="shared" si="11"/>
        <v>1483233.1099999999</v>
      </c>
      <c r="G33" s="47">
        <f t="shared" si="12"/>
        <v>1380703.2899999998</v>
      </c>
    </row>
    <row r="34" spans="1:7" x14ac:dyDescent="0.25">
      <c r="A34" s="36">
        <v>44158</v>
      </c>
      <c r="B34" s="46">
        <f t="shared" si="2"/>
        <v>14</v>
      </c>
      <c r="C34" s="47">
        <f t="shared" si="8"/>
        <v>110564</v>
      </c>
      <c r="D34" s="48">
        <f t="shared" si="9"/>
        <v>102509.9</v>
      </c>
      <c r="E34" s="68">
        <f t="shared" si="10"/>
        <v>8054.1</v>
      </c>
      <c r="F34" s="47">
        <f t="shared" si="11"/>
        <v>1380703.2899999998</v>
      </c>
      <c r="G34" s="47">
        <f t="shared" si="12"/>
        <v>1278193.3899999999</v>
      </c>
    </row>
    <row r="35" spans="1:7" x14ac:dyDescent="0.25">
      <c r="A35" s="36">
        <v>44172</v>
      </c>
      <c r="B35" s="46">
        <f t="shared" si="2"/>
        <v>14</v>
      </c>
      <c r="C35" s="47">
        <f t="shared" si="8"/>
        <v>110564</v>
      </c>
      <c r="D35" s="48">
        <f t="shared" si="9"/>
        <v>103107.87</v>
      </c>
      <c r="E35" s="68">
        <f t="shared" si="10"/>
        <v>7456.13</v>
      </c>
      <c r="F35" s="47">
        <f t="shared" si="11"/>
        <v>1278193.3899999999</v>
      </c>
      <c r="G35" s="47">
        <f t="shared" si="12"/>
        <v>1175085.52</v>
      </c>
    </row>
    <row r="36" spans="1:7" x14ac:dyDescent="0.25">
      <c r="A36" s="36">
        <v>44186</v>
      </c>
      <c r="B36" s="46">
        <f t="shared" si="2"/>
        <v>14</v>
      </c>
      <c r="C36" s="47">
        <f t="shared" si="8"/>
        <v>110564</v>
      </c>
      <c r="D36" s="48">
        <f t="shared" si="9"/>
        <v>103709.33</v>
      </c>
      <c r="E36" s="68">
        <f t="shared" si="10"/>
        <v>6854.67</v>
      </c>
      <c r="F36" s="47">
        <f t="shared" si="11"/>
        <v>1175085.52</v>
      </c>
      <c r="G36" s="47">
        <f t="shared" si="12"/>
        <v>1071376.19</v>
      </c>
    </row>
    <row r="37" spans="1:7" x14ac:dyDescent="0.25">
      <c r="A37" s="36">
        <v>44200</v>
      </c>
      <c r="B37" s="46">
        <f t="shared" si="2"/>
        <v>13</v>
      </c>
      <c r="C37" s="47">
        <f t="shared" si="8"/>
        <v>110564</v>
      </c>
      <c r="D37" s="48">
        <f t="shared" si="9"/>
        <v>104760.71</v>
      </c>
      <c r="E37" s="68">
        <f t="shared" si="10"/>
        <v>5803.29</v>
      </c>
      <c r="F37" s="47">
        <f t="shared" si="11"/>
        <v>1071376.19</v>
      </c>
      <c r="G37" s="47">
        <f t="shared" si="12"/>
        <v>966615.48</v>
      </c>
    </row>
    <row r="38" spans="1:7" x14ac:dyDescent="0.25">
      <c r="A38" s="36">
        <v>44214</v>
      </c>
      <c r="B38" s="46">
        <f t="shared" si="2"/>
        <v>14</v>
      </c>
      <c r="C38" s="47">
        <f t="shared" si="8"/>
        <v>110564</v>
      </c>
      <c r="D38" s="48">
        <f t="shared" si="9"/>
        <v>104925.41</v>
      </c>
      <c r="E38" s="68">
        <f t="shared" si="10"/>
        <v>5638.59</v>
      </c>
      <c r="F38" s="47">
        <f t="shared" si="11"/>
        <v>966615.48</v>
      </c>
      <c r="G38" s="47">
        <f t="shared" si="12"/>
        <v>861690.07</v>
      </c>
    </row>
    <row r="39" spans="1:7" x14ac:dyDescent="0.25">
      <c r="A39" s="36">
        <v>44228</v>
      </c>
      <c r="B39" s="46">
        <f t="shared" si="2"/>
        <v>13</v>
      </c>
      <c r="C39" s="47">
        <f t="shared" si="8"/>
        <v>110564</v>
      </c>
      <c r="D39" s="48">
        <f t="shared" si="9"/>
        <v>105896.51</v>
      </c>
      <c r="E39" s="68">
        <f t="shared" si="10"/>
        <v>4667.49</v>
      </c>
      <c r="F39" s="47">
        <f t="shared" si="11"/>
        <v>861690.07</v>
      </c>
      <c r="G39" s="47">
        <f t="shared" si="12"/>
        <v>755793.55999999994</v>
      </c>
    </row>
    <row r="40" spans="1:7" x14ac:dyDescent="0.25">
      <c r="A40" s="36">
        <v>44242</v>
      </c>
      <c r="B40" s="46">
        <f t="shared" si="2"/>
        <v>14</v>
      </c>
      <c r="C40" s="47">
        <f t="shared" si="8"/>
        <v>110564</v>
      </c>
      <c r="D40" s="48">
        <f t="shared" si="9"/>
        <v>106155.2</v>
      </c>
      <c r="E40" s="68">
        <f t="shared" si="10"/>
        <v>4408.8</v>
      </c>
      <c r="F40" s="47">
        <f t="shared" si="11"/>
        <v>755793.55999999994</v>
      </c>
      <c r="G40" s="47">
        <f t="shared" si="12"/>
        <v>649638.36</v>
      </c>
    </row>
    <row r="41" spans="1:7" x14ac:dyDescent="0.25">
      <c r="A41" s="36">
        <v>44256</v>
      </c>
      <c r="B41" s="46">
        <f t="shared" si="2"/>
        <v>16</v>
      </c>
      <c r="C41" s="47">
        <f t="shared" si="8"/>
        <v>110564</v>
      </c>
      <c r="D41" s="48">
        <f t="shared" si="9"/>
        <v>106233.08</v>
      </c>
      <c r="E41" s="68">
        <f t="shared" si="10"/>
        <v>4330.92</v>
      </c>
      <c r="F41" s="47">
        <f t="shared" si="11"/>
        <v>649638.36</v>
      </c>
      <c r="G41" s="47">
        <f t="shared" si="12"/>
        <v>543405.28</v>
      </c>
    </row>
    <row r="42" spans="1:7" x14ac:dyDescent="0.25">
      <c r="A42" s="36">
        <v>44270</v>
      </c>
      <c r="B42" s="46">
        <f t="shared" si="2"/>
        <v>14</v>
      </c>
      <c r="C42" s="47">
        <f>$H$2</f>
        <v>37911</v>
      </c>
      <c r="D42" s="48">
        <f t="shared" si="9"/>
        <v>34741.14</v>
      </c>
      <c r="E42" s="68">
        <f t="shared" si="10"/>
        <v>3169.86</v>
      </c>
      <c r="F42" s="47">
        <f t="shared" si="11"/>
        <v>543405.28</v>
      </c>
      <c r="G42" s="47">
        <f t="shared" si="12"/>
        <v>508664.14</v>
      </c>
    </row>
    <row r="43" spans="1:7" x14ac:dyDescent="0.25">
      <c r="A43" s="36">
        <v>44284</v>
      </c>
      <c r="B43" s="46">
        <f t="shared" ref="B43:B47" si="13">DAYS360(A42,A43,TRUE)</f>
        <v>14</v>
      </c>
      <c r="C43" s="47">
        <f t="shared" ref="C43:C56" si="14">$H$2</f>
        <v>37911</v>
      </c>
      <c r="D43" s="48">
        <f t="shared" ref="D43:D47" si="15">C43-E43</f>
        <v>34943.79</v>
      </c>
      <c r="E43" s="68">
        <f t="shared" ref="E43:E47" si="16">ROUND(F43*$B$2*B43/360,2)</f>
        <v>2967.21</v>
      </c>
      <c r="F43" s="47">
        <f t="shared" si="11"/>
        <v>508664.14</v>
      </c>
      <c r="G43" s="47">
        <f t="shared" ref="G43:G47" si="17">F43-D43</f>
        <v>473720.35000000003</v>
      </c>
    </row>
    <row r="44" spans="1:7" x14ac:dyDescent="0.25">
      <c r="A44" s="36">
        <v>44298</v>
      </c>
      <c r="B44" s="46">
        <f t="shared" si="13"/>
        <v>13</v>
      </c>
      <c r="C44" s="47">
        <f t="shared" si="14"/>
        <v>37911</v>
      </c>
      <c r="D44" s="48">
        <f t="shared" si="15"/>
        <v>35345.01</v>
      </c>
      <c r="E44" s="68">
        <f t="shared" si="16"/>
        <v>2565.9899999999998</v>
      </c>
      <c r="F44" s="47">
        <f t="shared" si="11"/>
        <v>473720.35000000003</v>
      </c>
      <c r="G44" s="47">
        <f t="shared" si="17"/>
        <v>438375.34</v>
      </c>
    </row>
    <row r="45" spans="1:7" x14ac:dyDescent="0.25">
      <c r="A45" s="36">
        <v>44312</v>
      </c>
      <c r="B45" s="46">
        <f t="shared" si="13"/>
        <v>14</v>
      </c>
      <c r="C45" s="47">
        <f t="shared" si="14"/>
        <v>37911</v>
      </c>
      <c r="D45" s="48">
        <f t="shared" si="15"/>
        <v>35353.81</v>
      </c>
      <c r="E45" s="68">
        <f t="shared" si="16"/>
        <v>2557.19</v>
      </c>
      <c r="F45" s="47">
        <f t="shared" si="11"/>
        <v>438375.34</v>
      </c>
      <c r="G45" s="47">
        <f t="shared" si="17"/>
        <v>403021.53</v>
      </c>
    </row>
    <row r="46" spans="1:7" x14ac:dyDescent="0.25">
      <c r="A46" s="36">
        <v>44326</v>
      </c>
      <c r="B46" s="46">
        <f t="shared" si="13"/>
        <v>14</v>
      </c>
      <c r="C46" s="47">
        <f t="shared" si="14"/>
        <v>37911</v>
      </c>
      <c r="D46" s="48">
        <f t="shared" si="15"/>
        <v>35560.04</v>
      </c>
      <c r="E46" s="68">
        <f t="shared" si="16"/>
        <v>2350.96</v>
      </c>
      <c r="F46" s="47">
        <f t="shared" si="11"/>
        <v>403021.53</v>
      </c>
      <c r="G46" s="47">
        <f t="shared" si="17"/>
        <v>367461.49000000005</v>
      </c>
    </row>
    <row r="47" spans="1:7" x14ac:dyDescent="0.25">
      <c r="A47" s="36">
        <v>44340</v>
      </c>
      <c r="B47" s="46">
        <f t="shared" si="13"/>
        <v>14</v>
      </c>
      <c r="C47" s="47">
        <f t="shared" si="14"/>
        <v>37911</v>
      </c>
      <c r="D47" s="48">
        <f t="shared" si="15"/>
        <v>35767.47</v>
      </c>
      <c r="E47" s="68">
        <f t="shared" si="16"/>
        <v>2143.5300000000002</v>
      </c>
      <c r="F47" s="47">
        <f t="shared" si="11"/>
        <v>367461.49000000005</v>
      </c>
      <c r="G47" s="47">
        <f t="shared" si="17"/>
        <v>331694.02</v>
      </c>
    </row>
    <row r="48" spans="1:7" x14ac:dyDescent="0.25">
      <c r="A48" s="36">
        <v>44354</v>
      </c>
      <c r="B48" s="46">
        <f t="shared" ref="B48:B56" si="18">DAYS360(A47,A48,TRUE)</f>
        <v>13</v>
      </c>
      <c r="C48" s="47">
        <f t="shared" si="14"/>
        <v>37911</v>
      </c>
      <c r="D48" s="48">
        <f t="shared" ref="D48:D56" si="19">C48-E48</f>
        <v>36114.32</v>
      </c>
      <c r="E48" s="68">
        <f t="shared" ref="E48:E55" si="20">ROUND(F48*$B$2*B48/360,2)</f>
        <v>1796.68</v>
      </c>
      <c r="F48" s="47">
        <f t="shared" si="11"/>
        <v>331694.02</v>
      </c>
      <c r="G48" s="47">
        <f t="shared" ref="G48:G56" si="21">F48-D48</f>
        <v>295579.7</v>
      </c>
    </row>
    <row r="49" spans="1:7" x14ac:dyDescent="0.25">
      <c r="A49" s="36">
        <v>44368</v>
      </c>
      <c r="B49" s="46">
        <f t="shared" si="18"/>
        <v>14</v>
      </c>
      <c r="C49" s="47">
        <f t="shared" si="14"/>
        <v>37911</v>
      </c>
      <c r="D49" s="48">
        <f t="shared" si="19"/>
        <v>36186.79</v>
      </c>
      <c r="E49" s="68">
        <f t="shared" si="20"/>
        <v>1724.21</v>
      </c>
      <c r="F49" s="47">
        <f t="shared" si="11"/>
        <v>295579.7</v>
      </c>
      <c r="G49" s="47">
        <f t="shared" si="21"/>
        <v>259392.91</v>
      </c>
    </row>
    <row r="50" spans="1:7" x14ac:dyDescent="0.25">
      <c r="A50" s="36">
        <v>44382</v>
      </c>
      <c r="B50" s="46">
        <f t="shared" si="18"/>
        <v>14</v>
      </c>
      <c r="C50" s="47">
        <f t="shared" si="14"/>
        <v>37911</v>
      </c>
      <c r="D50" s="48">
        <f t="shared" si="19"/>
        <v>36397.870000000003</v>
      </c>
      <c r="E50" s="68">
        <f t="shared" si="20"/>
        <v>1513.13</v>
      </c>
      <c r="F50" s="47">
        <f t="shared" si="11"/>
        <v>259392.91</v>
      </c>
      <c r="G50" s="47">
        <f t="shared" si="21"/>
        <v>222995.04</v>
      </c>
    </row>
    <row r="51" spans="1:7" x14ac:dyDescent="0.25">
      <c r="A51" s="36">
        <v>44396</v>
      </c>
      <c r="B51" s="46">
        <f t="shared" si="18"/>
        <v>14</v>
      </c>
      <c r="C51" s="47">
        <f t="shared" si="14"/>
        <v>37911</v>
      </c>
      <c r="D51" s="48">
        <f t="shared" si="19"/>
        <v>36610.199999999997</v>
      </c>
      <c r="E51" s="68">
        <f t="shared" si="20"/>
        <v>1300.8</v>
      </c>
      <c r="F51" s="47">
        <f t="shared" si="11"/>
        <v>222995.04</v>
      </c>
      <c r="G51" s="47">
        <f t="shared" si="21"/>
        <v>186384.84000000003</v>
      </c>
    </row>
    <row r="52" spans="1:7" x14ac:dyDescent="0.25">
      <c r="A52" s="36">
        <v>44410</v>
      </c>
      <c r="B52" s="46">
        <f t="shared" si="18"/>
        <v>13</v>
      </c>
      <c r="C52" s="47">
        <f t="shared" si="14"/>
        <v>37911</v>
      </c>
      <c r="D52" s="48">
        <f t="shared" si="19"/>
        <v>36901.42</v>
      </c>
      <c r="E52" s="68">
        <f t="shared" si="20"/>
        <v>1009.58</v>
      </c>
      <c r="F52" s="47">
        <f t="shared" si="11"/>
        <v>186384.84000000003</v>
      </c>
      <c r="G52" s="47">
        <f t="shared" si="21"/>
        <v>149483.42000000004</v>
      </c>
    </row>
    <row r="53" spans="1:7" x14ac:dyDescent="0.25">
      <c r="A53" s="36">
        <v>44424</v>
      </c>
      <c r="B53" s="46">
        <f t="shared" si="18"/>
        <v>14</v>
      </c>
      <c r="C53" s="47">
        <f t="shared" si="14"/>
        <v>37911</v>
      </c>
      <c r="D53" s="48">
        <f t="shared" si="19"/>
        <v>37039.01</v>
      </c>
      <c r="E53" s="68">
        <f t="shared" si="20"/>
        <v>871.99</v>
      </c>
      <c r="F53" s="47">
        <f t="shared" si="11"/>
        <v>149483.42000000004</v>
      </c>
      <c r="G53" s="47">
        <f t="shared" si="21"/>
        <v>112444.41000000003</v>
      </c>
    </row>
    <row r="54" spans="1:7" x14ac:dyDescent="0.25">
      <c r="A54" s="36">
        <v>44438</v>
      </c>
      <c r="B54" s="46">
        <f t="shared" si="18"/>
        <v>14</v>
      </c>
      <c r="C54" s="47">
        <f t="shared" si="14"/>
        <v>37911</v>
      </c>
      <c r="D54" s="48">
        <f t="shared" si="19"/>
        <v>37255.07</v>
      </c>
      <c r="E54" s="68">
        <f t="shared" si="20"/>
        <v>655.93</v>
      </c>
      <c r="F54" s="47">
        <f t="shared" si="11"/>
        <v>112444.41000000003</v>
      </c>
      <c r="G54" s="47">
        <f t="shared" si="21"/>
        <v>75189.340000000026</v>
      </c>
    </row>
    <row r="55" spans="1:7" x14ac:dyDescent="0.25">
      <c r="A55" s="36">
        <v>44452</v>
      </c>
      <c r="B55" s="46">
        <f t="shared" si="18"/>
        <v>13</v>
      </c>
      <c r="C55" s="47">
        <f t="shared" si="14"/>
        <v>37911</v>
      </c>
      <c r="D55" s="48">
        <f t="shared" si="19"/>
        <v>37503.72</v>
      </c>
      <c r="E55" s="68">
        <f t="shared" si="20"/>
        <v>407.28</v>
      </c>
      <c r="F55" s="47">
        <f t="shared" si="11"/>
        <v>75189.340000000026</v>
      </c>
      <c r="G55" s="47">
        <f t="shared" si="21"/>
        <v>37685.620000000024</v>
      </c>
    </row>
    <row r="56" spans="1:7" x14ac:dyDescent="0.25">
      <c r="A56" s="36">
        <v>44466</v>
      </c>
      <c r="B56" s="46">
        <f t="shared" si="18"/>
        <v>14</v>
      </c>
      <c r="C56" s="47">
        <f t="shared" si="14"/>
        <v>37911</v>
      </c>
      <c r="D56" s="48">
        <f t="shared" si="19"/>
        <v>37685.620000000024</v>
      </c>
      <c r="E56" s="68">
        <v>225.37999999997382</v>
      </c>
      <c r="F56" s="47">
        <f t="shared" si="11"/>
        <v>37685.620000000024</v>
      </c>
      <c r="G56" s="47">
        <f t="shared" si="21"/>
        <v>0</v>
      </c>
    </row>
  </sheetData>
  <pageMargins left="0.7" right="0.7" top="0.75" bottom="0.75" header="0.3" footer="0.3"/>
  <pageSetup orientation="portrait" r:id="rId1"/>
</worksheet>
</file>

<file path=xl/worksheets/sheet1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592DC-A74E-473C-9FAB-93A0D6EF93EC}">
  <dimension ref="A1:I56"/>
  <sheetViews>
    <sheetView zoomScale="80" zoomScaleNormal="80" workbookViewId="0">
      <pane ySplit="3" topLeftCell="A27" activePane="bottomLeft" state="frozen"/>
      <selection activeCell="F1" sqref="F1:I2"/>
      <selection pane="bottomLeft" activeCell="C29" sqref="C29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</cols>
  <sheetData>
    <row r="1" spans="1:9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331</v>
      </c>
      <c r="G1" s="132" t="s">
        <v>346</v>
      </c>
      <c r="H1" s="124" t="s">
        <v>149</v>
      </c>
      <c r="I1" s="132" t="s">
        <v>331</v>
      </c>
    </row>
    <row r="2" spans="1:9" x14ac:dyDescent="0.25">
      <c r="A2" s="75" t="s">
        <v>34</v>
      </c>
      <c r="B2" s="76">
        <v>0.15</v>
      </c>
      <c r="C2" s="17">
        <f>ROUNDUP(89458.2412434977,0)</f>
        <v>89459</v>
      </c>
      <c r="D2" s="125">
        <v>44084</v>
      </c>
      <c r="E2" s="124">
        <f>ROUNDUP(54152.6610526316,0)</f>
        <v>54153</v>
      </c>
      <c r="F2" s="184">
        <v>40</v>
      </c>
      <c r="G2" s="134">
        <v>44226</v>
      </c>
      <c r="H2" s="124">
        <f>ROUNDUP(81906.9067042635,0)</f>
        <v>81907</v>
      </c>
      <c r="I2" s="185">
        <v>30</v>
      </c>
    </row>
    <row r="3" spans="1: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9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>F4-D4</f>
        <v>2000000</v>
      </c>
    </row>
    <row r="5" spans="1:9" x14ac:dyDescent="0.25">
      <c r="A5" s="36">
        <v>44060</v>
      </c>
      <c r="B5" s="46">
        <f>A5-A4</f>
        <v>14</v>
      </c>
      <c r="C5" s="47">
        <f t="shared" ref="C5:C28" si="0">$C$2</f>
        <v>89459</v>
      </c>
      <c r="D5" s="48">
        <f t="shared" ref="D5:D28" si="1">C5-E5</f>
        <v>77952.149999999994</v>
      </c>
      <c r="E5" s="68">
        <f>ROUND(F5*$B$2*B5/365,2)</f>
        <v>11506.85</v>
      </c>
      <c r="F5" s="47">
        <f>G4</f>
        <v>2000000</v>
      </c>
      <c r="G5" s="47">
        <f>F5-D5</f>
        <v>1922047.85</v>
      </c>
    </row>
    <row r="6" spans="1:9" x14ac:dyDescent="0.25">
      <c r="A6" s="36">
        <v>44074</v>
      </c>
      <c r="B6" s="46">
        <f t="shared" ref="B6:B28" si="2">A6-A5</f>
        <v>14</v>
      </c>
      <c r="C6" s="47">
        <f t="shared" si="0"/>
        <v>89459</v>
      </c>
      <c r="D6" s="48">
        <f t="shared" si="1"/>
        <v>78400.639999999999</v>
      </c>
      <c r="E6" s="68">
        <f>ROUND(F6*$B$2*B6/365,2)</f>
        <v>11058.36</v>
      </c>
      <c r="F6" s="47">
        <f t="shared" ref="F6:F28" si="3">G5</f>
        <v>1922047.85</v>
      </c>
      <c r="G6" s="47">
        <f t="shared" ref="G6:G30" si="4">F6-D6</f>
        <v>1843647.2100000002</v>
      </c>
    </row>
    <row r="7" spans="1:9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78851.709999999992</v>
      </c>
      <c r="E7" s="68">
        <f t="shared" ref="E7:E27" si="5">ROUND(F7*$B$2*B7/365,2)</f>
        <v>10607.29</v>
      </c>
      <c r="F7" s="47">
        <f t="shared" si="3"/>
        <v>1843647.2100000002</v>
      </c>
      <c r="G7" s="47">
        <f t="shared" si="4"/>
        <v>1764795.5000000002</v>
      </c>
    </row>
    <row r="8" spans="1:9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79305.38</v>
      </c>
      <c r="E8" s="68">
        <f t="shared" si="5"/>
        <v>10153.620000000001</v>
      </c>
      <c r="F8" s="47">
        <f t="shared" si="3"/>
        <v>1764795.5000000002</v>
      </c>
      <c r="G8" s="47">
        <f t="shared" si="4"/>
        <v>1685490.12</v>
      </c>
    </row>
    <row r="9" spans="1:9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79761.66</v>
      </c>
      <c r="E9" s="68">
        <f t="shared" si="5"/>
        <v>9697.34</v>
      </c>
      <c r="F9" s="47">
        <f t="shared" si="3"/>
        <v>1685490.12</v>
      </c>
      <c r="G9" s="47">
        <f t="shared" si="4"/>
        <v>1605728.4600000002</v>
      </c>
    </row>
    <row r="10" spans="1:9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80220.56</v>
      </c>
      <c r="E10" s="68">
        <f t="shared" si="5"/>
        <v>9238.44</v>
      </c>
      <c r="F10" s="47">
        <f t="shared" si="3"/>
        <v>1605728.4600000002</v>
      </c>
      <c r="G10" s="47">
        <f t="shared" si="4"/>
        <v>1525507.9000000001</v>
      </c>
    </row>
    <row r="11" spans="1:9" x14ac:dyDescent="0.25">
      <c r="A11" s="36">
        <v>44144</v>
      </c>
      <c r="B11" s="46">
        <f t="shared" si="2"/>
        <v>14</v>
      </c>
      <c r="C11" s="47">
        <f t="shared" si="0"/>
        <v>89459</v>
      </c>
      <c r="D11" s="48">
        <f t="shared" si="1"/>
        <v>80682.11</v>
      </c>
      <c r="E11" s="68">
        <f t="shared" si="5"/>
        <v>8776.89</v>
      </c>
      <c r="F11" s="47">
        <f t="shared" si="3"/>
        <v>1525507.9000000001</v>
      </c>
      <c r="G11" s="47">
        <f t="shared" si="4"/>
        <v>1444825.79</v>
      </c>
    </row>
    <row r="12" spans="1:9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81146.3</v>
      </c>
      <c r="E12" s="68">
        <f t="shared" si="5"/>
        <v>8312.7000000000007</v>
      </c>
      <c r="F12" s="47">
        <f t="shared" si="3"/>
        <v>1444825.79</v>
      </c>
      <c r="G12" s="47">
        <f t="shared" si="4"/>
        <v>1363679.49</v>
      </c>
    </row>
    <row r="13" spans="1:9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81613.17</v>
      </c>
      <c r="E13" s="68">
        <f t="shared" si="5"/>
        <v>7845.83</v>
      </c>
      <c r="F13" s="47">
        <f t="shared" si="3"/>
        <v>1363679.49</v>
      </c>
      <c r="G13" s="47">
        <f t="shared" si="4"/>
        <v>1282066.32</v>
      </c>
    </row>
    <row r="14" spans="1:9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82082.73</v>
      </c>
      <c r="E14" s="68">
        <f t="shared" si="5"/>
        <v>7376.27</v>
      </c>
      <c r="F14" s="47">
        <f t="shared" si="3"/>
        <v>1282066.32</v>
      </c>
      <c r="G14" s="47">
        <f t="shared" si="4"/>
        <v>1199983.5900000001</v>
      </c>
    </row>
    <row r="15" spans="1:9" x14ac:dyDescent="0.25">
      <c r="A15" s="36">
        <v>44200</v>
      </c>
      <c r="B15" s="46">
        <f t="shared" si="2"/>
        <v>14</v>
      </c>
      <c r="C15" s="47">
        <f t="shared" si="0"/>
        <v>89459</v>
      </c>
      <c r="D15" s="48">
        <f t="shared" si="1"/>
        <v>82554.98</v>
      </c>
      <c r="E15" s="68">
        <f t="shared" si="5"/>
        <v>6904.02</v>
      </c>
      <c r="F15" s="47">
        <f t="shared" si="3"/>
        <v>1199983.5900000001</v>
      </c>
      <c r="G15" s="47">
        <f t="shared" si="4"/>
        <v>1117428.6100000001</v>
      </c>
    </row>
    <row r="16" spans="1:9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83029.960000000006</v>
      </c>
      <c r="E16" s="68">
        <f t="shared" si="5"/>
        <v>6429.04</v>
      </c>
      <c r="F16" s="47">
        <f t="shared" si="3"/>
        <v>1117428.6100000001</v>
      </c>
      <c r="G16" s="47">
        <f t="shared" si="4"/>
        <v>1034398.6500000001</v>
      </c>
    </row>
    <row r="17" spans="1:7" x14ac:dyDescent="0.25">
      <c r="A17" s="36">
        <v>44228</v>
      </c>
      <c r="B17" s="46">
        <f t="shared" si="2"/>
        <v>14</v>
      </c>
      <c r="C17" s="47">
        <f t="shared" si="0"/>
        <v>89459</v>
      </c>
      <c r="D17" s="48">
        <f t="shared" si="1"/>
        <v>83507.67</v>
      </c>
      <c r="E17" s="68">
        <f t="shared" si="5"/>
        <v>5951.33</v>
      </c>
      <c r="F17" s="47">
        <f t="shared" si="3"/>
        <v>1034398.6500000001</v>
      </c>
      <c r="G17" s="47">
        <f t="shared" si="4"/>
        <v>950890.9800000001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83988.12</v>
      </c>
      <c r="E18" s="68">
        <f t="shared" si="5"/>
        <v>5470.88</v>
      </c>
      <c r="F18" s="47">
        <f t="shared" si="3"/>
        <v>950890.9800000001</v>
      </c>
      <c r="G18" s="47">
        <f t="shared" si="4"/>
        <v>866902.8600000001</v>
      </c>
    </row>
    <row r="19" spans="1:7" x14ac:dyDescent="0.25">
      <c r="A19" s="36">
        <v>44256</v>
      </c>
      <c r="B19" s="46">
        <f t="shared" si="2"/>
        <v>14</v>
      </c>
      <c r="C19" s="47">
        <f t="shared" si="0"/>
        <v>89459</v>
      </c>
      <c r="D19" s="48">
        <f t="shared" si="1"/>
        <v>84471.34</v>
      </c>
      <c r="E19" s="68">
        <f t="shared" si="5"/>
        <v>4987.66</v>
      </c>
      <c r="F19" s="47">
        <f t="shared" si="3"/>
        <v>866902.8600000001</v>
      </c>
      <c r="G19" s="47">
        <f t="shared" si="4"/>
        <v>782431.52000000014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84957.34</v>
      </c>
      <c r="E20" s="68">
        <f t="shared" si="5"/>
        <v>4501.66</v>
      </c>
      <c r="F20" s="47">
        <f t="shared" si="3"/>
        <v>782431.52000000014</v>
      </c>
      <c r="G20" s="47">
        <f t="shared" si="4"/>
        <v>697474.18000000017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85446.13</v>
      </c>
      <c r="E21" s="68">
        <f t="shared" si="5"/>
        <v>4012.87</v>
      </c>
      <c r="F21" s="47">
        <f t="shared" si="3"/>
        <v>697474.18000000017</v>
      </c>
      <c r="G21" s="47">
        <f t="shared" si="4"/>
        <v>612028.05000000016</v>
      </c>
    </row>
    <row r="22" spans="1:7" x14ac:dyDescent="0.25">
      <c r="A22" s="36">
        <v>44298</v>
      </c>
      <c r="B22" s="46">
        <f t="shared" si="2"/>
        <v>14</v>
      </c>
      <c r="C22" s="47">
        <f t="shared" si="0"/>
        <v>89459</v>
      </c>
      <c r="D22" s="48">
        <f t="shared" si="1"/>
        <v>85937.74</v>
      </c>
      <c r="E22" s="68">
        <f t="shared" si="5"/>
        <v>3521.26</v>
      </c>
      <c r="F22" s="47">
        <f t="shared" si="3"/>
        <v>612028.05000000016</v>
      </c>
      <c r="G22" s="47">
        <f t="shared" si="4"/>
        <v>526090.31000000017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86432.18</v>
      </c>
      <c r="E23" s="68">
        <f t="shared" si="5"/>
        <v>3026.82</v>
      </c>
      <c r="F23" s="47">
        <f t="shared" si="3"/>
        <v>526090.31000000017</v>
      </c>
      <c r="G23" s="47">
        <f t="shared" si="4"/>
        <v>439658.13000000018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86929.46</v>
      </c>
      <c r="E24" s="68">
        <f t="shared" si="5"/>
        <v>2529.54</v>
      </c>
      <c r="F24" s="47">
        <f t="shared" si="3"/>
        <v>439658.13000000018</v>
      </c>
      <c r="G24" s="47">
        <f t="shared" si="4"/>
        <v>352728.67000000016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87429.6</v>
      </c>
      <c r="E25" s="68">
        <f t="shared" si="5"/>
        <v>2029.4</v>
      </c>
      <c r="F25" s="47">
        <f t="shared" si="3"/>
        <v>352728.67000000016</v>
      </c>
      <c r="G25" s="47">
        <f t="shared" si="4"/>
        <v>265299.07000000018</v>
      </c>
    </row>
    <row r="26" spans="1:7" x14ac:dyDescent="0.25">
      <c r="A26" s="36">
        <v>44354</v>
      </c>
      <c r="B26" s="46">
        <f t="shared" si="2"/>
        <v>14</v>
      </c>
      <c r="C26" s="47">
        <f t="shared" si="0"/>
        <v>89459</v>
      </c>
      <c r="D26" s="48">
        <f t="shared" si="1"/>
        <v>87932.62</v>
      </c>
      <c r="E26" s="68">
        <f t="shared" si="5"/>
        <v>1526.38</v>
      </c>
      <c r="F26" s="47">
        <f t="shared" si="3"/>
        <v>265299.07000000018</v>
      </c>
      <c r="G26" s="47">
        <f t="shared" si="4"/>
        <v>177366.45000000019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88438.54</v>
      </c>
      <c r="E27" s="68">
        <f t="shared" si="5"/>
        <v>1020.46</v>
      </c>
      <c r="F27" s="47">
        <f t="shared" si="3"/>
        <v>177366.45000000019</v>
      </c>
      <c r="G27" s="47">
        <f t="shared" si="4"/>
        <v>88927.910000000193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88927.910000000193</v>
      </c>
      <c r="E28" s="68">
        <v>531.0899999998079</v>
      </c>
      <c r="F28" s="47">
        <f t="shared" si="3"/>
        <v>88927.910000000193</v>
      </c>
      <c r="G28" s="47">
        <f t="shared" si="4"/>
        <v>0</v>
      </c>
    </row>
    <row r="29" spans="1:7" x14ac:dyDescent="0.25">
      <c r="A29" s="36">
        <v>44088</v>
      </c>
      <c r="B29">
        <f>A7-A6</f>
        <v>14</v>
      </c>
      <c r="C29" s="47">
        <f>$E$2</f>
        <v>54153</v>
      </c>
      <c r="D29" s="48">
        <f>C29-E29</f>
        <v>43545.71</v>
      </c>
      <c r="E29">
        <f>ROUND(F7*$B$2*B7/365,2)</f>
        <v>10607.29</v>
      </c>
      <c r="F29" s="33">
        <f>G6</f>
        <v>1843647.2100000002</v>
      </c>
      <c r="G29" s="181">
        <f t="shared" si="4"/>
        <v>1800101.5000000002</v>
      </c>
    </row>
    <row r="30" spans="1:7" x14ac:dyDescent="0.25">
      <c r="A30" s="36">
        <v>44102</v>
      </c>
      <c r="B30" s="46">
        <f t="shared" ref="B30:B56" si="6">A30-A29</f>
        <v>14</v>
      </c>
      <c r="C30" s="47">
        <f t="shared" ref="C30:C38" si="7">$E$2</f>
        <v>54153</v>
      </c>
      <c r="D30" s="48">
        <f t="shared" ref="D30" si="8">C30-E30</f>
        <v>43796.25</v>
      </c>
      <c r="E30" s="68">
        <f t="shared" ref="E30" si="9">ROUND(F30*$B$2*B30/365,2)</f>
        <v>10356.75</v>
      </c>
      <c r="F30" s="47">
        <f t="shared" ref="F30" si="10">G29</f>
        <v>1800101.5000000002</v>
      </c>
      <c r="G30" s="47">
        <f t="shared" si="4"/>
        <v>1756305.2500000002</v>
      </c>
    </row>
    <row r="31" spans="1:7" x14ac:dyDescent="0.25">
      <c r="A31" s="36">
        <v>44116</v>
      </c>
      <c r="B31" s="46">
        <f t="shared" si="6"/>
        <v>14</v>
      </c>
      <c r="C31" s="47">
        <f t="shared" si="7"/>
        <v>54153</v>
      </c>
      <c r="D31" s="48">
        <f t="shared" ref="D31:D56" si="11">C31-E31</f>
        <v>44048.229999999996</v>
      </c>
      <c r="E31" s="68">
        <f t="shared" ref="E31:E55" si="12">ROUND(F31*$B$2*B31/365,2)</f>
        <v>10104.77</v>
      </c>
      <c r="F31" s="47">
        <f t="shared" ref="F31:F56" si="13">G30</f>
        <v>1756305.2500000002</v>
      </c>
      <c r="G31" s="47">
        <f t="shared" ref="G31:G56" si="14">F31-D31</f>
        <v>1712257.0200000003</v>
      </c>
    </row>
    <row r="32" spans="1:7" x14ac:dyDescent="0.25">
      <c r="A32" s="36">
        <v>44130</v>
      </c>
      <c r="B32" s="46">
        <f t="shared" si="6"/>
        <v>14</v>
      </c>
      <c r="C32" s="47">
        <f t="shared" si="7"/>
        <v>54153</v>
      </c>
      <c r="D32" s="48">
        <f t="shared" si="11"/>
        <v>44301.66</v>
      </c>
      <c r="E32" s="68">
        <f t="shared" si="12"/>
        <v>9851.34</v>
      </c>
      <c r="F32" s="47">
        <f t="shared" si="13"/>
        <v>1712257.0200000003</v>
      </c>
      <c r="G32" s="47">
        <f t="shared" si="14"/>
        <v>1667955.3600000003</v>
      </c>
    </row>
    <row r="33" spans="1:7" x14ac:dyDescent="0.25">
      <c r="A33" s="36">
        <v>44144</v>
      </c>
      <c r="B33" s="46">
        <f t="shared" si="6"/>
        <v>14</v>
      </c>
      <c r="C33" s="47">
        <f t="shared" si="7"/>
        <v>54153</v>
      </c>
      <c r="D33" s="48">
        <f t="shared" si="11"/>
        <v>44556.54</v>
      </c>
      <c r="E33" s="68">
        <f t="shared" si="12"/>
        <v>9596.4599999999991</v>
      </c>
      <c r="F33" s="47">
        <f t="shared" si="13"/>
        <v>1667955.3600000003</v>
      </c>
      <c r="G33" s="47">
        <f t="shared" si="14"/>
        <v>1623398.8200000003</v>
      </c>
    </row>
    <row r="34" spans="1:7" x14ac:dyDescent="0.25">
      <c r="A34" s="36">
        <v>44158</v>
      </c>
      <c r="B34" s="46">
        <f t="shared" si="6"/>
        <v>14</v>
      </c>
      <c r="C34" s="47">
        <f t="shared" si="7"/>
        <v>54153</v>
      </c>
      <c r="D34" s="48">
        <f t="shared" si="11"/>
        <v>44812.9</v>
      </c>
      <c r="E34" s="68">
        <f t="shared" si="12"/>
        <v>9340.1</v>
      </c>
      <c r="F34" s="47">
        <f t="shared" si="13"/>
        <v>1623398.8200000003</v>
      </c>
      <c r="G34" s="47">
        <f t="shared" si="14"/>
        <v>1578585.9200000004</v>
      </c>
    </row>
    <row r="35" spans="1:7" x14ac:dyDescent="0.25">
      <c r="A35" s="36">
        <v>44172</v>
      </c>
      <c r="B35" s="46">
        <f t="shared" si="6"/>
        <v>14</v>
      </c>
      <c r="C35" s="47">
        <f t="shared" si="7"/>
        <v>54153</v>
      </c>
      <c r="D35" s="48">
        <f t="shared" si="11"/>
        <v>45070.720000000001</v>
      </c>
      <c r="E35" s="68">
        <f t="shared" si="12"/>
        <v>9082.2800000000007</v>
      </c>
      <c r="F35" s="47">
        <f t="shared" si="13"/>
        <v>1578585.9200000004</v>
      </c>
      <c r="G35" s="47">
        <f t="shared" si="14"/>
        <v>1533515.2000000004</v>
      </c>
    </row>
    <row r="36" spans="1:7" x14ac:dyDescent="0.25">
      <c r="A36" s="36">
        <v>44186</v>
      </c>
      <c r="B36" s="46">
        <f t="shared" si="6"/>
        <v>14</v>
      </c>
      <c r="C36" s="47">
        <f t="shared" si="7"/>
        <v>54153</v>
      </c>
      <c r="D36" s="48">
        <f t="shared" si="11"/>
        <v>45330.04</v>
      </c>
      <c r="E36" s="68">
        <f t="shared" si="12"/>
        <v>8822.9599999999991</v>
      </c>
      <c r="F36" s="47">
        <f t="shared" si="13"/>
        <v>1533515.2000000004</v>
      </c>
      <c r="G36" s="47">
        <f t="shared" si="14"/>
        <v>1488185.1600000004</v>
      </c>
    </row>
    <row r="37" spans="1:7" x14ac:dyDescent="0.25">
      <c r="A37" s="36">
        <v>44200</v>
      </c>
      <c r="B37" s="46">
        <f t="shared" si="6"/>
        <v>14</v>
      </c>
      <c r="C37" s="47">
        <f t="shared" si="7"/>
        <v>54153</v>
      </c>
      <c r="D37" s="48">
        <f t="shared" si="11"/>
        <v>45590.84</v>
      </c>
      <c r="E37" s="68">
        <f t="shared" si="12"/>
        <v>8562.16</v>
      </c>
      <c r="F37" s="47">
        <f t="shared" si="13"/>
        <v>1488185.1600000004</v>
      </c>
      <c r="G37" s="47">
        <f t="shared" si="14"/>
        <v>1442594.3200000003</v>
      </c>
    </row>
    <row r="38" spans="1:7" x14ac:dyDescent="0.25">
      <c r="A38" s="36">
        <v>44214</v>
      </c>
      <c r="B38" s="46">
        <f t="shared" si="6"/>
        <v>14</v>
      </c>
      <c r="C38" s="47">
        <f t="shared" si="7"/>
        <v>54153</v>
      </c>
      <c r="D38" s="48">
        <f t="shared" si="11"/>
        <v>45853.14</v>
      </c>
      <c r="E38" s="68">
        <f t="shared" si="12"/>
        <v>8299.86</v>
      </c>
      <c r="F38" s="47">
        <f t="shared" si="13"/>
        <v>1442594.3200000003</v>
      </c>
      <c r="G38" s="47">
        <f t="shared" si="14"/>
        <v>1396741.1800000004</v>
      </c>
    </row>
    <row r="39" spans="1:7" x14ac:dyDescent="0.25">
      <c r="A39" s="36">
        <v>44228</v>
      </c>
      <c r="B39" s="46">
        <f t="shared" si="6"/>
        <v>14</v>
      </c>
      <c r="C39" s="47">
        <f>$H$2</f>
        <v>81907</v>
      </c>
      <c r="D39" s="48">
        <f t="shared" si="11"/>
        <v>73870.95</v>
      </c>
      <c r="E39" s="68">
        <f t="shared" si="12"/>
        <v>8036.05</v>
      </c>
      <c r="F39" s="47">
        <f t="shared" si="13"/>
        <v>1396741.1800000004</v>
      </c>
      <c r="G39" s="47">
        <f t="shared" si="14"/>
        <v>1322870.2300000004</v>
      </c>
    </row>
    <row r="40" spans="1:7" x14ac:dyDescent="0.25">
      <c r="A40" s="36">
        <v>44242</v>
      </c>
      <c r="B40" s="46">
        <f t="shared" si="6"/>
        <v>14</v>
      </c>
      <c r="C40" s="47">
        <f t="shared" ref="C40:C56" si="15">$H$2</f>
        <v>81907</v>
      </c>
      <c r="D40" s="48">
        <f t="shared" si="11"/>
        <v>74295.97</v>
      </c>
      <c r="E40" s="68">
        <f t="shared" si="12"/>
        <v>7611.03</v>
      </c>
      <c r="F40" s="47">
        <f t="shared" si="13"/>
        <v>1322870.2300000004</v>
      </c>
      <c r="G40" s="47">
        <f t="shared" si="14"/>
        <v>1248574.2600000005</v>
      </c>
    </row>
    <row r="41" spans="1:7" x14ac:dyDescent="0.25">
      <c r="A41" s="36">
        <v>44256</v>
      </c>
      <c r="B41" s="46">
        <f t="shared" si="6"/>
        <v>14</v>
      </c>
      <c r="C41" s="47">
        <f t="shared" si="15"/>
        <v>81907</v>
      </c>
      <c r="D41" s="48">
        <f t="shared" si="11"/>
        <v>74723.42</v>
      </c>
      <c r="E41" s="68">
        <f t="shared" si="12"/>
        <v>7183.58</v>
      </c>
      <c r="F41" s="47">
        <f t="shared" si="13"/>
        <v>1248574.2600000005</v>
      </c>
      <c r="G41" s="47">
        <f t="shared" si="14"/>
        <v>1173850.8400000005</v>
      </c>
    </row>
    <row r="42" spans="1:7" x14ac:dyDescent="0.25">
      <c r="A42" s="36">
        <v>44270</v>
      </c>
      <c r="B42" s="46">
        <f t="shared" si="6"/>
        <v>14</v>
      </c>
      <c r="C42" s="47">
        <f t="shared" si="15"/>
        <v>81907</v>
      </c>
      <c r="D42" s="48">
        <f t="shared" si="11"/>
        <v>75153.34</v>
      </c>
      <c r="E42" s="68">
        <f t="shared" si="12"/>
        <v>6753.66</v>
      </c>
      <c r="F42" s="47">
        <f t="shared" si="13"/>
        <v>1173850.8400000005</v>
      </c>
      <c r="G42" s="47">
        <f t="shared" si="14"/>
        <v>1098697.5000000005</v>
      </c>
    </row>
    <row r="43" spans="1:7" x14ac:dyDescent="0.25">
      <c r="A43" s="36">
        <v>44284</v>
      </c>
      <c r="B43" s="46">
        <f t="shared" si="6"/>
        <v>14</v>
      </c>
      <c r="C43" s="47">
        <f t="shared" si="15"/>
        <v>81907</v>
      </c>
      <c r="D43" s="48">
        <f t="shared" si="11"/>
        <v>75585.73</v>
      </c>
      <c r="E43" s="68">
        <f t="shared" si="12"/>
        <v>6321.27</v>
      </c>
      <c r="F43" s="47">
        <f t="shared" si="13"/>
        <v>1098697.5000000005</v>
      </c>
      <c r="G43" s="47">
        <f t="shared" si="14"/>
        <v>1023111.7700000005</v>
      </c>
    </row>
    <row r="44" spans="1:7" x14ac:dyDescent="0.25">
      <c r="A44" s="36">
        <v>44298</v>
      </c>
      <c r="B44" s="46">
        <f t="shared" si="6"/>
        <v>14</v>
      </c>
      <c r="C44" s="47">
        <f t="shared" si="15"/>
        <v>81907</v>
      </c>
      <c r="D44" s="48">
        <f t="shared" si="11"/>
        <v>76020.600000000006</v>
      </c>
      <c r="E44" s="68">
        <f t="shared" si="12"/>
        <v>5886.4</v>
      </c>
      <c r="F44" s="47">
        <f t="shared" si="13"/>
        <v>1023111.7700000005</v>
      </c>
      <c r="G44" s="47">
        <f t="shared" si="14"/>
        <v>947091.17000000051</v>
      </c>
    </row>
    <row r="45" spans="1:7" x14ac:dyDescent="0.25">
      <c r="A45" s="36">
        <v>44312</v>
      </c>
      <c r="B45" s="46">
        <f t="shared" si="6"/>
        <v>14</v>
      </c>
      <c r="C45" s="47">
        <f t="shared" si="15"/>
        <v>81907</v>
      </c>
      <c r="D45" s="48">
        <f t="shared" si="11"/>
        <v>76457.98</v>
      </c>
      <c r="E45" s="68">
        <f t="shared" si="12"/>
        <v>5449.02</v>
      </c>
      <c r="F45" s="47">
        <f t="shared" si="13"/>
        <v>947091.17000000051</v>
      </c>
      <c r="G45" s="47">
        <f t="shared" si="14"/>
        <v>870633.19000000053</v>
      </c>
    </row>
    <row r="46" spans="1:7" x14ac:dyDescent="0.25">
      <c r="A46" s="36">
        <v>44326</v>
      </c>
      <c r="B46" s="46">
        <f t="shared" si="6"/>
        <v>14</v>
      </c>
      <c r="C46" s="47">
        <f t="shared" si="15"/>
        <v>81907</v>
      </c>
      <c r="D46" s="48">
        <f t="shared" si="11"/>
        <v>76897.88</v>
      </c>
      <c r="E46" s="68">
        <f t="shared" si="12"/>
        <v>5009.12</v>
      </c>
      <c r="F46" s="47">
        <f t="shared" si="13"/>
        <v>870633.19000000053</v>
      </c>
      <c r="G46" s="47">
        <f t="shared" si="14"/>
        <v>793735.31000000052</v>
      </c>
    </row>
    <row r="47" spans="1:7" x14ac:dyDescent="0.25">
      <c r="A47" s="36">
        <v>44340</v>
      </c>
      <c r="B47" s="46">
        <f t="shared" si="6"/>
        <v>14</v>
      </c>
      <c r="C47" s="47">
        <f t="shared" si="15"/>
        <v>81907</v>
      </c>
      <c r="D47" s="48">
        <f t="shared" si="11"/>
        <v>77340.3</v>
      </c>
      <c r="E47" s="68">
        <f t="shared" si="12"/>
        <v>4566.7</v>
      </c>
      <c r="F47" s="47">
        <f t="shared" si="13"/>
        <v>793735.31000000052</v>
      </c>
      <c r="G47" s="47">
        <f t="shared" si="14"/>
        <v>716395.01000000047</v>
      </c>
    </row>
    <row r="48" spans="1:7" x14ac:dyDescent="0.25">
      <c r="A48" s="36">
        <v>44354</v>
      </c>
      <c r="B48" s="46">
        <f t="shared" si="6"/>
        <v>14</v>
      </c>
      <c r="C48" s="47">
        <f t="shared" si="15"/>
        <v>81907</v>
      </c>
      <c r="D48" s="48">
        <f t="shared" si="11"/>
        <v>77785.279999999999</v>
      </c>
      <c r="E48" s="68">
        <f t="shared" si="12"/>
        <v>4121.72</v>
      </c>
      <c r="F48" s="47">
        <f t="shared" si="13"/>
        <v>716395.01000000047</v>
      </c>
      <c r="G48" s="47">
        <f t="shared" si="14"/>
        <v>638609.73000000045</v>
      </c>
    </row>
    <row r="49" spans="1:7" x14ac:dyDescent="0.25">
      <c r="A49" s="36">
        <v>44368</v>
      </c>
      <c r="B49" s="46">
        <f t="shared" si="6"/>
        <v>14</v>
      </c>
      <c r="C49" s="47">
        <f t="shared" si="15"/>
        <v>81907</v>
      </c>
      <c r="D49" s="48">
        <f t="shared" si="11"/>
        <v>78232.81</v>
      </c>
      <c r="E49" s="68">
        <f t="shared" si="12"/>
        <v>3674.19</v>
      </c>
      <c r="F49" s="47">
        <f t="shared" si="13"/>
        <v>638609.73000000045</v>
      </c>
      <c r="G49" s="47">
        <f t="shared" si="14"/>
        <v>560376.92000000039</v>
      </c>
    </row>
    <row r="50" spans="1:7" x14ac:dyDescent="0.25">
      <c r="A50" s="36">
        <v>44382</v>
      </c>
      <c r="B50" s="46">
        <f t="shared" si="6"/>
        <v>14</v>
      </c>
      <c r="C50" s="47">
        <f t="shared" si="15"/>
        <v>81907</v>
      </c>
      <c r="D50" s="48">
        <f t="shared" si="11"/>
        <v>78682.91</v>
      </c>
      <c r="E50" s="68">
        <f t="shared" si="12"/>
        <v>3224.09</v>
      </c>
      <c r="F50" s="47">
        <f t="shared" si="13"/>
        <v>560376.92000000039</v>
      </c>
      <c r="G50" s="47">
        <f t="shared" si="14"/>
        <v>481694.01000000036</v>
      </c>
    </row>
    <row r="51" spans="1:7" x14ac:dyDescent="0.25">
      <c r="A51" s="36">
        <v>44396</v>
      </c>
      <c r="B51" s="46">
        <f t="shared" si="6"/>
        <v>14</v>
      </c>
      <c r="C51" s="47">
        <f t="shared" si="15"/>
        <v>81907</v>
      </c>
      <c r="D51" s="48">
        <f t="shared" si="11"/>
        <v>79135.61</v>
      </c>
      <c r="E51" s="68">
        <f t="shared" si="12"/>
        <v>2771.39</v>
      </c>
      <c r="F51" s="47">
        <f t="shared" si="13"/>
        <v>481694.01000000036</v>
      </c>
      <c r="G51" s="47">
        <f t="shared" si="14"/>
        <v>402558.40000000037</v>
      </c>
    </row>
    <row r="52" spans="1:7" x14ac:dyDescent="0.25">
      <c r="A52" s="36">
        <v>44410</v>
      </c>
      <c r="B52" s="46">
        <f t="shared" si="6"/>
        <v>14</v>
      </c>
      <c r="C52" s="47">
        <f t="shared" si="15"/>
        <v>81907</v>
      </c>
      <c r="D52" s="48">
        <f t="shared" si="11"/>
        <v>79590.91</v>
      </c>
      <c r="E52" s="68">
        <f t="shared" si="12"/>
        <v>2316.09</v>
      </c>
      <c r="F52" s="47">
        <f t="shared" si="13"/>
        <v>402558.40000000037</v>
      </c>
      <c r="G52" s="47">
        <f t="shared" si="14"/>
        <v>322967.49000000034</v>
      </c>
    </row>
    <row r="53" spans="1:7" x14ac:dyDescent="0.25">
      <c r="A53" s="36">
        <v>44424</v>
      </c>
      <c r="B53" s="46">
        <f t="shared" si="6"/>
        <v>14</v>
      </c>
      <c r="C53" s="47">
        <f t="shared" si="15"/>
        <v>81907</v>
      </c>
      <c r="D53" s="48">
        <f t="shared" si="11"/>
        <v>80048.83</v>
      </c>
      <c r="E53" s="68">
        <f t="shared" si="12"/>
        <v>1858.17</v>
      </c>
      <c r="F53" s="47">
        <f t="shared" si="13"/>
        <v>322967.49000000034</v>
      </c>
      <c r="G53" s="47">
        <f t="shared" si="14"/>
        <v>242918.66000000032</v>
      </c>
    </row>
    <row r="54" spans="1:7" x14ac:dyDescent="0.25">
      <c r="A54" s="36">
        <v>44438</v>
      </c>
      <c r="B54" s="46">
        <f t="shared" si="6"/>
        <v>14</v>
      </c>
      <c r="C54" s="47">
        <f t="shared" si="15"/>
        <v>81907</v>
      </c>
      <c r="D54" s="48">
        <f t="shared" si="11"/>
        <v>80509.39</v>
      </c>
      <c r="E54" s="68">
        <f t="shared" si="12"/>
        <v>1397.61</v>
      </c>
      <c r="F54" s="47">
        <f t="shared" si="13"/>
        <v>242918.66000000032</v>
      </c>
      <c r="G54" s="47">
        <f t="shared" si="14"/>
        <v>162409.27000000031</v>
      </c>
    </row>
    <row r="55" spans="1:7" x14ac:dyDescent="0.25">
      <c r="A55" s="36">
        <v>44452</v>
      </c>
      <c r="B55" s="46">
        <f t="shared" si="6"/>
        <v>14</v>
      </c>
      <c r="C55" s="47">
        <f t="shared" si="15"/>
        <v>81907</v>
      </c>
      <c r="D55" s="48">
        <f t="shared" si="11"/>
        <v>80972.59</v>
      </c>
      <c r="E55" s="68">
        <f t="shared" si="12"/>
        <v>934.41</v>
      </c>
      <c r="F55" s="47">
        <f t="shared" si="13"/>
        <v>162409.27000000031</v>
      </c>
      <c r="G55" s="47">
        <f t="shared" si="14"/>
        <v>81436.680000000313</v>
      </c>
    </row>
    <row r="56" spans="1:7" x14ac:dyDescent="0.25">
      <c r="A56" s="36">
        <v>44466</v>
      </c>
      <c r="B56" s="46">
        <f t="shared" si="6"/>
        <v>14</v>
      </c>
      <c r="C56" s="47">
        <f t="shared" si="15"/>
        <v>81907</v>
      </c>
      <c r="D56" s="48">
        <f t="shared" si="11"/>
        <v>81436.680000000313</v>
      </c>
      <c r="E56" s="68">
        <v>470.31999999969327</v>
      </c>
      <c r="F56" s="47">
        <f t="shared" si="13"/>
        <v>81436.680000000313</v>
      </c>
      <c r="G56" s="47">
        <f t="shared" si="14"/>
        <v>0</v>
      </c>
    </row>
  </sheetData>
  <pageMargins left="0.7" right="0.7" top="0.75" bottom="0.75" header="0.3" footer="0.3"/>
  <pageSetup orientation="portrait" r:id="rId1"/>
</worksheet>
</file>

<file path=xl/worksheets/sheet1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505A20-A9AC-4FB6-AE33-3434F141120A}">
  <dimension ref="A1:I56"/>
  <sheetViews>
    <sheetView zoomScale="80" zoomScaleNormal="80" workbookViewId="0">
      <pane ySplit="3" topLeftCell="A42" activePane="bottomLeft" state="frozen"/>
      <selection activeCell="F1" sqref="F1:I2"/>
      <selection pane="bottomLeft" activeCell="A57" sqref="A57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5" bestFit="1" customWidth="1"/>
  </cols>
  <sheetData>
    <row r="1" spans="1:9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331</v>
      </c>
      <c r="G1" s="132" t="s">
        <v>346</v>
      </c>
      <c r="H1" s="124" t="s">
        <v>149</v>
      </c>
      <c r="I1" s="132" t="s">
        <v>331</v>
      </c>
    </row>
    <row r="2" spans="1:9" x14ac:dyDescent="0.25">
      <c r="A2" s="75" t="s">
        <v>34</v>
      </c>
      <c r="B2" s="76">
        <v>0.15</v>
      </c>
      <c r="C2" s="17">
        <f>ROUNDUP(89458.48375,0)</f>
        <v>89459</v>
      </c>
      <c r="D2" s="125">
        <v>44084</v>
      </c>
      <c r="E2" s="124">
        <f>ROUNDUP(54149.7517460318,0)</f>
        <v>54150</v>
      </c>
      <c r="F2" s="184">
        <v>40</v>
      </c>
      <c r="G2" s="134">
        <v>44226</v>
      </c>
      <c r="H2" s="124">
        <f>ROUNDUP(81912.6122112923,0)</f>
        <v>81913</v>
      </c>
      <c r="I2" s="185">
        <v>30</v>
      </c>
    </row>
    <row r="3" spans="1: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9" x14ac:dyDescent="0.25">
      <c r="A4" s="36">
        <v>44046</v>
      </c>
      <c r="B4" s="46">
        <f>A4-B1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>F4-D4</f>
        <v>2000000</v>
      </c>
    </row>
    <row r="5" spans="1:9" x14ac:dyDescent="0.25">
      <c r="A5" s="36">
        <v>44060</v>
      </c>
      <c r="B5" s="46">
        <f>DAYS360(A4,A5,TRUE)</f>
        <v>14</v>
      </c>
      <c r="C5" s="47">
        <f t="shared" ref="C5:C28" si="0">$C$2</f>
        <v>89459</v>
      </c>
      <c r="D5" s="48">
        <f t="shared" ref="D5:D28" si="1">C5-E5</f>
        <v>77792.33</v>
      </c>
      <c r="E5" s="68">
        <f>ROUND(F5*$B$2*B5/360,2)</f>
        <v>11666.67</v>
      </c>
      <c r="F5" s="47">
        <f>G4</f>
        <v>2000000</v>
      </c>
      <c r="G5" s="47">
        <f>F5-D5</f>
        <v>1922207.67</v>
      </c>
    </row>
    <row r="6" spans="1:9" x14ac:dyDescent="0.25">
      <c r="A6" s="36">
        <v>44074</v>
      </c>
      <c r="B6" s="46">
        <f t="shared" ref="B6:B56" si="2">DAYS360(A5,A6,TRUE)</f>
        <v>13</v>
      </c>
      <c r="C6" s="47">
        <f t="shared" si="0"/>
        <v>89459</v>
      </c>
      <c r="D6" s="48">
        <f t="shared" si="1"/>
        <v>79047.040000000008</v>
      </c>
      <c r="E6" s="68">
        <f t="shared" ref="E6:E27" si="3">ROUND(F6*$B$2*B6/360,2)</f>
        <v>10411.959999999999</v>
      </c>
      <c r="F6" s="47">
        <f t="shared" ref="F6:F28" si="4">G5</f>
        <v>1922207.67</v>
      </c>
      <c r="G6" s="47">
        <f t="shared" ref="G6:G30" si="5">F6-D6</f>
        <v>1843160.63</v>
      </c>
    </row>
    <row r="7" spans="1:9" x14ac:dyDescent="0.25">
      <c r="A7" s="36">
        <v>44088</v>
      </c>
      <c r="B7" s="46">
        <f t="shared" si="2"/>
        <v>14</v>
      </c>
      <c r="C7" s="47">
        <f t="shared" si="0"/>
        <v>89459</v>
      </c>
      <c r="D7" s="48">
        <f t="shared" si="1"/>
        <v>78707.23</v>
      </c>
      <c r="E7" s="68">
        <f t="shared" si="3"/>
        <v>10751.77</v>
      </c>
      <c r="F7" s="47">
        <f t="shared" si="4"/>
        <v>1843160.63</v>
      </c>
      <c r="G7" s="47">
        <f t="shared" si="5"/>
        <v>1764453.4</v>
      </c>
    </row>
    <row r="8" spans="1:9" x14ac:dyDescent="0.25">
      <c r="A8" s="36">
        <v>44102</v>
      </c>
      <c r="B8" s="46">
        <f t="shared" si="2"/>
        <v>14</v>
      </c>
      <c r="C8" s="47">
        <f t="shared" si="0"/>
        <v>89459</v>
      </c>
      <c r="D8" s="48">
        <f t="shared" si="1"/>
        <v>79166.36</v>
      </c>
      <c r="E8" s="68">
        <f t="shared" si="3"/>
        <v>10292.64</v>
      </c>
      <c r="F8" s="47">
        <f t="shared" si="4"/>
        <v>1764453.4</v>
      </c>
      <c r="G8" s="47">
        <f t="shared" si="5"/>
        <v>1685287.0399999998</v>
      </c>
    </row>
    <row r="9" spans="1:9" x14ac:dyDescent="0.25">
      <c r="A9" s="36">
        <v>44116</v>
      </c>
      <c r="B9" s="46">
        <f t="shared" si="2"/>
        <v>14</v>
      </c>
      <c r="C9" s="47">
        <f t="shared" si="0"/>
        <v>89459</v>
      </c>
      <c r="D9" s="48">
        <f t="shared" si="1"/>
        <v>79628.160000000003</v>
      </c>
      <c r="E9" s="68">
        <f t="shared" si="3"/>
        <v>9830.84</v>
      </c>
      <c r="F9" s="47">
        <f t="shared" si="4"/>
        <v>1685287.0399999998</v>
      </c>
      <c r="G9" s="47">
        <f t="shared" si="5"/>
        <v>1605658.88</v>
      </c>
    </row>
    <row r="10" spans="1:9" x14ac:dyDescent="0.25">
      <c r="A10" s="36">
        <v>44130</v>
      </c>
      <c r="B10" s="46">
        <f t="shared" si="2"/>
        <v>14</v>
      </c>
      <c r="C10" s="47">
        <f t="shared" si="0"/>
        <v>89459</v>
      </c>
      <c r="D10" s="48">
        <f t="shared" si="1"/>
        <v>80092.66</v>
      </c>
      <c r="E10" s="68">
        <f t="shared" si="3"/>
        <v>9366.34</v>
      </c>
      <c r="F10" s="47">
        <f t="shared" si="4"/>
        <v>1605658.88</v>
      </c>
      <c r="G10" s="47">
        <f t="shared" si="5"/>
        <v>1525566.22</v>
      </c>
    </row>
    <row r="11" spans="1:9" x14ac:dyDescent="0.25">
      <c r="A11" s="36">
        <v>44144</v>
      </c>
      <c r="B11" s="46">
        <f t="shared" si="2"/>
        <v>13</v>
      </c>
      <c r="C11" s="47">
        <f t="shared" si="0"/>
        <v>89459</v>
      </c>
      <c r="D11" s="48">
        <f t="shared" si="1"/>
        <v>81195.520000000004</v>
      </c>
      <c r="E11" s="68">
        <f t="shared" si="3"/>
        <v>8263.48</v>
      </c>
      <c r="F11" s="47">
        <f t="shared" si="4"/>
        <v>1525566.22</v>
      </c>
      <c r="G11" s="47">
        <f t="shared" si="5"/>
        <v>1444370.7</v>
      </c>
    </row>
    <row r="12" spans="1:9" x14ac:dyDescent="0.25">
      <c r="A12" s="36">
        <v>44158</v>
      </c>
      <c r="B12" s="46">
        <f t="shared" si="2"/>
        <v>14</v>
      </c>
      <c r="C12" s="47">
        <f t="shared" si="0"/>
        <v>89459</v>
      </c>
      <c r="D12" s="48">
        <f t="shared" si="1"/>
        <v>81033.5</v>
      </c>
      <c r="E12" s="68">
        <f t="shared" si="3"/>
        <v>8425.5</v>
      </c>
      <c r="F12" s="47">
        <f t="shared" si="4"/>
        <v>1444370.7</v>
      </c>
      <c r="G12" s="47">
        <f t="shared" si="5"/>
        <v>1363337.2</v>
      </c>
    </row>
    <row r="13" spans="1:9" x14ac:dyDescent="0.25">
      <c r="A13" s="36">
        <v>44172</v>
      </c>
      <c r="B13" s="46">
        <f t="shared" si="2"/>
        <v>14</v>
      </c>
      <c r="C13" s="47">
        <f t="shared" si="0"/>
        <v>89459</v>
      </c>
      <c r="D13" s="48">
        <f t="shared" si="1"/>
        <v>81506.2</v>
      </c>
      <c r="E13" s="68">
        <f t="shared" si="3"/>
        <v>7952.8</v>
      </c>
      <c r="F13" s="47">
        <f t="shared" si="4"/>
        <v>1363337.2</v>
      </c>
      <c r="G13" s="47">
        <f t="shared" si="5"/>
        <v>1281831</v>
      </c>
    </row>
    <row r="14" spans="1:9" x14ac:dyDescent="0.25">
      <c r="A14" s="36">
        <v>44186</v>
      </c>
      <c r="B14" s="46">
        <f t="shared" si="2"/>
        <v>14</v>
      </c>
      <c r="C14" s="47">
        <f t="shared" si="0"/>
        <v>89459</v>
      </c>
      <c r="D14" s="48">
        <f t="shared" si="1"/>
        <v>81981.649999999994</v>
      </c>
      <c r="E14" s="68">
        <f t="shared" si="3"/>
        <v>7477.35</v>
      </c>
      <c r="F14" s="47">
        <f t="shared" si="4"/>
        <v>1281831</v>
      </c>
      <c r="G14" s="47">
        <f t="shared" si="5"/>
        <v>1199849.3500000001</v>
      </c>
    </row>
    <row r="15" spans="1:9" x14ac:dyDescent="0.25">
      <c r="A15" s="36">
        <v>44200</v>
      </c>
      <c r="B15" s="46">
        <f t="shared" si="2"/>
        <v>13</v>
      </c>
      <c r="C15" s="47">
        <f t="shared" si="0"/>
        <v>89459</v>
      </c>
      <c r="D15" s="48">
        <f t="shared" si="1"/>
        <v>82959.820000000007</v>
      </c>
      <c r="E15" s="68">
        <f t="shared" si="3"/>
        <v>6499.18</v>
      </c>
      <c r="F15" s="47">
        <f t="shared" si="4"/>
        <v>1199849.3500000001</v>
      </c>
      <c r="G15" s="47">
        <f t="shared" si="5"/>
        <v>1116889.53</v>
      </c>
    </row>
    <row r="16" spans="1:9" x14ac:dyDescent="0.25">
      <c r="A16" s="36">
        <v>44214</v>
      </c>
      <c r="B16" s="46">
        <f t="shared" si="2"/>
        <v>14</v>
      </c>
      <c r="C16" s="47">
        <f t="shared" si="0"/>
        <v>89459</v>
      </c>
      <c r="D16" s="48">
        <f t="shared" si="1"/>
        <v>82943.81</v>
      </c>
      <c r="E16" s="68">
        <f t="shared" si="3"/>
        <v>6515.19</v>
      </c>
      <c r="F16" s="47">
        <f t="shared" si="4"/>
        <v>1116889.53</v>
      </c>
      <c r="G16" s="47">
        <f t="shared" si="5"/>
        <v>1033945.72</v>
      </c>
    </row>
    <row r="17" spans="1:7" x14ac:dyDescent="0.25">
      <c r="A17" s="36">
        <v>44228</v>
      </c>
      <c r="B17" s="46">
        <f t="shared" si="2"/>
        <v>13</v>
      </c>
      <c r="C17" s="47">
        <f t="shared" si="0"/>
        <v>89459</v>
      </c>
      <c r="D17" s="48">
        <f t="shared" si="1"/>
        <v>83858.460000000006</v>
      </c>
      <c r="E17" s="68">
        <f t="shared" si="3"/>
        <v>5600.54</v>
      </c>
      <c r="F17" s="47">
        <f t="shared" si="4"/>
        <v>1033945.72</v>
      </c>
      <c r="G17" s="47">
        <f t="shared" si="5"/>
        <v>950087.26</v>
      </c>
    </row>
    <row r="18" spans="1:7" x14ac:dyDescent="0.25">
      <c r="A18" s="36">
        <v>44242</v>
      </c>
      <c r="B18" s="46">
        <f t="shared" si="2"/>
        <v>14</v>
      </c>
      <c r="C18" s="47">
        <f t="shared" si="0"/>
        <v>89459</v>
      </c>
      <c r="D18" s="48">
        <f t="shared" si="1"/>
        <v>83916.82</v>
      </c>
      <c r="E18" s="68">
        <f t="shared" si="3"/>
        <v>5542.18</v>
      </c>
      <c r="F18" s="47">
        <f t="shared" si="4"/>
        <v>950087.26</v>
      </c>
      <c r="G18" s="47">
        <f t="shared" si="5"/>
        <v>866170.44</v>
      </c>
    </row>
    <row r="19" spans="1:7" x14ac:dyDescent="0.25">
      <c r="A19" s="36">
        <v>44256</v>
      </c>
      <c r="B19" s="46">
        <f t="shared" si="2"/>
        <v>16</v>
      </c>
      <c r="C19" s="47">
        <f t="shared" si="0"/>
        <v>89459</v>
      </c>
      <c r="D19" s="48">
        <f t="shared" si="1"/>
        <v>83684.53</v>
      </c>
      <c r="E19" s="68">
        <f t="shared" si="3"/>
        <v>5774.47</v>
      </c>
      <c r="F19" s="47">
        <f t="shared" si="4"/>
        <v>866170.44</v>
      </c>
      <c r="G19" s="47">
        <f t="shared" si="5"/>
        <v>782485.90999999992</v>
      </c>
    </row>
    <row r="20" spans="1:7" x14ac:dyDescent="0.25">
      <c r="A20" s="36">
        <v>44270</v>
      </c>
      <c r="B20" s="46">
        <f t="shared" si="2"/>
        <v>14</v>
      </c>
      <c r="C20" s="47">
        <f t="shared" si="0"/>
        <v>89459</v>
      </c>
      <c r="D20" s="48">
        <f t="shared" si="1"/>
        <v>84894.5</v>
      </c>
      <c r="E20" s="68">
        <f t="shared" si="3"/>
        <v>4564.5</v>
      </c>
      <c r="F20" s="47">
        <f t="shared" si="4"/>
        <v>782485.90999999992</v>
      </c>
      <c r="G20" s="47">
        <f t="shared" si="5"/>
        <v>697591.40999999992</v>
      </c>
    </row>
    <row r="21" spans="1:7" x14ac:dyDescent="0.25">
      <c r="A21" s="36">
        <v>44284</v>
      </c>
      <c r="B21" s="46">
        <f t="shared" si="2"/>
        <v>14</v>
      </c>
      <c r="C21" s="47">
        <f t="shared" si="0"/>
        <v>89459</v>
      </c>
      <c r="D21" s="48">
        <f t="shared" si="1"/>
        <v>85389.72</v>
      </c>
      <c r="E21" s="68">
        <f t="shared" si="3"/>
        <v>4069.28</v>
      </c>
      <c r="F21" s="47">
        <f t="shared" si="4"/>
        <v>697591.40999999992</v>
      </c>
      <c r="G21" s="47">
        <f t="shared" si="5"/>
        <v>612201.68999999994</v>
      </c>
    </row>
    <row r="22" spans="1:7" x14ac:dyDescent="0.25">
      <c r="A22" s="36">
        <v>44298</v>
      </c>
      <c r="B22" s="46">
        <f t="shared" si="2"/>
        <v>13</v>
      </c>
      <c r="C22" s="47">
        <f t="shared" si="0"/>
        <v>89459</v>
      </c>
      <c r="D22" s="48">
        <f t="shared" si="1"/>
        <v>86142.91</v>
      </c>
      <c r="E22" s="68">
        <f t="shared" si="3"/>
        <v>3316.09</v>
      </c>
      <c r="F22" s="47">
        <f t="shared" si="4"/>
        <v>612201.68999999994</v>
      </c>
      <c r="G22" s="47">
        <f t="shared" si="5"/>
        <v>526058.77999999991</v>
      </c>
    </row>
    <row r="23" spans="1:7" x14ac:dyDescent="0.25">
      <c r="A23" s="36">
        <v>44312</v>
      </c>
      <c r="B23" s="46">
        <f t="shared" si="2"/>
        <v>14</v>
      </c>
      <c r="C23" s="47">
        <f t="shared" si="0"/>
        <v>89459</v>
      </c>
      <c r="D23" s="48">
        <f t="shared" si="1"/>
        <v>86390.32</v>
      </c>
      <c r="E23" s="68">
        <f t="shared" si="3"/>
        <v>3068.68</v>
      </c>
      <c r="F23" s="47">
        <f t="shared" si="4"/>
        <v>526058.77999999991</v>
      </c>
      <c r="G23" s="47">
        <f t="shared" si="5"/>
        <v>439668.4599999999</v>
      </c>
    </row>
    <row r="24" spans="1:7" x14ac:dyDescent="0.25">
      <c r="A24" s="36">
        <v>44326</v>
      </c>
      <c r="B24" s="46">
        <f t="shared" si="2"/>
        <v>14</v>
      </c>
      <c r="C24" s="47">
        <f t="shared" si="0"/>
        <v>89459</v>
      </c>
      <c r="D24" s="48">
        <f t="shared" si="1"/>
        <v>86894.27</v>
      </c>
      <c r="E24" s="68">
        <f t="shared" si="3"/>
        <v>2564.73</v>
      </c>
      <c r="F24" s="47">
        <f t="shared" si="4"/>
        <v>439668.4599999999</v>
      </c>
      <c r="G24" s="47">
        <f t="shared" si="5"/>
        <v>352774.18999999989</v>
      </c>
    </row>
    <row r="25" spans="1:7" x14ac:dyDescent="0.25">
      <c r="A25" s="36">
        <v>44340</v>
      </c>
      <c r="B25" s="46">
        <f t="shared" si="2"/>
        <v>14</v>
      </c>
      <c r="C25" s="47">
        <f t="shared" si="0"/>
        <v>89459</v>
      </c>
      <c r="D25" s="48">
        <f t="shared" si="1"/>
        <v>87401.15</v>
      </c>
      <c r="E25" s="68">
        <f t="shared" si="3"/>
        <v>2057.85</v>
      </c>
      <c r="F25" s="47">
        <f t="shared" si="4"/>
        <v>352774.18999999989</v>
      </c>
      <c r="G25" s="47">
        <f t="shared" si="5"/>
        <v>265373.03999999992</v>
      </c>
    </row>
    <row r="26" spans="1:7" x14ac:dyDescent="0.25">
      <c r="A26" s="36">
        <v>44354</v>
      </c>
      <c r="B26" s="46">
        <f t="shared" si="2"/>
        <v>13</v>
      </c>
      <c r="C26" s="47">
        <f t="shared" si="0"/>
        <v>89459</v>
      </c>
      <c r="D26" s="48">
        <f t="shared" si="1"/>
        <v>88021.56</v>
      </c>
      <c r="E26" s="68">
        <f t="shared" si="3"/>
        <v>1437.44</v>
      </c>
      <c r="F26" s="47">
        <f t="shared" si="4"/>
        <v>265373.03999999992</v>
      </c>
      <c r="G26" s="47">
        <f t="shared" si="5"/>
        <v>177351.47999999992</v>
      </c>
    </row>
    <row r="27" spans="1:7" x14ac:dyDescent="0.25">
      <c r="A27" s="36">
        <v>44368</v>
      </c>
      <c r="B27" s="46">
        <f t="shared" si="2"/>
        <v>14</v>
      </c>
      <c r="C27" s="47">
        <f t="shared" si="0"/>
        <v>89459</v>
      </c>
      <c r="D27" s="48">
        <f t="shared" si="1"/>
        <v>88424.45</v>
      </c>
      <c r="E27" s="68">
        <f t="shared" si="3"/>
        <v>1034.55</v>
      </c>
      <c r="F27" s="47">
        <f t="shared" si="4"/>
        <v>177351.47999999992</v>
      </c>
      <c r="G27" s="47">
        <f t="shared" si="5"/>
        <v>88927.029999999926</v>
      </c>
    </row>
    <row r="28" spans="1:7" x14ac:dyDescent="0.25">
      <c r="A28" s="36">
        <v>44382</v>
      </c>
      <c r="B28" s="46">
        <f t="shared" si="2"/>
        <v>14</v>
      </c>
      <c r="C28" s="47">
        <f t="shared" si="0"/>
        <v>89459</v>
      </c>
      <c r="D28" s="48">
        <f t="shared" si="1"/>
        <v>88927.029999999926</v>
      </c>
      <c r="E28" s="68">
        <v>531.97000000006869</v>
      </c>
      <c r="F28" s="47">
        <f t="shared" si="4"/>
        <v>88927.029999999926</v>
      </c>
      <c r="G28" s="47">
        <f t="shared" si="5"/>
        <v>0</v>
      </c>
    </row>
    <row r="29" spans="1:7" x14ac:dyDescent="0.25">
      <c r="A29" s="36">
        <v>44088</v>
      </c>
      <c r="B29">
        <f>DAYS360(A6,A7,TRUE)</f>
        <v>14</v>
      </c>
      <c r="C29" s="47">
        <f>$E$2</f>
        <v>54150</v>
      </c>
      <c r="D29" s="48">
        <f>C29-E29</f>
        <v>43398.229999999996</v>
      </c>
      <c r="E29">
        <f>ROUND(F7*$B$2*B7/360,2)</f>
        <v>10751.77</v>
      </c>
      <c r="F29" s="33">
        <f>G6</f>
        <v>1843160.63</v>
      </c>
      <c r="G29" s="181">
        <f t="shared" si="5"/>
        <v>1799762.4</v>
      </c>
    </row>
    <row r="30" spans="1:7" x14ac:dyDescent="0.25">
      <c r="A30" s="36">
        <v>44102</v>
      </c>
      <c r="B30" s="46">
        <f t="shared" si="2"/>
        <v>14</v>
      </c>
      <c r="C30" s="47">
        <f t="shared" ref="C30:C38" si="6">$E$2</f>
        <v>54150</v>
      </c>
      <c r="D30" s="48">
        <f t="shared" ref="D30" si="7">C30-E30</f>
        <v>43651.39</v>
      </c>
      <c r="E30" s="68">
        <f>ROUND(F30*$B$2*B30/360,2)</f>
        <v>10498.61</v>
      </c>
      <c r="F30" s="47">
        <f t="shared" ref="F30" si="8">G29</f>
        <v>1799762.4</v>
      </c>
      <c r="G30" s="47">
        <f t="shared" si="5"/>
        <v>1756111.01</v>
      </c>
    </row>
    <row r="31" spans="1:7" x14ac:dyDescent="0.25">
      <c r="A31" s="36">
        <v>44116</v>
      </c>
      <c r="B31" s="46">
        <f t="shared" si="2"/>
        <v>14</v>
      </c>
      <c r="C31" s="47">
        <f t="shared" si="6"/>
        <v>54150</v>
      </c>
      <c r="D31" s="48">
        <f t="shared" ref="D31:D56" si="9">C31-E31</f>
        <v>43906.020000000004</v>
      </c>
      <c r="E31" s="68">
        <f t="shared" ref="E31:E55" si="10">ROUND(F31*$B$2*B31/360,2)</f>
        <v>10243.98</v>
      </c>
      <c r="F31" s="47">
        <f t="shared" ref="F31:F56" si="11">G30</f>
        <v>1756111.01</v>
      </c>
      <c r="G31" s="47">
        <f t="shared" ref="G31:G56" si="12">F31-D31</f>
        <v>1712204.99</v>
      </c>
    </row>
    <row r="32" spans="1:7" x14ac:dyDescent="0.25">
      <c r="A32" s="36">
        <v>44130</v>
      </c>
      <c r="B32" s="46">
        <f t="shared" si="2"/>
        <v>14</v>
      </c>
      <c r="C32" s="47">
        <f t="shared" si="6"/>
        <v>54150</v>
      </c>
      <c r="D32" s="48">
        <f t="shared" si="9"/>
        <v>44162.14</v>
      </c>
      <c r="E32" s="68">
        <f t="shared" si="10"/>
        <v>9987.86</v>
      </c>
      <c r="F32" s="47">
        <f t="shared" si="11"/>
        <v>1712204.99</v>
      </c>
      <c r="G32" s="47">
        <f t="shared" si="12"/>
        <v>1668042.85</v>
      </c>
    </row>
    <row r="33" spans="1:7" x14ac:dyDescent="0.25">
      <c r="A33" s="36">
        <v>44144</v>
      </c>
      <c r="B33" s="46">
        <f t="shared" si="2"/>
        <v>13</v>
      </c>
      <c r="C33" s="47">
        <f t="shared" si="6"/>
        <v>54150</v>
      </c>
      <c r="D33" s="48">
        <f t="shared" si="9"/>
        <v>45114.770000000004</v>
      </c>
      <c r="E33" s="68">
        <f t="shared" si="10"/>
        <v>9035.23</v>
      </c>
      <c r="F33" s="47">
        <f t="shared" si="11"/>
        <v>1668042.85</v>
      </c>
      <c r="G33" s="47">
        <f t="shared" si="12"/>
        <v>1622928.08</v>
      </c>
    </row>
    <row r="34" spans="1:7" x14ac:dyDescent="0.25">
      <c r="A34" s="36">
        <v>44158</v>
      </c>
      <c r="B34" s="46">
        <f t="shared" si="2"/>
        <v>14</v>
      </c>
      <c r="C34" s="47">
        <f t="shared" si="6"/>
        <v>54150</v>
      </c>
      <c r="D34" s="48">
        <f t="shared" si="9"/>
        <v>44682.92</v>
      </c>
      <c r="E34" s="68">
        <f t="shared" si="10"/>
        <v>9467.08</v>
      </c>
      <c r="F34" s="47">
        <f t="shared" si="11"/>
        <v>1622928.08</v>
      </c>
      <c r="G34" s="47">
        <f t="shared" si="12"/>
        <v>1578245.1600000001</v>
      </c>
    </row>
    <row r="35" spans="1:7" x14ac:dyDescent="0.25">
      <c r="A35" s="36">
        <v>44172</v>
      </c>
      <c r="B35" s="46">
        <f t="shared" si="2"/>
        <v>14</v>
      </c>
      <c r="C35" s="47">
        <f t="shared" si="6"/>
        <v>54150</v>
      </c>
      <c r="D35" s="48">
        <f t="shared" si="9"/>
        <v>44943.57</v>
      </c>
      <c r="E35" s="68">
        <f t="shared" si="10"/>
        <v>9206.43</v>
      </c>
      <c r="F35" s="47">
        <f t="shared" si="11"/>
        <v>1578245.1600000001</v>
      </c>
      <c r="G35" s="47">
        <f t="shared" si="12"/>
        <v>1533301.59</v>
      </c>
    </row>
    <row r="36" spans="1:7" x14ac:dyDescent="0.25">
      <c r="A36" s="36">
        <v>44186</v>
      </c>
      <c r="B36" s="46">
        <f t="shared" si="2"/>
        <v>14</v>
      </c>
      <c r="C36" s="47">
        <f t="shared" si="6"/>
        <v>54150</v>
      </c>
      <c r="D36" s="48">
        <f t="shared" si="9"/>
        <v>45205.74</v>
      </c>
      <c r="E36" s="68">
        <f t="shared" si="10"/>
        <v>8944.26</v>
      </c>
      <c r="F36" s="47">
        <f t="shared" si="11"/>
        <v>1533301.59</v>
      </c>
      <c r="G36" s="47">
        <f t="shared" si="12"/>
        <v>1488095.85</v>
      </c>
    </row>
    <row r="37" spans="1:7" x14ac:dyDescent="0.25">
      <c r="A37" s="36">
        <v>44200</v>
      </c>
      <c r="B37" s="46">
        <f t="shared" si="2"/>
        <v>13</v>
      </c>
      <c r="C37" s="47">
        <f t="shared" si="6"/>
        <v>54150</v>
      </c>
      <c r="D37" s="48">
        <f t="shared" si="9"/>
        <v>46089.479999999996</v>
      </c>
      <c r="E37" s="68">
        <f t="shared" si="10"/>
        <v>8060.52</v>
      </c>
      <c r="F37" s="47">
        <f t="shared" si="11"/>
        <v>1488095.85</v>
      </c>
      <c r="G37" s="47">
        <f t="shared" si="12"/>
        <v>1442006.37</v>
      </c>
    </row>
    <row r="38" spans="1:7" x14ac:dyDescent="0.25">
      <c r="A38" s="36">
        <v>44214</v>
      </c>
      <c r="B38" s="46">
        <f t="shared" si="2"/>
        <v>14</v>
      </c>
      <c r="C38" s="47">
        <f t="shared" si="6"/>
        <v>54150</v>
      </c>
      <c r="D38" s="48">
        <f t="shared" si="9"/>
        <v>45738.3</v>
      </c>
      <c r="E38" s="68">
        <f t="shared" si="10"/>
        <v>8411.7000000000007</v>
      </c>
      <c r="F38" s="47">
        <f t="shared" si="11"/>
        <v>1442006.37</v>
      </c>
      <c r="G38" s="47">
        <f t="shared" si="12"/>
        <v>1396268.07</v>
      </c>
    </row>
    <row r="39" spans="1:7" x14ac:dyDescent="0.25">
      <c r="A39" s="36">
        <v>44228</v>
      </c>
      <c r="B39" s="46">
        <f t="shared" si="2"/>
        <v>13</v>
      </c>
      <c r="C39" s="47">
        <f>$H$2</f>
        <v>81913</v>
      </c>
      <c r="D39" s="48">
        <f t="shared" si="9"/>
        <v>74349.88</v>
      </c>
      <c r="E39" s="68">
        <f t="shared" si="10"/>
        <v>7563.12</v>
      </c>
      <c r="F39" s="47">
        <f t="shared" si="11"/>
        <v>1396268.07</v>
      </c>
      <c r="G39" s="47">
        <f t="shared" si="12"/>
        <v>1321918.19</v>
      </c>
    </row>
    <row r="40" spans="1:7" x14ac:dyDescent="0.25">
      <c r="A40" s="36">
        <v>44242</v>
      </c>
      <c r="B40" s="46">
        <f t="shared" si="2"/>
        <v>14</v>
      </c>
      <c r="C40" s="47">
        <f t="shared" ref="C40:C56" si="13">$H$2</f>
        <v>81913</v>
      </c>
      <c r="D40" s="48">
        <f t="shared" si="9"/>
        <v>74201.81</v>
      </c>
      <c r="E40" s="68">
        <f t="shared" si="10"/>
        <v>7711.19</v>
      </c>
      <c r="F40" s="47">
        <f t="shared" si="11"/>
        <v>1321918.19</v>
      </c>
      <c r="G40" s="47">
        <f t="shared" si="12"/>
        <v>1247716.3799999999</v>
      </c>
    </row>
    <row r="41" spans="1:7" x14ac:dyDescent="0.25">
      <c r="A41" s="36">
        <v>44256</v>
      </c>
      <c r="B41" s="46">
        <f t="shared" si="2"/>
        <v>16</v>
      </c>
      <c r="C41" s="47">
        <f t="shared" si="13"/>
        <v>81913</v>
      </c>
      <c r="D41" s="48">
        <f t="shared" si="9"/>
        <v>73594.89</v>
      </c>
      <c r="E41" s="68">
        <f t="shared" si="10"/>
        <v>8318.11</v>
      </c>
      <c r="F41" s="47">
        <f t="shared" si="11"/>
        <v>1247716.3799999999</v>
      </c>
      <c r="G41" s="47">
        <f t="shared" si="12"/>
        <v>1174121.49</v>
      </c>
    </row>
    <row r="42" spans="1:7" x14ac:dyDescent="0.25">
      <c r="A42" s="36">
        <v>44270</v>
      </c>
      <c r="B42" s="46">
        <f t="shared" si="2"/>
        <v>14</v>
      </c>
      <c r="C42" s="47">
        <f t="shared" si="13"/>
        <v>81913</v>
      </c>
      <c r="D42" s="48">
        <f t="shared" si="9"/>
        <v>75063.960000000006</v>
      </c>
      <c r="E42" s="68">
        <f t="shared" si="10"/>
        <v>6849.04</v>
      </c>
      <c r="F42" s="47">
        <f t="shared" si="11"/>
        <v>1174121.49</v>
      </c>
      <c r="G42" s="47">
        <f t="shared" si="12"/>
        <v>1099057.53</v>
      </c>
    </row>
    <row r="43" spans="1:7" x14ac:dyDescent="0.25">
      <c r="A43" s="36">
        <v>44284</v>
      </c>
      <c r="B43" s="46">
        <f t="shared" si="2"/>
        <v>14</v>
      </c>
      <c r="C43" s="47">
        <f t="shared" si="13"/>
        <v>81913</v>
      </c>
      <c r="D43" s="48">
        <f t="shared" si="9"/>
        <v>75501.83</v>
      </c>
      <c r="E43" s="68">
        <f t="shared" si="10"/>
        <v>6411.17</v>
      </c>
      <c r="F43" s="47">
        <f t="shared" si="11"/>
        <v>1099057.53</v>
      </c>
      <c r="G43" s="47">
        <f t="shared" si="12"/>
        <v>1023555.7000000001</v>
      </c>
    </row>
    <row r="44" spans="1:7" x14ac:dyDescent="0.25">
      <c r="A44" s="36">
        <v>44298</v>
      </c>
      <c r="B44" s="46">
        <f t="shared" si="2"/>
        <v>13</v>
      </c>
      <c r="C44" s="47">
        <f t="shared" si="13"/>
        <v>81913</v>
      </c>
      <c r="D44" s="48">
        <f t="shared" si="9"/>
        <v>76368.740000000005</v>
      </c>
      <c r="E44" s="68">
        <f t="shared" si="10"/>
        <v>5544.26</v>
      </c>
      <c r="F44" s="47">
        <f t="shared" si="11"/>
        <v>1023555.7000000001</v>
      </c>
      <c r="G44" s="47">
        <f t="shared" si="12"/>
        <v>947186.96000000008</v>
      </c>
    </row>
    <row r="45" spans="1:7" x14ac:dyDescent="0.25">
      <c r="A45" s="36">
        <v>44312</v>
      </c>
      <c r="B45" s="46">
        <f t="shared" si="2"/>
        <v>14</v>
      </c>
      <c r="C45" s="47">
        <f t="shared" si="13"/>
        <v>81913</v>
      </c>
      <c r="D45" s="48">
        <f t="shared" si="9"/>
        <v>76387.740000000005</v>
      </c>
      <c r="E45" s="68">
        <f t="shared" si="10"/>
        <v>5525.26</v>
      </c>
      <c r="F45" s="47">
        <f t="shared" si="11"/>
        <v>947186.96000000008</v>
      </c>
      <c r="G45" s="47">
        <f t="shared" si="12"/>
        <v>870799.22000000009</v>
      </c>
    </row>
    <row r="46" spans="1:7" x14ac:dyDescent="0.25">
      <c r="A46" s="36">
        <v>44326</v>
      </c>
      <c r="B46" s="46">
        <f t="shared" si="2"/>
        <v>14</v>
      </c>
      <c r="C46" s="47">
        <f t="shared" si="13"/>
        <v>81913</v>
      </c>
      <c r="D46" s="48">
        <f t="shared" si="9"/>
        <v>76833.34</v>
      </c>
      <c r="E46" s="68">
        <f t="shared" si="10"/>
        <v>5079.66</v>
      </c>
      <c r="F46" s="47">
        <f t="shared" si="11"/>
        <v>870799.22000000009</v>
      </c>
      <c r="G46" s="47">
        <f t="shared" si="12"/>
        <v>793965.88000000012</v>
      </c>
    </row>
    <row r="47" spans="1:7" x14ac:dyDescent="0.25">
      <c r="A47" s="36">
        <v>44340</v>
      </c>
      <c r="B47" s="46">
        <f t="shared" si="2"/>
        <v>14</v>
      </c>
      <c r="C47" s="47">
        <f t="shared" si="13"/>
        <v>81913</v>
      </c>
      <c r="D47" s="48">
        <f t="shared" si="9"/>
        <v>77281.53</v>
      </c>
      <c r="E47" s="68">
        <f t="shared" si="10"/>
        <v>4631.47</v>
      </c>
      <c r="F47" s="47">
        <f t="shared" si="11"/>
        <v>793965.88000000012</v>
      </c>
      <c r="G47" s="47">
        <f t="shared" si="12"/>
        <v>716684.35000000009</v>
      </c>
    </row>
    <row r="48" spans="1:7" x14ac:dyDescent="0.25">
      <c r="A48" s="36">
        <v>44354</v>
      </c>
      <c r="B48" s="46">
        <f t="shared" si="2"/>
        <v>13</v>
      </c>
      <c r="C48" s="47">
        <f t="shared" si="13"/>
        <v>81913</v>
      </c>
      <c r="D48" s="48">
        <f t="shared" si="9"/>
        <v>78030.960000000006</v>
      </c>
      <c r="E48" s="68">
        <f t="shared" si="10"/>
        <v>3882.04</v>
      </c>
      <c r="F48" s="47">
        <f t="shared" si="11"/>
        <v>716684.35000000009</v>
      </c>
      <c r="G48" s="47">
        <f t="shared" si="12"/>
        <v>638653.39000000013</v>
      </c>
    </row>
    <row r="49" spans="1:7" x14ac:dyDescent="0.25">
      <c r="A49" s="36">
        <v>44368</v>
      </c>
      <c r="B49" s="46">
        <f t="shared" si="2"/>
        <v>14</v>
      </c>
      <c r="C49" s="47">
        <f t="shared" si="13"/>
        <v>81913</v>
      </c>
      <c r="D49" s="48">
        <f t="shared" si="9"/>
        <v>78187.520000000004</v>
      </c>
      <c r="E49" s="68">
        <f t="shared" si="10"/>
        <v>3725.48</v>
      </c>
      <c r="F49" s="47">
        <f t="shared" si="11"/>
        <v>638653.39000000013</v>
      </c>
      <c r="G49" s="47">
        <f t="shared" si="12"/>
        <v>560465.87000000011</v>
      </c>
    </row>
    <row r="50" spans="1:7" x14ac:dyDescent="0.25">
      <c r="A50" s="36">
        <v>44382</v>
      </c>
      <c r="B50" s="46">
        <f t="shared" si="2"/>
        <v>14</v>
      </c>
      <c r="C50" s="47">
        <f t="shared" si="13"/>
        <v>81913</v>
      </c>
      <c r="D50" s="48">
        <f t="shared" si="9"/>
        <v>78643.62</v>
      </c>
      <c r="E50" s="68">
        <f t="shared" si="10"/>
        <v>3269.38</v>
      </c>
      <c r="F50" s="47">
        <f t="shared" si="11"/>
        <v>560465.87000000011</v>
      </c>
      <c r="G50" s="47">
        <f t="shared" si="12"/>
        <v>481822.25000000012</v>
      </c>
    </row>
    <row r="51" spans="1:7" x14ac:dyDescent="0.25">
      <c r="A51" s="36">
        <v>44396</v>
      </c>
      <c r="B51" s="46">
        <f t="shared" si="2"/>
        <v>14</v>
      </c>
      <c r="C51" s="47">
        <f t="shared" si="13"/>
        <v>81913</v>
      </c>
      <c r="D51" s="48">
        <f t="shared" si="9"/>
        <v>79102.37</v>
      </c>
      <c r="E51" s="68">
        <f t="shared" si="10"/>
        <v>2810.63</v>
      </c>
      <c r="F51" s="47">
        <f t="shared" si="11"/>
        <v>481822.25000000012</v>
      </c>
      <c r="G51" s="47">
        <f t="shared" si="12"/>
        <v>402719.88000000012</v>
      </c>
    </row>
    <row r="52" spans="1:7" x14ac:dyDescent="0.25">
      <c r="A52" s="36">
        <v>44410</v>
      </c>
      <c r="B52" s="46">
        <f t="shared" si="2"/>
        <v>13</v>
      </c>
      <c r="C52" s="47">
        <f t="shared" si="13"/>
        <v>81913</v>
      </c>
      <c r="D52" s="48">
        <f t="shared" si="9"/>
        <v>79731.600000000006</v>
      </c>
      <c r="E52" s="68">
        <f t="shared" si="10"/>
        <v>2181.4</v>
      </c>
      <c r="F52" s="47">
        <f t="shared" si="11"/>
        <v>402719.88000000012</v>
      </c>
      <c r="G52" s="47">
        <f t="shared" si="12"/>
        <v>322988.28000000014</v>
      </c>
    </row>
    <row r="53" spans="1:7" x14ac:dyDescent="0.25">
      <c r="A53" s="36">
        <v>44424</v>
      </c>
      <c r="B53" s="46">
        <f t="shared" si="2"/>
        <v>14</v>
      </c>
      <c r="C53" s="47">
        <f t="shared" si="13"/>
        <v>81913</v>
      </c>
      <c r="D53" s="48">
        <f t="shared" si="9"/>
        <v>80028.899999999994</v>
      </c>
      <c r="E53" s="68">
        <f t="shared" si="10"/>
        <v>1884.1</v>
      </c>
      <c r="F53" s="47">
        <f t="shared" si="11"/>
        <v>322988.28000000014</v>
      </c>
      <c r="G53" s="47">
        <f t="shared" si="12"/>
        <v>242959.38000000015</v>
      </c>
    </row>
    <row r="54" spans="1:7" x14ac:dyDescent="0.25">
      <c r="A54" s="36">
        <v>44438</v>
      </c>
      <c r="B54" s="46">
        <f t="shared" si="2"/>
        <v>14</v>
      </c>
      <c r="C54" s="47">
        <f t="shared" si="13"/>
        <v>81913</v>
      </c>
      <c r="D54" s="48">
        <f t="shared" si="9"/>
        <v>80495.740000000005</v>
      </c>
      <c r="E54" s="68">
        <f t="shared" si="10"/>
        <v>1417.26</v>
      </c>
      <c r="F54" s="47">
        <f t="shared" si="11"/>
        <v>242959.38000000015</v>
      </c>
      <c r="G54" s="47">
        <f t="shared" si="12"/>
        <v>162463.64000000013</v>
      </c>
    </row>
    <row r="55" spans="1:7" x14ac:dyDescent="0.25">
      <c r="A55" s="36">
        <v>44452</v>
      </c>
      <c r="B55" s="46">
        <f t="shared" si="2"/>
        <v>13</v>
      </c>
      <c r="C55" s="47">
        <f t="shared" si="13"/>
        <v>81913</v>
      </c>
      <c r="D55" s="48">
        <f t="shared" si="9"/>
        <v>81032.990000000005</v>
      </c>
      <c r="E55" s="68">
        <f t="shared" si="10"/>
        <v>880.01</v>
      </c>
      <c r="F55" s="47">
        <f t="shared" si="11"/>
        <v>162463.64000000013</v>
      </c>
      <c r="G55" s="47">
        <f t="shared" si="12"/>
        <v>81430.650000000125</v>
      </c>
    </row>
    <row r="56" spans="1:7" x14ac:dyDescent="0.25">
      <c r="A56" s="36">
        <v>44466</v>
      </c>
      <c r="B56" s="46">
        <f t="shared" si="2"/>
        <v>14</v>
      </c>
      <c r="C56" s="47">
        <f t="shared" si="13"/>
        <v>81913</v>
      </c>
      <c r="D56" s="48">
        <f t="shared" si="9"/>
        <v>81430.650000000125</v>
      </c>
      <c r="E56" s="68">
        <v>482.34999999988008</v>
      </c>
      <c r="F56" s="47">
        <f t="shared" si="11"/>
        <v>81430.650000000125</v>
      </c>
      <c r="G56" s="47">
        <f t="shared" si="12"/>
        <v>0</v>
      </c>
    </row>
  </sheetData>
  <pageMargins left="0.7" right="0.7" top="0.75" bottom="0.75" header="0.3" footer="0.3"/>
  <pageSetup orientation="portrait" r:id="rId1"/>
</worksheet>
</file>

<file path=xl/worksheets/sheet1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3F6167-44F3-4025-A848-8CF254B1F947}">
  <dimension ref="A1:AA3"/>
  <sheetViews>
    <sheetView workbookViewId="0">
      <selection activeCell="AA2" sqref="AA2:A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5" width="17" bestFit="1" customWidth="1"/>
    <col min="26" max="26" width="16.85546875" bestFit="1" customWidth="1"/>
    <col min="27" max="27" width="95.285156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87" t="s">
        <v>0</v>
      </c>
      <c r="B2" s="188" t="s">
        <v>9</v>
      </c>
      <c r="C2" s="188" t="s">
        <v>371</v>
      </c>
      <c r="D2" s="188" t="s">
        <v>71</v>
      </c>
      <c r="E2" s="188" t="s">
        <v>23</v>
      </c>
      <c r="F2" s="188" t="s">
        <v>274</v>
      </c>
      <c r="G2" s="188" t="s">
        <v>411</v>
      </c>
      <c r="H2" s="188" t="s">
        <v>84</v>
      </c>
      <c r="I2" s="189" t="s">
        <v>0</v>
      </c>
      <c r="J2" s="188" t="s">
        <v>42</v>
      </c>
      <c r="K2" s="188" t="s">
        <v>25</v>
      </c>
      <c r="L2" s="188" t="s">
        <v>412</v>
      </c>
      <c r="M2" s="188" t="s">
        <v>27</v>
      </c>
      <c r="N2" s="188" t="s">
        <v>29</v>
      </c>
      <c r="O2" s="197" t="s">
        <v>414</v>
      </c>
      <c r="P2" s="93" t="s">
        <v>45</v>
      </c>
      <c r="Q2" s="153" t="s">
        <v>374</v>
      </c>
      <c r="R2" s="153" t="s">
        <v>415</v>
      </c>
      <c r="S2" s="93" t="s">
        <v>21</v>
      </c>
      <c r="T2" s="153" t="s">
        <v>79</v>
      </c>
      <c r="U2" s="153" t="s">
        <v>416</v>
      </c>
      <c r="V2" s="93" t="s">
        <v>104</v>
      </c>
      <c r="W2" s="153" t="s">
        <v>417</v>
      </c>
      <c r="X2" s="198" t="s">
        <v>418</v>
      </c>
      <c r="Y2" s="93" t="s">
        <v>141</v>
      </c>
      <c r="Z2" s="153" t="s">
        <v>419</v>
      </c>
      <c r="AA2" s="93" t="s">
        <v>413</v>
      </c>
    </row>
    <row r="3" spans="1:27" x14ac:dyDescent="0.25">
      <c r="A3" s="187" t="s">
        <v>0</v>
      </c>
      <c r="B3" s="188" t="s">
        <v>9</v>
      </c>
      <c r="C3" s="188" t="s">
        <v>371</v>
      </c>
      <c r="D3" s="188" t="s">
        <v>71</v>
      </c>
      <c r="E3" s="188" t="s">
        <v>23</v>
      </c>
      <c r="F3" s="188" t="s">
        <v>274</v>
      </c>
      <c r="G3" s="188" t="s">
        <v>411</v>
      </c>
      <c r="H3" s="188" t="s">
        <v>84</v>
      </c>
      <c r="I3" s="189" t="s">
        <v>0</v>
      </c>
      <c r="J3" s="188" t="s">
        <v>42</v>
      </c>
      <c r="K3" s="188" t="s">
        <v>31</v>
      </c>
      <c r="L3" s="188" t="s">
        <v>412</v>
      </c>
      <c r="M3" s="188" t="s">
        <v>27</v>
      </c>
      <c r="N3" s="188" t="s">
        <v>29</v>
      </c>
      <c r="O3" s="197" t="s">
        <v>414</v>
      </c>
      <c r="P3" s="93" t="s">
        <v>45</v>
      </c>
      <c r="Q3" s="153" t="s">
        <v>374</v>
      </c>
      <c r="R3" s="153" t="s">
        <v>415</v>
      </c>
      <c r="S3" s="93" t="s">
        <v>21</v>
      </c>
      <c r="T3" s="153" t="s">
        <v>79</v>
      </c>
      <c r="U3" s="153" t="s">
        <v>416</v>
      </c>
      <c r="V3" s="93" t="s">
        <v>104</v>
      </c>
      <c r="W3" s="153" t="s">
        <v>417</v>
      </c>
      <c r="X3" s="198" t="s">
        <v>418</v>
      </c>
      <c r="Y3" s="93" t="s">
        <v>141</v>
      </c>
      <c r="Z3" s="153" t="s">
        <v>419</v>
      </c>
      <c r="AA3" s="93" t="s">
        <v>425</v>
      </c>
    </row>
  </sheetData>
  <pageMargins left="0.7" right="0.7" top="0.75" bottom="0.75" header="0.3" footer="0.3"/>
</worksheet>
</file>

<file path=xl/worksheets/sheet1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EDFB09-8AF1-4716-9DD0-6B771B18AE7C}">
  <dimension ref="A1:N24"/>
  <sheetViews>
    <sheetView zoomScale="80" zoomScaleNormal="80" workbookViewId="0">
      <pane ySplit="3" topLeftCell="A4" activePane="bottomLeft" state="frozen"/>
      <selection activeCell="C24" sqref="C24"/>
      <selection pane="bottomLeft" activeCell="C24" sqref="C24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9.140625" bestFit="1" customWidth="1"/>
    <col min="10" max="10" width="10.28515625" bestFit="1" customWidth="1"/>
    <col min="11" max="11" width="17.42578125" bestFit="1" customWidth="1"/>
    <col min="12" max="12" width="7" bestFit="1" customWidth="1"/>
    <col min="13" max="13" width="11.28515625" bestFit="1" customWidth="1"/>
    <col min="14" max="14" width="13.5703125" bestFit="1" customWidth="1"/>
  </cols>
  <sheetData>
    <row r="1" spans="1:14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327</v>
      </c>
      <c r="G1" s="132" t="s">
        <v>346</v>
      </c>
      <c r="H1" s="190" t="s">
        <v>149</v>
      </c>
      <c r="I1" s="132" t="s">
        <v>359</v>
      </c>
      <c r="J1" s="192" t="s">
        <v>420</v>
      </c>
      <c r="K1" s="191" t="s">
        <v>126</v>
      </c>
      <c r="L1" s="192" t="s">
        <v>421</v>
      </c>
      <c r="M1" s="163" t="s">
        <v>420</v>
      </c>
      <c r="N1" s="163" t="s">
        <v>177</v>
      </c>
    </row>
    <row r="2" spans="1:14" x14ac:dyDescent="0.25">
      <c r="A2" s="75" t="s">
        <v>34</v>
      </c>
      <c r="B2" s="76">
        <v>0.15</v>
      </c>
      <c r="C2" s="17">
        <f>ROUNDUP(398606.084444445,0)</f>
        <v>398607</v>
      </c>
      <c r="D2" s="125">
        <v>44411</v>
      </c>
      <c r="E2" s="124">
        <f>ROUNDUP(386866.113333333,0)</f>
        <v>386867</v>
      </c>
      <c r="F2" s="184">
        <v>56000</v>
      </c>
      <c r="G2" s="134">
        <v>44776</v>
      </c>
      <c r="H2" s="190">
        <f>ROUNDUP(452451.8325,0)</f>
        <v>452452</v>
      </c>
      <c r="I2" s="180">
        <v>0.2</v>
      </c>
      <c r="J2" s="194">
        <v>45507</v>
      </c>
      <c r="K2" s="191">
        <f>ROUNDUP(417430.579285714,0)</f>
        <v>417431</v>
      </c>
      <c r="L2" s="193">
        <v>11</v>
      </c>
      <c r="M2" s="195" t="s">
        <v>418</v>
      </c>
      <c r="N2" s="196">
        <v>700000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4" x14ac:dyDescent="0.25">
      <c r="A4" s="54">
        <v>44046</v>
      </c>
      <c r="B4" s="46">
        <f>A4-B1</f>
        <v>1</v>
      </c>
      <c r="C4" s="47">
        <v>0</v>
      </c>
      <c r="D4" s="48">
        <v>0</v>
      </c>
      <c r="E4" s="68">
        <f>ROUNDUP(F4*$B$2*B4/365,0)</f>
        <v>822</v>
      </c>
      <c r="F4" s="47">
        <v>2000000</v>
      </c>
      <c r="G4" s="47">
        <f t="shared" ref="G4:G5" si="0">F4-D4</f>
        <v>2000000</v>
      </c>
    </row>
    <row r="5" spans="1:14" x14ac:dyDescent="0.25">
      <c r="A5" s="54">
        <v>44411</v>
      </c>
      <c r="B5" s="46">
        <f>A5-A4</f>
        <v>365</v>
      </c>
      <c r="C5" s="47">
        <f t="shared" ref="C5:C15" si="1">$C$2</f>
        <v>398607</v>
      </c>
      <c r="D5" s="48">
        <f t="shared" ref="D5" si="2">C5-E5</f>
        <v>98607</v>
      </c>
      <c r="E5" s="68">
        <f>ROUND(F5*$B$2*B5/365,2)</f>
        <v>300000</v>
      </c>
      <c r="F5" s="47">
        <f>G4</f>
        <v>2000000</v>
      </c>
      <c r="G5" s="47">
        <f t="shared" si="0"/>
        <v>1901393</v>
      </c>
    </row>
    <row r="6" spans="1:14" x14ac:dyDescent="0.25">
      <c r="A6" s="54">
        <v>44776</v>
      </c>
      <c r="B6" s="46">
        <f t="shared" ref="B6:B24" si="3">A6-A5</f>
        <v>365</v>
      </c>
      <c r="C6" s="47">
        <f t="shared" si="1"/>
        <v>398607</v>
      </c>
      <c r="D6" s="48">
        <f t="shared" ref="D6:D15" si="4">C6-E6</f>
        <v>113398.04999999999</v>
      </c>
      <c r="E6" s="68">
        <f t="shared" ref="E6:E13" si="5">ROUND(F6*$B$2*B6/365,2)</f>
        <v>285208.95</v>
      </c>
      <c r="F6" s="47">
        <f t="shared" ref="F6:F24" si="6">G5</f>
        <v>1901393</v>
      </c>
      <c r="G6" s="47">
        <f t="shared" ref="G6:G15" si="7">F6-D6</f>
        <v>1787994.95</v>
      </c>
    </row>
    <row r="7" spans="1:14" x14ac:dyDescent="0.25">
      <c r="A7" s="54">
        <v>45141</v>
      </c>
      <c r="B7" s="46">
        <f t="shared" si="3"/>
        <v>365</v>
      </c>
      <c r="C7" s="47">
        <f t="shared" si="1"/>
        <v>398607</v>
      </c>
      <c r="D7" s="48">
        <f t="shared" si="4"/>
        <v>130407.76000000001</v>
      </c>
      <c r="E7" s="68">
        <f t="shared" si="5"/>
        <v>268199.24</v>
      </c>
      <c r="F7" s="47">
        <f t="shared" si="6"/>
        <v>1787994.95</v>
      </c>
      <c r="G7" s="47">
        <f t="shared" si="7"/>
        <v>1657587.19</v>
      </c>
    </row>
    <row r="8" spans="1:14" x14ac:dyDescent="0.25">
      <c r="A8" s="54">
        <v>45507</v>
      </c>
      <c r="B8" s="46">
        <f t="shared" si="3"/>
        <v>366</v>
      </c>
      <c r="C8" s="47">
        <f t="shared" si="1"/>
        <v>398607</v>
      </c>
      <c r="D8" s="48">
        <f t="shared" si="4"/>
        <v>149287.72</v>
      </c>
      <c r="E8" s="68">
        <f t="shared" si="5"/>
        <v>249319.28</v>
      </c>
      <c r="F8" s="47">
        <f t="shared" si="6"/>
        <v>1657587.19</v>
      </c>
      <c r="G8" s="47">
        <f t="shared" si="7"/>
        <v>1508299.47</v>
      </c>
    </row>
    <row r="9" spans="1:14" x14ac:dyDescent="0.25">
      <c r="A9" s="54">
        <v>45872</v>
      </c>
      <c r="B9" s="46">
        <f t="shared" si="3"/>
        <v>365</v>
      </c>
      <c r="C9" s="47">
        <f t="shared" si="1"/>
        <v>398607</v>
      </c>
      <c r="D9" s="48">
        <f t="shared" si="4"/>
        <v>172362.08</v>
      </c>
      <c r="E9" s="68">
        <f t="shared" si="5"/>
        <v>226244.92</v>
      </c>
      <c r="F9" s="47">
        <f t="shared" si="6"/>
        <v>1508299.47</v>
      </c>
      <c r="G9" s="47">
        <f t="shared" si="7"/>
        <v>1335937.3899999999</v>
      </c>
    </row>
    <row r="10" spans="1:14" x14ac:dyDescent="0.25">
      <c r="A10" s="54">
        <v>46237</v>
      </c>
      <c r="B10" s="46">
        <f t="shared" si="3"/>
        <v>365</v>
      </c>
      <c r="C10" s="47">
        <f t="shared" si="1"/>
        <v>398607</v>
      </c>
      <c r="D10" s="48">
        <f t="shared" si="4"/>
        <v>198216.39</v>
      </c>
      <c r="E10" s="68">
        <f t="shared" si="5"/>
        <v>200390.61</v>
      </c>
      <c r="F10" s="47">
        <f t="shared" si="6"/>
        <v>1335937.3899999999</v>
      </c>
      <c r="G10" s="47">
        <f t="shared" si="7"/>
        <v>1137721</v>
      </c>
    </row>
    <row r="11" spans="1:14" x14ac:dyDescent="0.25">
      <c r="A11" s="54">
        <v>46602</v>
      </c>
      <c r="B11" s="46">
        <f t="shared" si="3"/>
        <v>365</v>
      </c>
      <c r="C11" s="47">
        <f t="shared" si="1"/>
        <v>398607</v>
      </c>
      <c r="D11" s="48">
        <f t="shared" si="4"/>
        <v>227948.85</v>
      </c>
      <c r="E11" s="68">
        <f t="shared" si="5"/>
        <v>170658.15</v>
      </c>
      <c r="F11" s="47">
        <f t="shared" si="6"/>
        <v>1137721</v>
      </c>
      <c r="G11" s="47">
        <f t="shared" si="7"/>
        <v>909772.15</v>
      </c>
    </row>
    <row r="12" spans="1:14" x14ac:dyDescent="0.25">
      <c r="A12" s="54">
        <v>46968</v>
      </c>
      <c r="B12" s="46">
        <f t="shared" si="3"/>
        <v>366</v>
      </c>
      <c r="C12" s="47">
        <f t="shared" si="1"/>
        <v>398607</v>
      </c>
      <c r="D12" s="48">
        <f t="shared" si="4"/>
        <v>261767.3</v>
      </c>
      <c r="E12" s="68">
        <f t="shared" si="5"/>
        <v>136839.70000000001</v>
      </c>
      <c r="F12" s="47">
        <f t="shared" si="6"/>
        <v>909772.15</v>
      </c>
      <c r="G12" s="47">
        <f t="shared" si="7"/>
        <v>648004.85000000009</v>
      </c>
    </row>
    <row r="13" spans="1:14" x14ac:dyDescent="0.25">
      <c r="A13" s="54">
        <v>47333</v>
      </c>
      <c r="B13" s="46">
        <f t="shared" si="3"/>
        <v>365</v>
      </c>
      <c r="C13" s="47">
        <f t="shared" si="1"/>
        <v>398607</v>
      </c>
      <c r="D13" s="48">
        <f t="shared" si="4"/>
        <v>301406.27</v>
      </c>
      <c r="E13" s="68">
        <f t="shared" si="5"/>
        <v>97200.73</v>
      </c>
      <c r="F13" s="47">
        <f t="shared" si="6"/>
        <v>648004.85000000009</v>
      </c>
      <c r="G13" s="47">
        <f t="shared" si="7"/>
        <v>346598.58000000007</v>
      </c>
    </row>
    <row r="14" spans="1:14" x14ac:dyDescent="0.25">
      <c r="A14" s="54">
        <v>47698</v>
      </c>
      <c r="B14" s="46">
        <f t="shared" si="3"/>
        <v>365</v>
      </c>
      <c r="C14" s="47">
        <f t="shared" si="1"/>
        <v>398607</v>
      </c>
      <c r="D14" s="48">
        <f t="shared" si="4"/>
        <v>346598.58000000007</v>
      </c>
      <c r="E14" s="68">
        <v>52008.419999999947</v>
      </c>
      <c r="F14" s="47">
        <f t="shared" si="6"/>
        <v>346598.58000000007</v>
      </c>
      <c r="G14" s="47">
        <f t="shared" si="7"/>
        <v>0</v>
      </c>
    </row>
    <row r="15" spans="1:14" x14ac:dyDescent="0.25">
      <c r="A15" s="54">
        <v>44411</v>
      </c>
      <c r="B15" s="46">
        <f>A5-A4</f>
        <v>365</v>
      </c>
      <c r="C15" s="47">
        <f t="shared" si="1"/>
        <v>398607</v>
      </c>
      <c r="D15" s="48">
        <f t="shared" si="4"/>
        <v>98607</v>
      </c>
      <c r="E15" s="68">
        <f>ROUND(F15*$B$2*B15/365,2)</f>
        <v>300000</v>
      </c>
      <c r="F15" s="47">
        <f>G4</f>
        <v>2000000</v>
      </c>
      <c r="G15" s="47">
        <f t="shared" si="7"/>
        <v>1901393</v>
      </c>
    </row>
    <row r="16" spans="1:14" x14ac:dyDescent="0.25">
      <c r="A16" s="54">
        <v>44776</v>
      </c>
      <c r="B16" s="46">
        <f>A6-A5</f>
        <v>365</v>
      </c>
      <c r="C16" s="47">
        <f>$E$2</f>
        <v>386867</v>
      </c>
      <c r="D16" s="48">
        <f t="shared" ref="D16:D24" si="8">C16-E16</f>
        <v>110058.04999999999</v>
      </c>
      <c r="E16" s="68">
        <f t="shared" ref="E16" si="9">ROUND(F16*$B$2*B16/365,2)</f>
        <v>276808.95</v>
      </c>
      <c r="F16" s="47">
        <f>G5-F2</f>
        <v>1845393</v>
      </c>
      <c r="G16" s="47">
        <f t="shared" ref="G16:G24" si="10">F16-D16</f>
        <v>1735334.95</v>
      </c>
    </row>
    <row r="17" spans="1:7" x14ac:dyDescent="0.25">
      <c r="A17" s="54">
        <v>45141</v>
      </c>
      <c r="B17" s="46">
        <f t="shared" si="3"/>
        <v>365</v>
      </c>
      <c r="C17" s="47">
        <f>$H$2</f>
        <v>452452</v>
      </c>
      <c r="D17" s="48">
        <f t="shared" si="8"/>
        <v>105385.01000000001</v>
      </c>
      <c r="E17" s="68">
        <f>ROUND(F17*$I$2*B17/365,2)</f>
        <v>347066.99</v>
      </c>
      <c r="F17" s="47">
        <f t="shared" si="6"/>
        <v>1735334.95</v>
      </c>
      <c r="G17" s="47">
        <f t="shared" si="10"/>
        <v>1629949.94</v>
      </c>
    </row>
    <row r="18" spans="1:7" x14ac:dyDescent="0.25">
      <c r="A18" s="54">
        <v>45507</v>
      </c>
      <c r="B18" s="46">
        <f t="shared" si="3"/>
        <v>366</v>
      </c>
      <c r="C18" s="47">
        <f t="shared" ref="C18" si="11">$H$2</f>
        <v>452452</v>
      </c>
      <c r="D18" s="48">
        <f t="shared" si="8"/>
        <v>125568.89000000001</v>
      </c>
      <c r="E18" s="68">
        <f t="shared" ref="E18:E24" si="12">ROUND(F18*$I$2*B18/365,2)</f>
        <v>326883.11</v>
      </c>
      <c r="F18" s="47">
        <f t="shared" si="6"/>
        <v>1629949.94</v>
      </c>
      <c r="G18" s="47">
        <f t="shared" si="10"/>
        <v>1504381.0499999998</v>
      </c>
    </row>
    <row r="19" spans="1:7" x14ac:dyDescent="0.25">
      <c r="A19" s="54">
        <v>45872</v>
      </c>
      <c r="B19" s="46">
        <f t="shared" si="3"/>
        <v>365</v>
      </c>
      <c r="C19" s="47">
        <f>$K$2</f>
        <v>417431</v>
      </c>
      <c r="D19" s="48">
        <f t="shared" si="8"/>
        <v>116554.78999999998</v>
      </c>
      <c r="E19" s="68">
        <f t="shared" si="12"/>
        <v>300876.21000000002</v>
      </c>
      <c r="F19" s="47">
        <f t="shared" si="6"/>
        <v>1504381.0499999998</v>
      </c>
      <c r="G19" s="47">
        <f t="shared" si="10"/>
        <v>1387826.2599999998</v>
      </c>
    </row>
    <row r="20" spans="1:7" x14ac:dyDescent="0.25">
      <c r="A20" s="54">
        <v>46237</v>
      </c>
      <c r="B20" s="46">
        <f t="shared" si="3"/>
        <v>365</v>
      </c>
      <c r="C20" s="47">
        <f t="shared" ref="C20:C21" si="13">$K$2</f>
        <v>417431</v>
      </c>
      <c r="D20" s="48">
        <f t="shared" si="8"/>
        <v>139865.75</v>
      </c>
      <c r="E20" s="68">
        <f t="shared" si="12"/>
        <v>277565.25</v>
      </c>
      <c r="F20" s="47">
        <f t="shared" si="6"/>
        <v>1387826.2599999998</v>
      </c>
      <c r="G20" s="47">
        <f t="shared" si="10"/>
        <v>1247960.5099999998</v>
      </c>
    </row>
    <row r="21" spans="1:7" x14ac:dyDescent="0.25">
      <c r="A21" s="54">
        <v>46602</v>
      </c>
      <c r="B21" s="46">
        <f t="shared" si="3"/>
        <v>365</v>
      </c>
      <c r="C21" s="47">
        <f t="shared" si="13"/>
        <v>417431</v>
      </c>
      <c r="D21" s="48">
        <f t="shared" si="8"/>
        <v>167838.9</v>
      </c>
      <c r="E21" s="68">
        <f t="shared" si="12"/>
        <v>249592.1</v>
      </c>
      <c r="F21" s="47">
        <f t="shared" si="6"/>
        <v>1247960.5099999998</v>
      </c>
      <c r="G21" s="47">
        <f t="shared" si="10"/>
        <v>1080121.6099999999</v>
      </c>
    </row>
    <row r="22" spans="1:7" x14ac:dyDescent="0.25">
      <c r="A22" s="54">
        <v>46968</v>
      </c>
      <c r="B22" s="46">
        <f t="shared" si="3"/>
        <v>366</v>
      </c>
      <c r="C22" s="47">
        <f>$N$2</f>
        <v>700000</v>
      </c>
      <c r="D22" s="48">
        <f t="shared" si="8"/>
        <v>483383.82999999996</v>
      </c>
      <c r="E22" s="68">
        <f t="shared" si="12"/>
        <v>216616.17</v>
      </c>
      <c r="F22" s="47">
        <f t="shared" si="6"/>
        <v>1080121.6099999999</v>
      </c>
      <c r="G22" s="47">
        <f t="shared" si="10"/>
        <v>596737.77999999991</v>
      </c>
    </row>
    <row r="23" spans="1:7" x14ac:dyDescent="0.25">
      <c r="A23" s="54">
        <v>47333</v>
      </c>
      <c r="B23" s="46">
        <f t="shared" si="3"/>
        <v>365</v>
      </c>
      <c r="C23" s="47">
        <f>$N$2</f>
        <v>700000</v>
      </c>
      <c r="D23" s="48">
        <f t="shared" si="8"/>
        <v>580652.43999999994</v>
      </c>
      <c r="E23" s="68">
        <f t="shared" si="12"/>
        <v>119347.56</v>
      </c>
      <c r="F23" s="47">
        <f t="shared" si="6"/>
        <v>596737.77999999991</v>
      </c>
      <c r="G23" s="47">
        <f t="shared" si="10"/>
        <v>16085.339999999967</v>
      </c>
    </row>
    <row r="24" spans="1:7" x14ac:dyDescent="0.25">
      <c r="A24" s="54">
        <v>47698</v>
      </c>
      <c r="B24" s="46">
        <f t="shared" si="3"/>
        <v>365</v>
      </c>
      <c r="C24" s="47">
        <f>ROUND(G23+E24,2)</f>
        <v>19302.41</v>
      </c>
      <c r="D24" s="48">
        <f t="shared" si="8"/>
        <v>16085.34</v>
      </c>
      <c r="E24" s="68">
        <f t="shared" si="12"/>
        <v>3217.07</v>
      </c>
      <c r="F24" s="47">
        <f t="shared" si="6"/>
        <v>16085.339999999967</v>
      </c>
      <c r="G24" s="47">
        <f t="shared" si="10"/>
        <v>-3.2741809263825417E-11</v>
      </c>
    </row>
  </sheetData>
  <pageMargins left="0.7" right="0.7" top="0.75" bottom="0.75" header="0.3" footer="0.3"/>
  <pageSetup orientation="portrait" r:id="rId1"/>
</worksheet>
</file>

<file path=xl/worksheets/sheet1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35B234-4ADD-4C2E-90AC-BE7508AF5F3B}">
  <dimension ref="A1:N24"/>
  <sheetViews>
    <sheetView zoomScale="80" zoomScaleNormal="80" workbookViewId="0">
      <pane ySplit="1" topLeftCell="A2" activePane="bottomLeft" state="frozen"/>
      <selection activeCell="C24" sqref="C24"/>
      <selection pane="bottomLeft" activeCell="C24" sqref="C24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0.85546875" bestFit="1" customWidth="1"/>
    <col min="10" max="10" width="10.28515625" bestFit="1" customWidth="1"/>
    <col min="11" max="11" width="17.42578125" bestFit="1" customWidth="1"/>
    <col min="12" max="12" width="7" bestFit="1" customWidth="1"/>
    <col min="13" max="13" width="11.28515625" bestFit="1" customWidth="1"/>
    <col min="14" max="14" width="13.5703125" bestFit="1" customWidth="1"/>
  </cols>
  <sheetData>
    <row r="1" spans="1:14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327</v>
      </c>
      <c r="G1" s="132" t="s">
        <v>346</v>
      </c>
      <c r="H1" s="190" t="s">
        <v>149</v>
      </c>
      <c r="I1" s="132" t="s">
        <v>359</v>
      </c>
      <c r="J1" s="192" t="s">
        <v>420</v>
      </c>
      <c r="K1" s="191" t="s">
        <v>126</v>
      </c>
      <c r="L1" s="192" t="s">
        <v>421</v>
      </c>
      <c r="M1" s="163" t="s">
        <v>420</v>
      </c>
      <c r="N1" s="163" t="s">
        <v>177</v>
      </c>
    </row>
    <row r="2" spans="1:14" x14ac:dyDescent="0.25">
      <c r="A2" s="75" t="s">
        <v>34</v>
      </c>
      <c r="B2" s="76">
        <v>0.15</v>
      </c>
      <c r="C2" s="17">
        <f>ROUNDUP(398504.123333016,0)</f>
        <v>398505</v>
      </c>
      <c r="D2" s="125">
        <v>44411</v>
      </c>
      <c r="E2" s="124">
        <f>ROUNDUP(386767.798000001,0)</f>
        <v>386768</v>
      </c>
      <c r="F2" s="184">
        <v>56000</v>
      </c>
      <c r="G2" s="134">
        <v>44776</v>
      </c>
      <c r="H2" s="190">
        <f>ROUNDUP(452301.01,0)</f>
        <v>452302</v>
      </c>
      <c r="I2" s="180">
        <v>0.2</v>
      </c>
      <c r="J2" s="194">
        <v>45507</v>
      </c>
      <c r="K2" s="191">
        <f>ROUNDUP(417281.482918234,0)</f>
        <v>417282</v>
      </c>
      <c r="L2" s="193">
        <v>11</v>
      </c>
      <c r="M2" s="195" t="s">
        <v>418</v>
      </c>
      <c r="N2" s="196">
        <v>700000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4" x14ac:dyDescent="0.25">
      <c r="A4" s="54">
        <v>44046</v>
      </c>
      <c r="B4" s="46">
        <f>A4-B1</f>
        <v>1</v>
      </c>
      <c r="C4" s="47">
        <v>0</v>
      </c>
      <c r="D4" s="48">
        <v>0</v>
      </c>
      <c r="E4" s="68">
        <f>ROUNDUP(F4*$B$2*B4/360,0)</f>
        <v>834</v>
      </c>
      <c r="F4" s="47">
        <v>2000000</v>
      </c>
      <c r="G4" s="47">
        <f t="shared" ref="G4:G24" si="0">F4-D4</f>
        <v>2000000</v>
      </c>
    </row>
    <row r="5" spans="1:14" x14ac:dyDescent="0.25">
      <c r="A5" s="54">
        <v>44411</v>
      </c>
      <c r="B5" s="46">
        <f>DAYS360(A4,A5,TRUE)</f>
        <v>360</v>
      </c>
      <c r="C5" s="47">
        <f t="shared" ref="C5:C15" si="1">$C$2</f>
        <v>398505</v>
      </c>
      <c r="D5" s="48">
        <f t="shared" ref="D5:D16" si="2">C5-E5</f>
        <v>98505</v>
      </c>
      <c r="E5" s="68">
        <f t="shared" ref="E5:E13" si="3">ROUND(F5*$B$2*B5/360,2)</f>
        <v>300000</v>
      </c>
      <c r="F5" s="47">
        <f>G4</f>
        <v>2000000</v>
      </c>
      <c r="G5" s="47">
        <f t="shared" si="0"/>
        <v>1901495</v>
      </c>
    </row>
    <row r="6" spans="1:14" x14ac:dyDescent="0.25">
      <c r="A6" s="54">
        <v>44776</v>
      </c>
      <c r="B6" s="46">
        <f t="shared" ref="B6:B24" si="4">DAYS360(A5,A6,TRUE)</f>
        <v>360</v>
      </c>
      <c r="C6" s="47">
        <f t="shared" si="1"/>
        <v>398505</v>
      </c>
      <c r="D6" s="48">
        <f t="shared" si="2"/>
        <v>113280.75</v>
      </c>
      <c r="E6" s="68">
        <f t="shared" si="3"/>
        <v>285224.25</v>
      </c>
      <c r="F6" s="47">
        <f t="shared" ref="F6:F24" si="5">G5</f>
        <v>1901495</v>
      </c>
      <c r="G6" s="47">
        <f t="shared" si="0"/>
        <v>1788214.25</v>
      </c>
    </row>
    <row r="7" spans="1:14" x14ac:dyDescent="0.25">
      <c r="A7" s="54">
        <v>45141</v>
      </c>
      <c r="B7" s="46">
        <f t="shared" si="4"/>
        <v>360</v>
      </c>
      <c r="C7" s="47">
        <f t="shared" si="1"/>
        <v>398505</v>
      </c>
      <c r="D7" s="48">
        <f t="shared" si="2"/>
        <v>130272.85999999999</v>
      </c>
      <c r="E7" s="68">
        <f t="shared" si="3"/>
        <v>268232.14</v>
      </c>
      <c r="F7" s="47">
        <f t="shared" si="5"/>
        <v>1788214.25</v>
      </c>
      <c r="G7" s="47">
        <f t="shared" si="0"/>
        <v>1657941.3900000001</v>
      </c>
    </row>
    <row r="8" spans="1:14" x14ac:dyDescent="0.25">
      <c r="A8" s="54">
        <v>45507</v>
      </c>
      <c r="B8" s="46">
        <f t="shared" si="4"/>
        <v>360</v>
      </c>
      <c r="C8" s="47">
        <f t="shared" si="1"/>
        <v>398505</v>
      </c>
      <c r="D8" s="48">
        <f t="shared" si="2"/>
        <v>149813.79</v>
      </c>
      <c r="E8" s="68">
        <f t="shared" si="3"/>
        <v>248691.21</v>
      </c>
      <c r="F8" s="47">
        <f t="shared" si="5"/>
        <v>1657941.3900000001</v>
      </c>
      <c r="G8" s="47">
        <f t="shared" si="0"/>
        <v>1508127.6</v>
      </c>
    </row>
    <row r="9" spans="1:14" x14ac:dyDescent="0.25">
      <c r="A9" s="54">
        <v>45872</v>
      </c>
      <c r="B9" s="46">
        <f t="shared" si="4"/>
        <v>360</v>
      </c>
      <c r="C9" s="47">
        <f t="shared" si="1"/>
        <v>398505</v>
      </c>
      <c r="D9" s="48">
        <f t="shared" si="2"/>
        <v>172285.86</v>
      </c>
      <c r="E9" s="68">
        <f t="shared" si="3"/>
        <v>226219.14</v>
      </c>
      <c r="F9" s="47">
        <f t="shared" si="5"/>
        <v>1508127.6</v>
      </c>
      <c r="G9" s="47">
        <f t="shared" si="0"/>
        <v>1335841.7400000002</v>
      </c>
    </row>
    <row r="10" spans="1:14" x14ac:dyDescent="0.25">
      <c r="A10" s="54">
        <v>46237</v>
      </c>
      <c r="B10" s="46">
        <f t="shared" si="4"/>
        <v>360</v>
      </c>
      <c r="C10" s="47">
        <f t="shared" si="1"/>
        <v>398505</v>
      </c>
      <c r="D10" s="48">
        <f t="shared" si="2"/>
        <v>198128.74</v>
      </c>
      <c r="E10" s="68">
        <f t="shared" si="3"/>
        <v>200376.26</v>
      </c>
      <c r="F10" s="47">
        <f t="shared" si="5"/>
        <v>1335841.7400000002</v>
      </c>
      <c r="G10" s="47">
        <f t="shared" si="0"/>
        <v>1137713.0000000002</v>
      </c>
    </row>
    <row r="11" spans="1:14" x14ac:dyDescent="0.25">
      <c r="A11" s="54">
        <v>46602</v>
      </c>
      <c r="B11" s="46">
        <f t="shared" si="4"/>
        <v>360</v>
      </c>
      <c r="C11" s="47">
        <f t="shared" si="1"/>
        <v>398505</v>
      </c>
      <c r="D11" s="48">
        <f t="shared" si="2"/>
        <v>227848.05</v>
      </c>
      <c r="E11" s="68">
        <f t="shared" si="3"/>
        <v>170656.95</v>
      </c>
      <c r="F11" s="47">
        <f t="shared" si="5"/>
        <v>1137713.0000000002</v>
      </c>
      <c r="G11" s="47">
        <f t="shared" si="0"/>
        <v>909864.95000000019</v>
      </c>
    </row>
    <row r="12" spans="1:14" x14ac:dyDescent="0.25">
      <c r="A12" s="54">
        <v>46968</v>
      </c>
      <c r="B12" s="46">
        <f t="shared" si="4"/>
        <v>360</v>
      </c>
      <c r="C12" s="47">
        <f t="shared" si="1"/>
        <v>398505</v>
      </c>
      <c r="D12" s="48">
        <f t="shared" si="2"/>
        <v>262025.26</v>
      </c>
      <c r="E12" s="68">
        <f t="shared" si="3"/>
        <v>136479.74</v>
      </c>
      <c r="F12" s="47">
        <f t="shared" si="5"/>
        <v>909864.95000000019</v>
      </c>
      <c r="G12" s="47">
        <f t="shared" si="0"/>
        <v>647839.69000000018</v>
      </c>
    </row>
    <row r="13" spans="1:14" x14ac:dyDescent="0.25">
      <c r="A13" s="54">
        <v>47333</v>
      </c>
      <c r="B13" s="46">
        <f t="shared" si="4"/>
        <v>360</v>
      </c>
      <c r="C13" s="47">
        <f t="shared" si="1"/>
        <v>398505</v>
      </c>
      <c r="D13" s="48">
        <f t="shared" si="2"/>
        <v>301329.05</v>
      </c>
      <c r="E13" s="68">
        <f t="shared" si="3"/>
        <v>97175.95</v>
      </c>
      <c r="F13" s="47">
        <f t="shared" si="5"/>
        <v>647839.69000000018</v>
      </c>
      <c r="G13" s="47">
        <f t="shared" si="0"/>
        <v>346510.64000000019</v>
      </c>
    </row>
    <row r="14" spans="1:14" x14ac:dyDescent="0.25">
      <c r="A14" s="54">
        <v>47698</v>
      </c>
      <c r="B14" s="46">
        <f t="shared" si="4"/>
        <v>360</v>
      </c>
      <c r="C14" s="47">
        <f t="shared" si="1"/>
        <v>398505</v>
      </c>
      <c r="D14" s="48">
        <f t="shared" si="2"/>
        <v>346510.64000000019</v>
      </c>
      <c r="E14" s="68">
        <v>51994.359999999833</v>
      </c>
      <c r="F14" s="47">
        <f t="shared" si="5"/>
        <v>346510.64000000019</v>
      </c>
      <c r="G14" s="47">
        <f t="shared" si="0"/>
        <v>0</v>
      </c>
    </row>
    <row r="15" spans="1:14" x14ac:dyDescent="0.25">
      <c r="A15" s="54">
        <v>44411</v>
      </c>
      <c r="B15" s="46">
        <f>DAYS360(A4,A5,TRUE)</f>
        <v>360</v>
      </c>
      <c r="C15" s="47">
        <f t="shared" si="1"/>
        <v>398505</v>
      </c>
      <c r="D15" s="48">
        <f t="shared" si="2"/>
        <v>98505</v>
      </c>
      <c r="E15" s="68">
        <f>ROUND(F15*$B$2*B15/360,2)</f>
        <v>300000</v>
      </c>
      <c r="F15" s="47">
        <f>G4</f>
        <v>2000000</v>
      </c>
      <c r="G15" s="47">
        <f t="shared" si="0"/>
        <v>1901495</v>
      </c>
    </row>
    <row r="16" spans="1:14" x14ac:dyDescent="0.25">
      <c r="A16" s="54">
        <v>44776</v>
      </c>
      <c r="B16" s="46">
        <f t="shared" si="4"/>
        <v>360</v>
      </c>
      <c r="C16" s="47">
        <f>$E$2</f>
        <v>386768</v>
      </c>
      <c r="D16" s="48">
        <f t="shared" si="2"/>
        <v>109943.75</v>
      </c>
      <c r="E16" s="68">
        <f>ROUND(F16*$B$2*B16/360,2)</f>
        <v>276824.25</v>
      </c>
      <c r="F16" s="47">
        <f>G5-F2</f>
        <v>1845495</v>
      </c>
      <c r="G16" s="47">
        <f t="shared" si="0"/>
        <v>1735551.25</v>
      </c>
    </row>
    <row r="17" spans="1:7" x14ac:dyDescent="0.25">
      <c r="A17" s="54">
        <v>45141</v>
      </c>
      <c r="B17" s="46">
        <f t="shared" si="4"/>
        <v>360</v>
      </c>
      <c r="C17" s="47">
        <f>$H$2</f>
        <v>452302</v>
      </c>
      <c r="D17" s="48">
        <f t="shared" ref="D17:D24" si="6">C17-E17</f>
        <v>105191.75</v>
      </c>
      <c r="E17" s="68">
        <f>ROUND(F17*$I$2*B17/360,2)</f>
        <v>347110.25</v>
      </c>
      <c r="F17" s="47">
        <f t="shared" si="5"/>
        <v>1735551.25</v>
      </c>
      <c r="G17" s="47">
        <f t="shared" si="0"/>
        <v>1630359.5</v>
      </c>
    </row>
    <row r="18" spans="1:7" x14ac:dyDescent="0.25">
      <c r="A18" s="54">
        <v>45507</v>
      </c>
      <c r="B18" s="46">
        <f t="shared" si="4"/>
        <v>360</v>
      </c>
      <c r="C18" s="47">
        <f t="shared" ref="C18" si="7">$H$2</f>
        <v>452302</v>
      </c>
      <c r="D18" s="48">
        <f t="shared" si="6"/>
        <v>126230.09999999998</v>
      </c>
      <c r="E18" s="68">
        <f t="shared" ref="E18:E24" si="8">ROUND(F18*$I$2*B18/360,2)</f>
        <v>326071.90000000002</v>
      </c>
      <c r="F18" s="47">
        <f t="shared" si="5"/>
        <v>1630359.5</v>
      </c>
      <c r="G18" s="47">
        <f t="shared" si="0"/>
        <v>1504129.4</v>
      </c>
    </row>
    <row r="19" spans="1:7" x14ac:dyDescent="0.25">
      <c r="A19" s="54">
        <v>45872</v>
      </c>
      <c r="B19" s="46">
        <f t="shared" si="4"/>
        <v>360</v>
      </c>
      <c r="C19" s="47">
        <f>$K$2</f>
        <v>417282</v>
      </c>
      <c r="D19" s="48">
        <f t="shared" si="6"/>
        <v>116456.12</v>
      </c>
      <c r="E19" s="68">
        <f t="shared" si="8"/>
        <v>300825.88</v>
      </c>
      <c r="F19" s="47">
        <f t="shared" si="5"/>
        <v>1504129.4</v>
      </c>
      <c r="G19" s="47">
        <f t="shared" si="0"/>
        <v>1387673.2799999998</v>
      </c>
    </row>
    <row r="20" spans="1:7" x14ac:dyDescent="0.25">
      <c r="A20" s="54">
        <v>46237</v>
      </c>
      <c r="B20" s="46">
        <f t="shared" si="4"/>
        <v>360</v>
      </c>
      <c r="C20" s="47">
        <f t="shared" ref="C20:C21" si="9">$K$2</f>
        <v>417282</v>
      </c>
      <c r="D20" s="48">
        <f t="shared" si="6"/>
        <v>139747.34000000003</v>
      </c>
      <c r="E20" s="68">
        <f t="shared" si="8"/>
        <v>277534.65999999997</v>
      </c>
      <c r="F20" s="47">
        <f t="shared" si="5"/>
        <v>1387673.2799999998</v>
      </c>
      <c r="G20" s="47">
        <f t="shared" si="0"/>
        <v>1247925.9399999997</v>
      </c>
    </row>
    <row r="21" spans="1:7" x14ac:dyDescent="0.25">
      <c r="A21" s="54">
        <v>46602</v>
      </c>
      <c r="B21" s="46">
        <f t="shared" si="4"/>
        <v>360</v>
      </c>
      <c r="C21" s="47">
        <f t="shared" si="9"/>
        <v>417282</v>
      </c>
      <c r="D21" s="48">
        <f t="shared" si="6"/>
        <v>167696.81</v>
      </c>
      <c r="E21" s="68">
        <f t="shared" si="8"/>
        <v>249585.19</v>
      </c>
      <c r="F21" s="47">
        <f t="shared" si="5"/>
        <v>1247925.9399999997</v>
      </c>
      <c r="G21" s="47">
        <f t="shared" si="0"/>
        <v>1080229.1299999997</v>
      </c>
    </row>
    <row r="22" spans="1:7" x14ac:dyDescent="0.25">
      <c r="A22" s="54">
        <v>46968</v>
      </c>
      <c r="B22" s="46">
        <f t="shared" si="4"/>
        <v>360</v>
      </c>
      <c r="C22" s="47">
        <f>$N$2</f>
        <v>700000</v>
      </c>
      <c r="D22" s="48">
        <f t="shared" si="6"/>
        <v>483954.17000000004</v>
      </c>
      <c r="E22" s="68">
        <f t="shared" si="8"/>
        <v>216045.83</v>
      </c>
      <c r="F22" s="47">
        <f t="shared" si="5"/>
        <v>1080229.1299999997</v>
      </c>
      <c r="G22" s="47">
        <f t="shared" si="0"/>
        <v>596274.95999999961</v>
      </c>
    </row>
    <row r="23" spans="1:7" x14ac:dyDescent="0.25">
      <c r="A23" s="54">
        <v>47333</v>
      </c>
      <c r="B23" s="46">
        <f t="shared" si="4"/>
        <v>360</v>
      </c>
      <c r="C23" s="47">
        <f t="shared" ref="C23" si="10">$N$2</f>
        <v>700000</v>
      </c>
      <c r="D23" s="48">
        <f t="shared" si="6"/>
        <v>580745.01</v>
      </c>
      <c r="E23" s="68">
        <f t="shared" si="8"/>
        <v>119254.99</v>
      </c>
      <c r="F23" s="47">
        <f t="shared" si="5"/>
        <v>596274.95999999961</v>
      </c>
      <c r="G23" s="47">
        <f t="shared" si="0"/>
        <v>15529.949999999604</v>
      </c>
    </row>
    <row r="24" spans="1:7" x14ac:dyDescent="0.25">
      <c r="A24" s="54">
        <v>47698</v>
      </c>
      <c r="B24" s="46">
        <f t="shared" si="4"/>
        <v>360</v>
      </c>
      <c r="C24" s="47">
        <f>ROUND(G23+E24,2)</f>
        <v>18635.939999999999</v>
      </c>
      <c r="D24" s="48">
        <f t="shared" si="6"/>
        <v>15529.949999999999</v>
      </c>
      <c r="E24" s="68">
        <f t="shared" si="8"/>
        <v>3105.99</v>
      </c>
      <c r="F24" s="47">
        <f t="shared" si="5"/>
        <v>15529.949999999604</v>
      </c>
      <c r="G24" s="47">
        <f t="shared" si="0"/>
        <v>-3.9472070056945086E-10</v>
      </c>
    </row>
  </sheetData>
  <pageMargins left="0.7" right="0.7" top="0.75" bottom="0.75" header="0.3" footer="0.3"/>
  <pageSetup orientation="portrait" r:id="rId1"/>
</worksheet>
</file>

<file path=xl/worksheets/sheet1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78B102-0153-4B2B-89A4-7E64D22C88DC}">
  <dimension ref="A1:AA3"/>
  <sheetViews>
    <sheetView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5" width="17" bestFit="1" customWidth="1"/>
    <col min="26" max="26" width="16.85546875" bestFit="1" customWidth="1"/>
    <col min="27" max="27" width="55.57031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99" t="s">
        <v>0</v>
      </c>
      <c r="B2" s="200" t="s">
        <v>9</v>
      </c>
      <c r="C2" s="200" t="s">
        <v>371</v>
      </c>
      <c r="D2" s="200" t="s">
        <v>71</v>
      </c>
      <c r="E2" s="200" t="s">
        <v>23</v>
      </c>
      <c r="F2" s="200" t="s">
        <v>274</v>
      </c>
      <c r="G2" s="200" t="s">
        <v>411</v>
      </c>
      <c r="H2" s="200" t="s">
        <v>105</v>
      </c>
      <c r="I2" s="201" t="s">
        <v>0</v>
      </c>
      <c r="J2" s="200" t="s">
        <v>42</v>
      </c>
      <c r="K2" s="200" t="s">
        <v>25</v>
      </c>
      <c r="L2" s="200" t="s">
        <v>422</v>
      </c>
      <c r="M2" s="200" t="s">
        <v>27</v>
      </c>
      <c r="N2" s="200" t="s">
        <v>29</v>
      </c>
      <c r="O2" s="202" t="s">
        <v>414</v>
      </c>
      <c r="P2" s="203" t="s">
        <v>45</v>
      </c>
      <c r="Q2" s="204" t="s">
        <v>374</v>
      </c>
      <c r="R2" s="204" t="s">
        <v>415</v>
      </c>
      <c r="S2" s="203" t="s">
        <v>21</v>
      </c>
      <c r="T2" s="204" t="s">
        <v>79</v>
      </c>
      <c r="U2" s="204" t="s">
        <v>416</v>
      </c>
      <c r="V2" s="203" t="s">
        <v>104</v>
      </c>
      <c r="W2" s="204" t="s">
        <v>427</v>
      </c>
      <c r="X2" s="202" t="s">
        <v>426</v>
      </c>
      <c r="Y2" s="203" t="s">
        <v>141</v>
      </c>
      <c r="Z2" s="204" t="s">
        <v>428</v>
      </c>
      <c r="AA2" s="203" t="s">
        <v>423</v>
      </c>
    </row>
    <row r="3" spans="1:27" x14ac:dyDescent="0.25">
      <c r="A3" s="187" t="s">
        <v>0</v>
      </c>
      <c r="B3" s="188" t="s">
        <v>9</v>
      </c>
      <c r="C3" s="188" t="s">
        <v>371</v>
      </c>
      <c r="D3" s="188" t="s">
        <v>71</v>
      </c>
      <c r="E3" s="188" t="s">
        <v>23</v>
      </c>
      <c r="F3" s="188" t="s">
        <v>274</v>
      </c>
      <c r="G3" s="188" t="s">
        <v>411</v>
      </c>
      <c r="H3" s="188" t="s">
        <v>105</v>
      </c>
      <c r="I3" s="189" t="s">
        <v>0</v>
      </c>
      <c r="J3" s="188" t="s">
        <v>42</v>
      </c>
      <c r="K3" s="188" t="s">
        <v>31</v>
      </c>
      <c r="L3" s="188" t="s">
        <v>422</v>
      </c>
      <c r="M3" s="188" t="s">
        <v>27</v>
      </c>
      <c r="N3" s="188" t="s">
        <v>29</v>
      </c>
      <c r="O3" s="197" t="s">
        <v>414</v>
      </c>
      <c r="P3" s="93" t="s">
        <v>45</v>
      </c>
      <c r="Q3" s="153" t="s">
        <v>374</v>
      </c>
      <c r="R3" s="153" t="s">
        <v>415</v>
      </c>
      <c r="S3" s="93" t="s">
        <v>21</v>
      </c>
      <c r="T3" s="153" t="s">
        <v>79</v>
      </c>
      <c r="U3" s="153" t="s">
        <v>416</v>
      </c>
      <c r="V3" s="93" t="s">
        <v>104</v>
      </c>
      <c r="W3" s="153" t="s">
        <v>427</v>
      </c>
      <c r="X3" s="198" t="s">
        <v>426</v>
      </c>
      <c r="Y3" s="93" t="s">
        <v>141</v>
      </c>
      <c r="Z3" s="153" t="s">
        <v>428</v>
      </c>
      <c r="AA3" s="93" t="s">
        <v>424</v>
      </c>
    </row>
  </sheetData>
  <pageMargins left="0.7" right="0.7" top="0.75" bottom="0.75" header="0.3" footer="0.3"/>
</worksheet>
</file>

<file path=xl/worksheets/sheet1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9D5A2B-CA08-4ADA-968A-3CCFE1524BE1}">
  <dimension ref="A1:N51"/>
  <sheetViews>
    <sheetView zoomScale="80" zoomScaleNormal="80" workbookViewId="0">
      <pane ySplit="3" topLeftCell="A26" activePane="bottomLeft" state="frozen"/>
      <selection activeCell="C51" sqref="C51"/>
      <selection pane="bottomLeft" activeCell="C51" sqref="C5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9.140625" bestFit="1" customWidth="1"/>
    <col min="10" max="10" width="10.28515625" bestFit="1" customWidth="1"/>
    <col min="11" max="11" width="17.42578125" bestFit="1" customWidth="1"/>
    <col min="12" max="12" width="7" bestFit="1" customWidth="1"/>
    <col min="13" max="13" width="11.28515625" bestFit="1" customWidth="1"/>
    <col min="14" max="14" width="13.5703125" bestFit="1" customWidth="1"/>
  </cols>
  <sheetData>
    <row r="1" spans="1:14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327</v>
      </c>
      <c r="G1" s="132" t="s">
        <v>346</v>
      </c>
      <c r="H1" s="190" t="s">
        <v>149</v>
      </c>
      <c r="I1" s="132" t="s">
        <v>359</v>
      </c>
      <c r="J1" s="192" t="s">
        <v>420</v>
      </c>
      <c r="K1" s="191" t="s">
        <v>126</v>
      </c>
      <c r="L1" s="192" t="s">
        <v>421</v>
      </c>
      <c r="M1" s="163" t="s">
        <v>420</v>
      </c>
      <c r="N1" s="163" t="s">
        <v>177</v>
      </c>
    </row>
    <row r="2" spans="1:14" x14ac:dyDescent="0.25">
      <c r="A2" s="75" t="s">
        <v>34</v>
      </c>
      <c r="B2" s="76">
        <v>0.15</v>
      </c>
      <c r="C2" s="17">
        <f>ROUNDUP(127873.551928271,0)</f>
        <v>127874</v>
      </c>
      <c r="D2" s="125">
        <v>44411</v>
      </c>
      <c r="E2" s="124">
        <f>ROUNDUP(123842.254573255,0)</f>
        <v>123843</v>
      </c>
      <c r="F2" s="184">
        <v>56000</v>
      </c>
      <c r="G2" s="134">
        <v>44776</v>
      </c>
      <c r="H2" s="190">
        <f>ROUNDUP(135654.034375,0)</f>
        <v>135655</v>
      </c>
      <c r="I2" s="180">
        <v>0.2</v>
      </c>
      <c r="J2" s="194">
        <v>45507</v>
      </c>
      <c r="K2" s="191">
        <f>ROUNDUP(113550.222028904,0)</f>
        <v>113551</v>
      </c>
      <c r="L2" s="193">
        <v>26</v>
      </c>
      <c r="M2" s="195" t="s">
        <v>426</v>
      </c>
      <c r="N2" s="196">
        <v>200000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4" x14ac:dyDescent="0.25">
      <c r="A4" s="54">
        <v>44046</v>
      </c>
      <c r="B4" s="85">
        <f>_xlfn.DAYS(A4,B1)</f>
        <v>1</v>
      </c>
      <c r="C4" s="68">
        <v>0</v>
      </c>
      <c r="D4" s="92">
        <v>0</v>
      </c>
      <c r="E4" s="68">
        <f>ROUNDUP(F4*$B$2*B4/365,0)</f>
        <v>822</v>
      </c>
      <c r="F4" s="68">
        <v>2000000</v>
      </c>
      <c r="G4" s="68">
        <f t="shared" ref="G4:G28" si="0">F4-D4</f>
        <v>2000000</v>
      </c>
    </row>
    <row r="5" spans="1:14" x14ac:dyDescent="0.25">
      <c r="A5" s="54">
        <v>44138</v>
      </c>
      <c r="B5" s="85">
        <f>_xlfn.DAYS(A5,A4)</f>
        <v>92</v>
      </c>
      <c r="C5" s="68">
        <f>$C$2</f>
        <v>127874</v>
      </c>
      <c r="D5" s="92">
        <f t="shared" ref="D5:D28" si="1">C5-E5</f>
        <v>52257.56</v>
      </c>
      <c r="E5" s="68">
        <f>ROUND(F5*$B$2*B5/365,2)</f>
        <v>75616.44</v>
      </c>
      <c r="F5" s="68">
        <f t="shared" ref="F5:F28" si="2">G4</f>
        <v>2000000</v>
      </c>
      <c r="G5" s="68">
        <f t="shared" si="0"/>
        <v>1947742.44</v>
      </c>
    </row>
    <row r="6" spans="1:14" x14ac:dyDescent="0.25">
      <c r="A6" s="54">
        <v>44230</v>
      </c>
      <c r="B6" s="85">
        <f>_xlfn.DAYS(A6,A5)</f>
        <v>92</v>
      </c>
      <c r="C6" s="68">
        <f t="shared" ref="C6:C29" si="3">$C$2</f>
        <v>127874</v>
      </c>
      <c r="D6" s="92">
        <f t="shared" si="1"/>
        <v>54233.33</v>
      </c>
      <c r="E6" s="68">
        <f t="shared" ref="E6:E27" si="4">ROUND(F6*$B$2*B6/365,2)</f>
        <v>73640.67</v>
      </c>
      <c r="F6" s="68">
        <f t="shared" si="2"/>
        <v>1947742.44</v>
      </c>
      <c r="G6" s="68">
        <f t="shared" si="0"/>
        <v>1893509.1099999999</v>
      </c>
    </row>
    <row r="7" spans="1:14" x14ac:dyDescent="0.25">
      <c r="A7" s="54">
        <v>44319</v>
      </c>
      <c r="B7" s="85">
        <f t="shared" ref="B7:B28" si="5">_xlfn.DAYS(A7,A6)</f>
        <v>89</v>
      </c>
      <c r="C7" s="68">
        <f t="shared" si="3"/>
        <v>127874</v>
      </c>
      <c r="D7" s="92">
        <f t="shared" si="1"/>
        <v>58618.259999999995</v>
      </c>
      <c r="E7" s="68">
        <f t="shared" si="4"/>
        <v>69255.740000000005</v>
      </c>
      <c r="F7" s="68">
        <f t="shared" si="2"/>
        <v>1893509.1099999999</v>
      </c>
      <c r="G7" s="68">
        <f t="shared" si="0"/>
        <v>1834890.8499999999</v>
      </c>
    </row>
    <row r="8" spans="1:14" x14ac:dyDescent="0.25">
      <c r="A8" s="54">
        <v>44411</v>
      </c>
      <c r="B8" s="85">
        <f t="shared" si="5"/>
        <v>92</v>
      </c>
      <c r="C8" s="68">
        <f t="shared" si="3"/>
        <v>127874</v>
      </c>
      <c r="D8" s="92">
        <f t="shared" si="1"/>
        <v>58500.039999999994</v>
      </c>
      <c r="E8" s="68">
        <f t="shared" si="4"/>
        <v>69373.960000000006</v>
      </c>
      <c r="F8" s="68">
        <f t="shared" si="2"/>
        <v>1834890.8499999999</v>
      </c>
      <c r="G8" s="68">
        <f t="shared" si="0"/>
        <v>1776390.8099999998</v>
      </c>
    </row>
    <row r="9" spans="1:14" x14ac:dyDescent="0.25">
      <c r="A9" s="54">
        <v>44503</v>
      </c>
      <c r="B9" s="85">
        <f t="shared" si="5"/>
        <v>92</v>
      </c>
      <c r="C9" s="68">
        <f t="shared" si="3"/>
        <v>127874</v>
      </c>
      <c r="D9" s="92">
        <f t="shared" si="1"/>
        <v>60711.83</v>
      </c>
      <c r="E9" s="68">
        <f t="shared" si="4"/>
        <v>67162.17</v>
      </c>
      <c r="F9" s="68">
        <f t="shared" si="2"/>
        <v>1776390.8099999998</v>
      </c>
      <c r="G9" s="68">
        <f t="shared" si="0"/>
        <v>1715678.9799999997</v>
      </c>
    </row>
    <row r="10" spans="1:14" x14ac:dyDescent="0.25">
      <c r="A10" s="54">
        <v>44595</v>
      </c>
      <c r="B10" s="85">
        <f t="shared" si="5"/>
        <v>92</v>
      </c>
      <c r="C10" s="68">
        <f t="shared" si="3"/>
        <v>127874</v>
      </c>
      <c r="D10" s="92">
        <f t="shared" si="1"/>
        <v>63007.23</v>
      </c>
      <c r="E10" s="68">
        <f t="shared" si="4"/>
        <v>64866.77</v>
      </c>
      <c r="F10" s="68">
        <f t="shared" si="2"/>
        <v>1715678.9799999997</v>
      </c>
      <c r="G10" s="68">
        <f t="shared" si="0"/>
        <v>1652671.7499999998</v>
      </c>
    </row>
    <row r="11" spans="1:14" x14ac:dyDescent="0.25">
      <c r="A11" s="54">
        <v>44684</v>
      </c>
      <c r="B11" s="85">
        <f t="shared" si="5"/>
        <v>89</v>
      </c>
      <c r="C11" s="68">
        <f t="shared" si="3"/>
        <v>127874</v>
      </c>
      <c r="D11" s="92">
        <f t="shared" si="1"/>
        <v>67426.959999999992</v>
      </c>
      <c r="E11" s="68">
        <f t="shared" si="4"/>
        <v>60447.040000000001</v>
      </c>
      <c r="F11" s="68">
        <f t="shared" si="2"/>
        <v>1652671.7499999998</v>
      </c>
      <c r="G11" s="68">
        <f t="shared" si="0"/>
        <v>1585244.7899999998</v>
      </c>
    </row>
    <row r="12" spans="1:14" x14ac:dyDescent="0.25">
      <c r="A12" s="54">
        <v>44776</v>
      </c>
      <c r="B12" s="85">
        <f t="shared" si="5"/>
        <v>92</v>
      </c>
      <c r="C12" s="68">
        <f t="shared" si="3"/>
        <v>127874</v>
      </c>
      <c r="D12" s="92">
        <f t="shared" si="1"/>
        <v>67938.720000000001</v>
      </c>
      <c r="E12" s="68">
        <f t="shared" si="4"/>
        <v>59935.28</v>
      </c>
      <c r="F12" s="68">
        <f t="shared" si="2"/>
        <v>1585244.7899999998</v>
      </c>
      <c r="G12" s="68">
        <f t="shared" si="0"/>
        <v>1517306.0699999998</v>
      </c>
    </row>
    <row r="13" spans="1:14" x14ac:dyDescent="0.25">
      <c r="A13" s="54">
        <v>44868</v>
      </c>
      <c r="B13" s="85">
        <f t="shared" si="5"/>
        <v>92</v>
      </c>
      <c r="C13" s="68">
        <f t="shared" si="3"/>
        <v>127874</v>
      </c>
      <c r="D13" s="92">
        <f t="shared" si="1"/>
        <v>70507.360000000001</v>
      </c>
      <c r="E13" s="68">
        <f t="shared" si="4"/>
        <v>57366.64</v>
      </c>
      <c r="F13" s="68">
        <f t="shared" si="2"/>
        <v>1517306.0699999998</v>
      </c>
      <c r="G13" s="68">
        <f t="shared" si="0"/>
        <v>1446798.7099999997</v>
      </c>
    </row>
    <row r="14" spans="1:14" x14ac:dyDescent="0.25">
      <c r="A14" s="54">
        <v>44960</v>
      </c>
      <c r="B14" s="85">
        <f t="shared" si="5"/>
        <v>92</v>
      </c>
      <c r="C14" s="68">
        <f t="shared" si="3"/>
        <v>127874</v>
      </c>
      <c r="D14" s="92">
        <f t="shared" si="1"/>
        <v>73173.119999999995</v>
      </c>
      <c r="E14" s="68">
        <f t="shared" si="4"/>
        <v>54700.88</v>
      </c>
      <c r="F14" s="68">
        <f t="shared" si="2"/>
        <v>1446798.7099999997</v>
      </c>
      <c r="G14" s="68">
        <f t="shared" si="0"/>
        <v>1373625.5899999999</v>
      </c>
    </row>
    <row r="15" spans="1:14" x14ac:dyDescent="0.25">
      <c r="A15" s="54">
        <v>45049</v>
      </c>
      <c r="B15" s="85">
        <f t="shared" si="5"/>
        <v>89</v>
      </c>
      <c r="C15" s="68">
        <f t="shared" si="3"/>
        <v>127874</v>
      </c>
      <c r="D15" s="92">
        <f t="shared" si="1"/>
        <v>77633.17</v>
      </c>
      <c r="E15" s="68">
        <f t="shared" si="4"/>
        <v>50240.83</v>
      </c>
      <c r="F15" s="68">
        <f t="shared" si="2"/>
        <v>1373625.5899999999</v>
      </c>
      <c r="G15" s="68">
        <f t="shared" si="0"/>
        <v>1295992.42</v>
      </c>
    </row>
    <row r="16" spans="1:14" x14ac:dyDescent="0.25">
      <c r="A16" s="54">
        <v>45141</v>
      </c>
      <c r="B16" s="85">
        <f t="shared" si="5"/>
        <v>92</v>
      </c>
      <c r="C16" s="68">
        <f t="shared" si="3"/>
        <v>127874</v>
      </c>
      <c r="D16" s="92">
        <f t="shared" si="1"/>
        <v>78874.83</v>
      </c>
      <c r="E16" s="68">
        <f t="shared" si="4"/>
        <v>48999.17</v>
      </c>
      <c r="F16" s="68">
        <f t="shared" si="2"/>
        <v>1295992.42</v>
      </c>
      <c r="G16" s="68">
        <f t="shared" si="0"/>
        <v>1217117.5899999999</v>
      </c>
    </row>
    <row r="17" spans="1:7" x14ac:dyDescent="0.25">
      <c r="A17" s="54">
        <v>45233</v>
      </c>
      <c r="B17" s="85">
        <f t="shared" si="5"/>
        <v>92</v>
      </c>
      <c r="C17" s="68">
        <f t="shared" si="3"/>
        <v>127874</v>
      </c>
      <c r="D17" s="92">
        <f t="shared" si="1"/>
        <v>81856.95</v>
      </c>
      <c r="E17" s="68">
        <f t="shared" si="4"/>
        <v>46017.05</v>
      </c>
      <c r="F17" s="68">
        <f t="shared" si="2"/>
        <v>1217117.5899999999</v>
      </c>
      <c r="G17" s="68">
        <f t="shared" si="0"/>
        <v>1135260.6399999999</v>
      </c>
    </row>
    <row r="18" spans="1:7" x14ac:dyDescent="0.25">
      <c r="A18" s="54">
        <v>45325</v>
      </c>
      <c r="B18" s="85">
        <f t="shared" si="5"/>
        <v>92</v>
      </c>
      <c r="C18" s="68">
        <f t="shared" si="3"/>
        <v>127874</v>
      </c>
      <c r="D18" s="92">
        <f t="shared" si="1"/>
        <v>84951.82</v>
      </c>
      <c r="E18" s="68">
        <f t="shared" si="4"/>
        <v>42922.18</v>
      </c>
      <c r="F18" s="68">
        <f t="shared" si="2"/>
        <v>1135260.6399999999</v>
      </c>
      <c r="G18" s="68">
        <f t="shared" si="0"/>
        <v>1050308.8199999998</v>
      </c>
    </row>
    <row r="19" spans="1:7" x14ac:dyDescent="0.25">
      <c r="A19" s="54">
        <v>45415</v>
      </c>
      <c r="B19" s="85">
        <f t="shared" si="5"/>
        <v>90</v>
      </c>
      <c r="C19" s="68">
        <f t="shared" si="3"/>
        <v>127874</v>
      </c>
      <c r="D19" s="92">
        <f t="shared" si="1"/>
        <v>89026.959999999992</v>
      </c>
      <c r="E19" s="68">
        <f t="shared" si="4"/>
        <v>38847.040000000001</v>
      </c>
      <c r="F19" s="68">
        <f t="shared" si="2"/>
        <v>1050308.8199999998</v>
      </c>
      <c r="G19" s="68">
        <f t="shared" si="0"/>
        <v>961281.85999999987</v>
      </c>
    </row>
    <row r="20" spans="1:7" x14ac:dyDescent="0.25">
      <c r="A20" s="54">
        <v>45507</v>
      </c>
      <c r="B20" s="85">
        <f t="shared" si="5"/>
        <v>92</v>
      </c>
      <c r="C20" s="68">
        <f t="shared" si="3"/>
        <v>127874</v>
      </c>
      <c r="D20" s="92">
        <f t="shared" si="1"/>
        <v>91529.64</v>
      </c>
      <c r="E20" s="68">
        <f t="shared" si="4"/>
        <v>36344.36</v>
      </c>
      <c r="F20" s="68">
        <f t="shared" si="2"/>
        <v>961281.85999999987</v>
      </c>
      <c r="G20" s="68">
        <f t="shared" si="0"/>
        <v>869752.21999999986</v>
      </c>
    </row>
    <row r="21" spans="1:7" x14ac:dyDescent="0.25">
      <c r="A21" s="54">
        <v>45599</v>
      </c>
      <c r="B21" s="85">
        <f t="shared" si="5"/>
        <v>92</v>
      </c>
      <c r="C21" s="68">
        <f t="shared" si="3"/>
        <v>127874</v>
      </c>
      <c r="D21" s="92">
        <f t="shared" si="1"/>
        <v>94990.22</v>
      </c>
      <c r="E21" s="68">
        <f t="shared" si="4"/>
        <v>32883.78</v>
      </c>
      <c r="F21" s="68">
        <f t="shared" si="2"/>
        <v>869752.21999999986</v>
      </c>
      <c r="G21" s="68">
        <f t="shared" si="0"/>
        <v>774761.99999999988</v>
      </c>
    </row>
    <row r="22" spans="1:7" x14ac:dyDescent="0.25">
      <c r="A22" s="54">
        <v>45691</v>
      </c>
      <c r="B22" s="85">
        <f t="shared" si="5"/>
        <v>92</v>
      </c>
      <c r="C22" s="68">
        <f t="shared" si="3"/>
        <v>127874</v>
      </c>
      <c r="D22" s="92">
        <f t="shared" si="1"/>
        <v>98581.63</v>
      </c>
      <c r="E22" s="68">
        <f t="shared" si="4"/>
        <v>29292.37</v>
      </c>
      <c r="F22" s="68">
        <f t="shared" si="2"/>
        <v>774761.99999999988</v>
      </c>
      <c r="G22" s="68">
        <f t="shared" si="0"/>
        <v>676180.36999999988</v>
      </c>
    </row>
    <row r="23" spans="1:7" x14ac:dyDescent="0.25">
      <c r="A23" s="54">
        <v>45780</v>
      </c>
      <c r="B23" s="85">
        <f t="shared" si="5"/>
        <v>89</v>
      </c>
      <c r="C23" s="68">
        <f t="shared" si="3"/>
        <v>127874</v>
      </c>
      <c r="D23" s="92">
        <f t="shared" si="1"/>
        <v>103142.47</v>
      </c>
      <c r="E23" s="68">
        <f t="shared" si="4"/>
        <v>24731.53</v>
      </c>
      <c r="F23" s="68">
        <f t="shared" si="2"/>
        <v>676180.36999999988</v>
      </c>
      <c r="G23" s="68">
        <f t="shared" si="0"/>
        <v>573037.89999999991</v>
      </c>
    </row>
    <row r="24" spans="1:7" x14ac:dyDescent="0.25">
      <c r="A24" s="54">
        <v>45872</v>
      </c>
      <c r="B24" s="85">
        <f t="shared" si="5"/>
        <v>92</v>
      </c>
      <c r="C24" s="68">
        <f t="shared" si="3"/>
        <v>127874</v>
      </c>
      <c r="D24" s="92">
        <f t="shared" si="1"/>
        <v>106208.45999999999</v>
      </c>
      <c r="E24" s="68">
        <f t="shared" si="4"/>
        <v>21665.54</v>
      </c>
      <c r="F24" s="68">
        <f t="shared" si="2"/>
        <v>573037.89999999991</v>
      </c>
      <c r="G24" s="68">
        <f t="shared" si="0"/>
        <v>466829.43999999994</v>
      </c>
    </row>
    <row r="25" spans="1:7" x14ac:dyDescent="0.25">
      <c r="A25" s="54">
        <v>45964</v>
      </c>
      <c r="B25" s="85">
        <f t="shared" si="5"/>
        <v>92</v>
      </c>
      <c r="C25" s="68">
        <f t="shared" si="3"/>
        <v>127874</v>
      </c>
      <c r="D25" s="92">
        <f t="shared" si="1"/>
        <v>110224.01</v>
      </c>
      <c r="E25" s="68">
        <f t="shared" si="4"/>
        <v>17649.990000000002</v>
      </c>
      <c r="F25" s="68">
        <f t="shared" si="2"/>
        <v>466829.43999999994</v>
      </c>
      <c r="G25" s="68">
        <f t="shared" si="0"/>
        <v>356605.42999999993</v>
      </c>
    </row>
    <row r="26" spans="1:7" x14ac:dyDescent="0.25">
      <c r="A26" s="54">
        <v>46056</v>
      </c>
      <c r="B26" s="85">
        <f t="shared" si="5"/>
        <v>92</v>
      </c>
      <c r="C26" s="68">
        <f t="shared" si="3"/>
        <v>127874</v>
      </c>
      <c r="D26" s="92">
        <f t="shared" si="1"/>
        <v>114391.38</v>
      </c>
      <c r="E26" s="68">
        <f t="shared" si="4"/>
        <v>13482.62</v>
      </c>
      <c r="F26" s="68">
        <f t="shared" si="2"/>
        <v>356605.42999999993</v>
      </c>
      <c r="G26" s="68">
        <f t="shared" si="0"/>
        <v>242214.04999999993</v>
      </c>
    </row>
    <row r="27" spans="1:7" x14ac:dyDescent="0.25">
      <c r="A27" s="54">
        <v>46145</v>
      </c>
      <c r="B27" s="85">
        <f t="shared" si="5"/>
        <v>89</v>
      </c>
      <c r="C27" s="68">
        <f t="shared" si="3"/>
        <v>127874</v>
      </c>
      <c r="D27" s="92">
        <f t="shared" si="1"/>
        <v>119014.94</v>
      </c>
      <c r="E27" s="68">
        <f t="shared" si="4"/>
        <v>8859.06</v>
      </c>
      <c r="F27" s="68">
        <f t="shared" si="2"/>
        <v>242214.04999999993</v>
      </c>
      <c r="G27" s="68">
        <f t="shared" si="0"/>
        <v>123199.10999999993</v>
      </c>
    </row>
    <row r="28" spans="1:7" x14ac:dyDescent="0.25">
      <c r="A28" s="54">
        <v>46237</v>
      </c>
      <c r="B28" s="85">
        <f t="shared" si="5"/>
        <v>92</v>
      </c>
      <c r="C28" s="68">
        <f t="shared" si="3"/>
        <v>127874</v>
      </c>
      <c r="D28" s="92">
        <f t="shared" si="1"/>
        <v>123199.11</v>
      </c>
      <c r="E28" s="68">
        <f>4674.89</f>
        <v>4674.8900000000003</v>
      </c>
      <c r="F28" s="68">
        <f t="shared" si="2"/>
        <v>123199.10999999993</v>
      </c>
      <c r="G28" s="68">
        <f t="shared" si="0"/>
        <v>0</v>
      </c>
    </row>
    <row r="29" spans="1:7" x14ac:dyDescent="0.25">
      <c r="A29" s="70">
        <v>44411</v>
      </c>
      <c r="B29" s="84">
        <f>_xlfn.DAYS(A8,A7)</f>
        <v>92</v>
      </c>
      <c r="C29" s="90">
        <f t="shared" si="3"/>
        <v>127874</v>
      </c>
      <c r="D29" s="91">
        <f t="shared" ref="D29:D34" si="6">C29-E29</f>
        <v>58500.039999999994</v>
      </c>
      <c r="E29" s="90">
        <f t="shared" ref="E29:E32" si="7">ROUND(F29*$B$2*B29/365,2)</f>
        <v>69373.960000000006</v>
      </c>
      <c r="F29" s="90">
        <f>G7</f>
        <v>1834890.8499999999</v>
      </c>
      <c r="G29" s="90">
        <f t="shared" ref="G29:G34" si="8">F29-D29</f>
        <v>1776390.8099999998</v>
      </c>
    </row>
    <row r="30" spans="1:7" x14ac:dyDescent="0.25">
      <c r="A30" s="54">
        <v>44503</v>
      </c>
      <c r="B30" s="85">
        <f t="shared" ref="B30:B49" si="9">_xlfn.DAYS(A30,A29)</f>
        <v>92</v>
      </c>
      <c r="C30" s="68">
        <f>$E$2</f>
        <v>123843</v>
      </c>
      <c r="D30" s="92">
        <f t="shared" si="6"/>
        <v>58798.09</v>
      </c>
      <c r="E30" s="68">
        <f t="shared" si="7"/>
        <v>65044.91</v>
      </c>
      <c r="F30" s="68">
        <f>G29-F2</f>
        <v>1720390.8099999998</v>
      </c>
      <c r="G30" s="68">
        <f t="shared" si="8"/>
        <v>1661592.7199999997</v>
      </c>
    </row>
    <row r="31" spans="1:7" x14ac:dyDescent="0.25">
      <c r="A31" s="54">
        <v>44595</v>
      </c>
      <c r="B31" s="85">
        <f t="shared" si="9"/>
        <v>92</v>
      </c>
      <c r="C31" s="68">
        <f t="shared" ref="C31:C33" si="10">$E$2</f>
        <v>123843</v>
      </c>
      <c r="D31" s="92">
        <f t="shared" si="6"/>
        <v>61021.14</v>
      </c>
      <c r="E31" s="68">
        <f t="shared" si="7"/>
        <v>62821.86</v>
      </c>
      <c r="F31" s="68">
        <f t="shared" ref="F31:F34" si="11">G30</f>
        <v>1661592.7199999997</v>
      </c>
      <c r="G31" s="68">
        <f t="shared" si="8"/>
        <v>1600571.5799999998</v>
      </c>
    </row>
    <row r="32" spans="1:7" x14ac:dyDescent="0.25">
      <c r="A32" s="54">
        <v>44684</v>
      </c>
      <c r="B32" s="85">
        <f t="shared" si="9"/>
        <v>89</v>
      </c>
      <c r="C32" s="68">
        <f t="shared" si="10"/>
        <v>123843</v>
      </c>
      <c r="D32" s="92">
        <f t="shared" si="6"/>
        <v>65301.55</v>
      </c>
      <c r="E32" s="68">
        <f t="shared" si="7"/>
        <v>58541.45</v>
      </c>
      <c r="F32" s="68">
        <f t="shared" si="11"/>
        <v>1600571.5799999998</v>
      </c>
      <c r="G32" s="68">
        <f t="shared" si="8"/>
        <v>1535270.0299999998</v>
      </c>
    </row>
    <row r="33" spans="1:7" x14ac:dyDescent="0.25">
      <c r="A33" s="54">
        <v>44776</v>
      </c>
      <c r="B33" s="85">
        <f t="shared" si="9"/>
        <v>92</v>
      </c>
      <c r="C33" s="68">
        <f t="shared" si="10"/>
        <v>123843</v>
      </c>
      <c r="D33" s="92">
        <f t="shared" si="6"/>
        <v>65797.17</v>
      </c>
      <c r="E33" s="68">
        <f>ROUND(F33*$B$2*B33/365,2)</f>
        <v>58045.83</v>
      </c>
      <c r="F33" s="68">
        <f t="shared" si="11"/>
        <v>1535270.0299999998</v>
      </c>
      <c r="G33" s="68">
        <f t="shared" si="8"/>
        <v>1469472.8599999999</v>
      </c>
    </row>
    <row r="34" spans="1:7" x14ac:dyDescent="0.25">
      <c r="A34" s="54">
        <v>44868</v>
      </c>
      <c r="B34" s="85">
        <f t="shared" si="9"/>
        <v>92</v>
      </c>
      <c r="C34" s="68">
        <f t="shared" ref="C34:C41" si="12">$H$2</f>
        <v>135655</v>
      </c>
      <c r="D34" s="92">
        <f t="shared" si="6"/>
        <v>61577.460000000006</v>
      </c>
      <c r="E34" s="68">
        <f t="shared" ref="E34" si="13">ROUND(F34*$I$2*B34/365,2)</f>
        <v>74077.539999999994</v>
      </c>
      <c r="F34" s="68">
        <f t="shared" si="11"/>
        <v>1469472.8599999999</v>
      </c>
      <c r="G34" s="68">
        <f t="shared" si="8"/>
        <v>1407895.4</v>
      </c>
    </row>
    <row r="35" spans="1:7" x14ac:dyDescent="0.25">
      <c r="A35" s="54">
        <v>44960</v>
      </c>
      <c r="B35" s="85">
        <f t="shared" si="9"/>
        <v>92</v>
      </c>
      <c r="C35" s="68">
        <f t="shared" si="12"/>
        <v>135655</v>
      </c>
      <c r="D35" s="92">
        <f t="shared" ref="D35:D49" si="14">C35-E35</f>
        <v>64681.64</v>
      </c>
      <c r="E35" s="68">
        <f t="shared" ref="E35:E49" si="15">ROUND(F35*$I$2*B35/365,2)</f>
        <v>70973.36</v>
      </c>
      <c r="F35" s="68">
        <f t="shared" ref="F35:F49" si="16">G34</f>
        <v>1407895.4</v>
      </c>
      <c r="G35" s="68">
        <f t="shared" ref="G35:G49" si="17">F35-D35</f>
        <v>1343213.76</v>
      </c>
    </row>
    <row r="36" spans="1:7" x14ac:dyDescent="0.25">
      <c r="A36" s="54">
        <v>45049</v>
      </c>
      <c r="B36" s="85">
        <f t="shared" si="9"/>
        <v>89</v>
      </c>
      <c r="C36" s="68">
        <f t="shared" si="12"/>
        <v>135655</v>
      </c>
      <c r="D36" s="92">
        <f t="shared" si="14"/>
        <v>70150.33</v>
      </c>
      <c r="E36" s="68">
        <f t="shared" si="15"/>
        <v>65504.67</v>
      </c>
      <c r="F36" s="68">
        <f t="shared" si="16"/>
        <v>1343213.76</v>
      </c>
      <c r="G36" s="68">
        <f t="shared" si="17"/>
        <v>1273063.43</v>
      </c>
    </row>
    <row r="37" spans="1:7" x14ac:dyDescent="0.25">
      <c r="A37" s="54">
        <v>45141</v>
      </c>
      <c r="B37" s="85">
        <f t="shared" si="9"/>
        <v>92</v>
      </c>
      <c r="C37" s="68">
        <f t="shared" si="12"/>
        <v>135655</v>
      </c>
      <c r="D37" s="92">
        <f t="shared" si="14"/>
        <v>71478.649999999994</v>
      </c>
      <c r="E37" s="68">
        <f t="shared" si="15"/>
        <v>64176.35</v>
      </c>
      <c r="F37" s="68">
        <f t="shared" si="16"/>
        <v>1273063.43</v>
      </c>
      <c r="G37" s="68">
        <f t="shared" si="17"/>
        <v>1201584.78</v>
      </c>
    </row>
    <row r="38" spans="1:7" x14ac:dyDescent="0.25">
      <c r="A38" s="54">
        <v>45233</v>
      </c>
      <c r="B38" s="85">
        <f t="shared" si="9"/>
        <v>92</v>
      </c>
      <c r="C38" s="68">
        <f t="shared" si="12"/>
        <v>135655</v>
      </c>
      <c r="D38" s="92">
        <f t="shared" si="14"/>
        <v>75081.959999999992</v>
      </c>
      <c r="E38" s="68">
        <f t="shared" si="15"/>
        <v>60573.04</v>
      </c>
      <c r="F38" s="68">
        <f t="shared" si="16"/>
        <v>1201584.78</v>
      </c>
      <c r="G38" s="68">
        <f t="shared" si="17"/>
        <v>1126502.82</v>
      </c>
    </row>
    <row r="39" spans="1:7" x14ac:dyDescent="0.25">
      <c r="A39" s="54">
        <v>45325</v>
      </c>
      <c r="B39" s="85">
        <f t="shared" si="9"/>
        <v>92</v>
      </c>
      <c r="C39" s="68">
        <f t="shared" si="12"/>
        <v>135655</v>
      </c>
      <c r="D39" s="92">
        <f t="shared" si="14"/>
        <v>78866.91</v>
      </c>
      <c r="E39" s="68">
        <f t="shared" si="15"/>
        <v>56788.09</v>
      </c>
      <c r="F39" s="68">
        <f t="shared" si="16"/>
        <v>1126502.82</v>
      </c>
      <c r="G39" s="68">
        <f t="shared" si="17"/>
        <v>1047635.91</v>
      </c>
    </row>
    <row r="40" spans="1:7" x14ac:dyDescent="0.25">
      <c r="A40" s="54">
        <v>45415</v>
      </c>
      <c r="B40" s="85">
        <f t="shared" si="9"/>
        <v>90</v>
      </c>
      <c r="C40" s="68">
        <f t="shared" si="12"/>
        <v>135655</v>
      </c>
      <c r="D40" s="92">
        <f t="shared" si="14"/>
        <v>83990.760000000009</v>
      </c>
      <c r="E40" s="68">
        <f t="shared" si="15"/>
        <v>51664.24</v>
      </c>
      <c r="F40" s="68">
        <f t="shared" si="16"/>
        <v>1047635.91</v>
      </c>
      <c r="G40" s="68">
        <f t="shared" si="17"/>
        <v>963645.15</v>
      </c>
    </row>
    <row r="41" spans="1:7" x14ac:dyDescent="0.25">
      <c r="A41" s="54">
        <v>45507</v>
      </c>
      <c r="B41" s="85">
        <f t="shared" si="9"/>
        <v>92</v>
      </c>
      <c r="C41" s="68">
        <f t="shared" si="12"/>
        <v>135655</v>
      </c>
      <c r="D41" s="92">
        <f t="shared" si="14"/>
        <v>87076.72</v>
      </c>
      <c r="E41" s="68">
        <f t="shared" si="15"/>
        <v>48578.28</v>
      </c>
      <c r="F41" s="68">
        <f t="shared" si="16"/>
        <v>963645.15</v>
      </c>
      <c r="G41" s="68">
        <f t="shared" si="17"/>
        <v>876568.43</v>
      </c>
    </row>
    <row r="42" spans="1:7" x14ac:dyDescent="0.25">
      <c r="A42" s="54">
        <v>45599</v>
      </c>
      <c r="B42" s="85">
        <f t="shared" si="9"/>
        <v>92</v>
      </c>
      <c r="C42" s="68">
        <f>$K$2</f>
        <v>113551</v>
      </c>
      <c r="D42" s="92">
        <f t="shared" si="14"/>
        <v>69362.34</v>
      </c>
      <c r="E42" s="68">
        <f t="shared" si="15"/>
        <v>44188.66</v>
      </c>
      <c r="F42" s="68">
        <f t="shared" si="16"/>
        <v>876568.43</v>
      </c>
      <c r="G42" s="68">
        <f t="shared" si="17"/>
        <v>807206.09000000008</v>
      </c>
    </row>
    <row r="43" spans="1:7" x14ac:dyDescent="0.25">
      <c r="A43" s="54">
        <v>45691</v>
      </c>
      <c r="B43" s="85">
        <f t="shared" si="9"/>
        <v>92</v>
      </c>
      <c r="C43" s="68">
        <f t="shared" ref="C43:C49" si="18">$K$2</f>
        <v>113551</v>
      </c>
      <c r="D43" s="92">
        <f t="shared" si="14"/>
        <v>72858.97</v>
      </c>
      <c r="E43" s="68">
        <f t="shared" si="15"/>
        <v>40692.03</v>
      </c>
      <c r="F43" s="68">
        <f t="shared" si="16"/>
        <v>807206.09000000008</v>
      </c>
      <c r="G43" s="68">
        <f t="shared" si="17"/>
        <v>734347.12000000011</v>
      </c>
    </row>
    <row r="44" spans="1:7" x14ac:dyDescent="0.25">
      <c r="A44" s="54">
        <v>45780</v>
      </c>
      <c r="B44" s="85">
        <f t="shared" si="9"/>
        <v>89</v>
      </c>
      <c r="C44" s="68">
        <f t="shared" si="18"/>
        <v>113551</v>
      </c>
      <c r="D44" s="92">
        <f t="shared" si="14"/>
        <v>77739</v>
      </c>
      <c r="E44" s="68">
        <f t="shared" si="15"/>
        <v>35812</v>
      </c>
      <c r="F44" s="68">
        <f t="shared" si="16"/>
        <v>734347.12000000011</v>
      </c>
      <c r="G44" s="68">
        <f t="shared" si="17"/>
        <v>656608.12000000011</v>
      </c>
    </row>
    <row r="45" spans="1:7" x14ac:dyDescent="0.25">
      <c r="A45" s="54">
        <v>45872</v>
      </c>
      <c r="B45" s="85">
        <f t="shared" si="9"/>
        <v>92</v>
      </c>
      <c r="C45" s="68">
        <f t="shared" si="18"/>
        <v>113551</v>
      </c>
      <c r="D45" s="92">
        <f t="shared" si="14"/>
        <v>80450.760000000009</v>
      </c>
      <c r="E45" s="68">
        <f t="shared" si="15"/>
        <v>33100.239999999998</v>
      </c>
      <c r="F45" s="68">
        <f t="shared" si="16"/>
        <v>656608.12000000011</v>
      </c>
      <c r="G45" s="68">
        <f t="shared" si="17"/>
        <v>576157.3600000001</v>
      </c>
    </row>
    <row r="46" spans="1:7" x14ac:dyDescent="0.25">
      <c r="A46" s="54">
        <v>45964</v>
      </c>
      <c r="B46" s="85">
        <f t="shared" si="9"/>
        <v>92</v>
      </c>
      <c r="C46" s="68">
        <f t="shared" si="18"/>
        <v>113551</v>
      </c>
      <c r="D46" s="92">
        <f t="shared" si="14"/>
        <v>84506.36</v>
      </c>
      <c r="E46" s="68">
        <f t="shared" si="15"/>
        <v>29044.639999999999</v>
      </c>
      <c r="F46" s="68">
        <f t="shared" si="16"/>
        <v>576157.3600000001</v>
      </c>
      <c r="G46" s="68">
        <f t="shared" si="17"/>
        <v>491651.00000000012</v>
      </c>
    </row>
    <row r="47" spans="1:7" x14ac:dyDescent="0.25">
      <c r="A47" s="54">
        <v>46056</v>
      </c>
      <c r="B47" s="85">
        <f t="shared" si="9"/>
        <v>92</v>
      </c>
      <c r="C47" s="68">
        <f t="shared" si="18"/>
        <v>113551</v>
      </c>
      <c r="D47" s="92">
        <f t="shared" si="14"/>
        <v>88766.399999999994</v>
      </c>
      <c r="E47" s="68">
        <f t="shared" si="15"/>
        <v>24784.6</v>
      </c>
      <c r="F47" s="68">
        <f t="shared" si="16"/>
        <v>491651.00000000012</v>
      </c>
      <c r="G47" s="68">
        <f t="shared" si="17"/>
        <v>402884.60000000009</v>
      </c>
    </row>
    <row r="48" spans="1:7" x14ac:dyDescent="0.25">
      <c r="A48" s="54">
        <v>46145</v>
      </c>
      <c r="B48" s="85">
        <f t="shared" si="9"/>
        <v>89</v>
      </c>
      <c r="C48" s="68">
        <f t="shared" si="18"/>
        <v>113551</v>
      </c>
      <c r="D48" s="92">
        <f t="shared" si="14"/>
        <v>93903.48</v>
      </c>
      <c r="E48" s="68">
        <f t="shared" si="15"/>
        <v>19647.52</v>
      </c>
      <c r="F48" s="68">
        <f t="shared" si="16"/>
        <v>402884.60000000009</v>
      </c>
      <c r="G48" s="68">
        <f t="shared" si="17"/>
        <v>308981.12000000011</v>
      </c>
    </row>
    <row r="49" spans="1:7" x14ac:dyDescent="0.25">
      <c r="A49" s="54">
        <v>46237</v>
      </c>
      <c r="B49" s="85">
        <f t="shared" si="9"/>
        <v>92</v>
      </c>
      <c r="C49" s="68">
        <f t="shared" si="18"/>
        <v>113551</v>
      </c>
      <c r="D49" s="92">
        <f t="shared" si="14"/>
        <v>97974.97</v>
      </c>
      <c r="E49" s="68">
        <f t="shared" si="15"/>
        <v>15576.03</v>
      </c>
      <c r="F49" s="68">
        <f t="shared" si="16"/>
        <v>308981.12000000011</v>
      </c>
      <c r="G49" s="68">
        <f t="shared" si="17"/>
        <v>211006.15000000011</v>
      </c>
    </row>
    <row r="50" spans="1:7" x14ac:dyDescent="0.25">
      <c r="A50" s="54">
        <v>46329</v>
      </c>
      <c r="B50" s="85">
        <f t="shared" ref="B50:B51" si="19">_xlfn.DAYS(A50,A49)</f>
        <v>92</v>
      </c>
      <c r="C50" s="68">
        <f>$N$2</f>
        <v>200000</v>
      </c>
      <c r="D50" s="92">
        <f t="shared" ref="D50:D51" si="20">C50-E50</f>
        <v>189362.98</v>
      </c>
      <c r="E50" s="68">
        <f t="shared" ref="E50:E51" si="21">ROUND(F50*$I$2*B50/365,2)</f>
        <v>10637.02</v>
      </c>
      <c r="F50" s="68">
        <f t="shared" ref="F50:F51" si="22">G49</f>
        <v>211006.15000000011</v>
      </c>
      <c r="G50" s="68">
        <f t="shared" ref="G50:G51" si="23">F50-D50</f>
        <v>21643.1700000001</v>
      </c>
    </row>
    <row r="51" spans="1:7" x14ac:dyDescent="0.25">
      <c r="A51" s="54">
        <v>46421</v>
      </c>
      <c r="B51" s="85">
        <f t="shared" si="19"/>
        <v>92</v>
      </c>
      <c r="C51" s="47">
        <f>ROUND(G50+E51,2)</f>
        <v>22734.22</v>
      </c>
      <c r="D51" s="92">
        <f t="shared" si="20"/>
        <v>21643.170000000002</v>
      </c>
      <c r="E51" s="68">
        <f t="shared" si="21"/>
        <v>1091.05</v>
      </c>
      <c r="F51" s="68">
        <f t="shared" si="22"/>
        <v>21643.1700000001</v>
      </c>
      <c r="G51" s="68">
        <f t="shared" si="23"/>
        <v>9.822542779147625E-11</v>
      </c>
    </row>
  </sheetData>
  <pageMargins left="0.7" right="0.7" top="0.75" bottom="0.75" header="0.3" footer="0.3"/>
  <pageSetup orientation="portrait" r:id="rId1"/>
</worksheet>
</file>

<file path=xl/worksheets/sheet1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1B3AA6-FF8A-4F52-B20D-8B1E9EC18213}">
  <dimension ref="A1:N51"/>
  <sheetViews>
    <sheetView zoomScale="80" zoomScaleNormal="80" workbookViewId="0">
      <pane ySplit="3" topLeftCell="A31" activePane="bottomLeft" state="frozen"/>
      <selection activeCell="C51" sqref="C51"/>
      <selection pane="bottomLeft" activeCell="C51" sqref="C51"/>
    </sheetView>
  </sheetViews>
  <sheetFormatPr defaultRowHeight="15" x14ac:dyDescent="0.25"/>
  <cols>
    <col min="1" max="1" width="16.7109375" bestFit="1" customWidth="1"/>
    <col min="2" max="2" width="13.5703125" bestFit="1" customWidth="1"/>
    <col min="3" max="3" width="25.140625" bestFit="1" customWidth="1"/>
    <col min="4" max="4" width="11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10.85546875" bestFit="1" customWidth="1"/>
    <col min="10" max="10" width="10.28515625" bestFit="1" customWidth="1"/>
    <col min="11" max="11" width="17.42578125" bestFit="1" customWidth="1"/>
    <col min="12" max="12" width="7" bestFit="1" customWidth="1"/>
    <col min="13" max="13" width="11.28515625" bestFit="1" customWidth="1"/>
    <col min="14" max="14" width="13.5703125" bestFit="1" customWidth="1"/>
  </cols>
  <sheetData>
    <row r="1" spans="1:14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327</v>
      </c>
      <c r="G1" s="132" t="s">
        <v>346</v>
      </c>
      <c r="H1" s="190" t="s">
        <v>149</v>
      </c>
      <c r="I1" s="132" t="s">
        <v>359</v>
      </c>
      <c r="J1" s="192" t="s">
        <v>420</v>
      </c>
      <c r="K1" s="191" t="s">
        <v>126</v>
      </c>
      <c r="L1" s="192" t="s">
        <v>421</v>
      </c>
      <c r="M1" s="163" t="s">
        <v>420</v>
      </c>
      <c r="N1" s="163" t="s">
        <v>177</v>
      </c>
    </row>
    <row r="2" spans="1:14" x14ac:dyDescent="0.25">
      <c r="A2" s="75" t="s">
        <v>34</v>
      </c>
      <c r="B2" s="76">
        <v>0.15</v>
      </c>
      <c r="C2" s="17">
        <f>ROUNDUP(127837.807042035,0)</f>
        <v>127838</v>
      </c>
      <c r="D2" s="125">
        <v>44411</v>
      </c>
      <c r="E2" s="124">
        <f>ROUNDUP(123807.8705,0)</f>
        <v>123808</v>
      </c>
      <c r="F2" s="184">
        <v>56000</v>
      </c>
      <c r="G2" s="134">
        <v>44776</v>
      </c>
      <c r="H2" s="190">
        <f>ROUNDUP(135601.64,0)</f>
        <v>135602</v>
      </c>
      <c r="I2" s="180">
        <v>0.2</v>
      </c>
      <c r="J2" s="194">
        <v>45507</v>
      </c>
      <c r="K2" s="191">
        <f>ROUNDUP(113500.245099524,0)</f>
        <v>113501</v>
      </c>
      <c r="L2" s="193">
        <v>26</v>
      </c>
      <c r="M2" s="195" t="s">
        <v>426</v>
      </c>
      <c r="N2" s="196">
        <v>200000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4" x14ac:dyDescent="0.25">
      <c r="A4" s="54">
        <v>44046</v>
      </c>
      <c r="B4" s="85">
        <f>_xlfn.DAYS(A4,B1)</f>
        <v>1</v>
      </c>
      <c r="C4" s="68">
        <v>0</v>
      </c>
      <c r="D4" s="92">
        <v>0</v>
      </c>
      <c r="E4" s="68">
        <f>ROUNDUP(F4*$B$2*B4/360,0)</f>
        <v>834</v>
      </c>
      <c r="F4" s="68">
        <v>2000000</v>
      </c>
      <c r="G4" s="68">
        <f t="shared" ref="G4:G31" si="0">F4-D4</f>
        <v>2000000</v>
      </c>
    </row>
    <row r="5" spans="1:14" x14ac:dyDescent="0.25">
      <c r="A5" s="54">
        <v>44138</v>
      </c>
      <c r="B5" s="85">
        <f>DAYS360(A4,A5,TRUE)</f>
        <v>90</v>
      </c>
      <c r="C5" s="68">
        <f>$C$2</f>
        <v>127838</v>
      </c>
      <c r="D5" s="92">
        <f t="shared" ref="D5:D31" si="1">C5-E5</f>
        <v>52838</v>
      </c>
      <c r="E5" s="68">
        <f t="shared" ref="E5:E27" si="2">ROUND(F5*$B$2*B5/360,2)</f>
        <v>75000</v>
      </c>
      <c r="F5" s="68">
        <f t="shared" ref="F5:F28" si="3">G4</f>
        <v>2000000</v>
      </c>
      <c r="G5" s="68">
        <f t="shared" si="0"/>
        <v>1947162</v>
      </c>
    </row>
    <row r="6" spans="1:14" x14ac:dyDescent="0.25">
      <c r="A6" s="54">
        <v>44230</v>
      </c>
      <c r="B6" s="85">
        <f t="shared" ref="B6:B51" si="4">DAYS360(A5,A6,TRUE)</f>
        <v>90</v>
      </c>
      <c r="C6" s="68">
        <f t="shared" ref="C6:C29" si="5">$C$2</f>
        <v>127838</v>
      </c>
      <c r="D6" s="92">
        <f t="shared" si="1"/>
        <v>54819.42</v>
      </c>
      <c r="E6" s="68">
        <f t="shared" si="2"/>
        <v>73018.58</v>
      </c>
      <c r="F6" s="68">
        <f t="shared" si="3"/>
        <v>1947162</v>
      </c>
      <c r="G6" s="68">
        <f t="shared" si="0"/>
        <v>1892342.58</v>
      </c>
    </row>
    <row r="7" spans="1:14" x14ac:dyDescent="0.25">
      <c r="A7" s="54">
        <v>44319</v>
      </c>
      <c r="B7" s="85">
        <f t="shared" si="4"/>
        <v>90</v>
      </c>
      <c r="C7" s="68">
        <f t="shared" si="5"/>
        <v>127838</v>
      </c>
      <c r="D7" s="92">
        <f t="shared" si="1"/>
        <v>56875.149999999994</v>
      </c>
      <c r="E7" s="68">
        <f t="shared" si="2"/>
        <v>70962.850000000006</v>
      </c>
      <c r="F7" s="68">
        <f t="shared" si="3"/>
        <v>1892342.58</v>
      </c>
      <c r="G7" s="68">
        <f t="shared" si="0"/>
        <v>1835467.4300000002</v>
      </c>
    </row>
    <row r="8" spans="1:14" x14ac:dyDescent="0.25">
      <c r="A8" s="54">
        <v>44411</v>
      </c>
      <c r="B8" s="85">
        <f t="shared" si="4"/>
        <v>90</v>
      </c>
      <c r="C8" s="68">
        <f t="shared" si="5"/>
        <v>127838</v>
      </c>
      <c r="D8" s="92">
        <f t="shared" si="1"/>
        <v>59007.97</v>
      </c>
      <c r="E8" s="68">
        <f t="shared" si="2"/>
        <v>68830.03</v>
      </c>
      <c r="F8" s="68">
        <f t="shared" si="3"/>
        <v>1835467.4300000002</v>
      </c>
      <c r="G8" s="68">
        <f t="shared" si="0"/>
        <v>1776459.4600000002</v>
      </c>
    </row>
    <row r="9" spans="1:14" x14ac:dyDescent="0.25">
      <c r="A9" s="54">
        <v>44503</v>
      </c>
      <c r="B9" s="85">
        <f t="shared" si="4"/>
        <v>90</v>
      </c>
      <c r="C9" s="68">
        <f t="shared" si="5"/>
        <v>127838</v>
      </c>
      <c r="D9" s="92">
        <f t="shared" si="1"/>
        <v>61220.770000000004</v>
      </c>
      <c r="E9" s="68">
        <f t="shared" si="2"/>
        <v>66617.23</v>
      </c>
      <c r="F9" s="68">
        <f t="shared" si="3"/>
        <v>1776459.4600000002</v>
      </c>
      <c r="G9" s="68">
        <f t="shared" si="0"/>
        <v>1715238.6900000002</v>
      </c>
    </row>
    <row r="10" spans="1:14" x14ac:dyDescent="0.25">
      <c r="A10" s="54">
        <v>44595</v>
      </c>
      <c r="B10" s="85">
        <f t="shared" si="4"/>
        <v>90</v>
      </c>
      <c r="C10" s="68">
        <f t="shared" si="5"/>
        <v>127838</v>
      </c>
      <c r="D10" s="92">
        <f t="shared" si="1"/>
        <v>63516.55</v>
      </c>
      <c r="E10" s="68">
        <f t="shared" si="2"/>
        <v>64321.45</v>
      </c>
      <c r="F10" s="68">
        <f t="shared" si="3"/>
        <v>1715238.6900000002</v>
      </c>
      <c r="G10" s="68">
        <f t="shared" si="0"/>
        <v>1651722.1400000001</v>
      </c>
    </row>
    <row r="11" spans="1:14" x14ac:dyDescent="0.25">
      <c r="A11" s="54">
        <v>44684</v>
      </c>
      <c r="B11" s="85">
        <f t="shared" si="4"/>
        <v>90</v>
      </c>
      <c r="C11" s="68">
        <f t="shared" si="5"/>
        <v>127838</v>
      </c>
      <c r="D11" s="92">
        <f t="shared" si="1"/>
        <v>65898.42</v>
      </c>
      <c r="E11" s="68">
        <f t="shared" si="2"/>
        <v>61939.58</v>
      </c>
      <c r="F11" s="68">
        <f t="shared" si="3"/>
        <v>1651722.1400000001</v>
      </c>
      <c r="G11" s="68">
        <f t="shared" si="0"/>
        <v>1585823.7200000002</v>
      </c>
    </row>
    <row r="12" spans="1:14" x14ac:dyDescent="0.25">
      <c r="A12" s="54">
        <v>44776</v>
      </c>
      <c r="B12" s="85">
        <f t="shared" si="4"/>
        <v>90</v>
      </c>
      <c r="C12" s="68">
        <f t="shared" si="5"/>
        <v>127838</v>
      </c>
      <c r="D12" s="92">
        <f t="shared" si="1"/>
        <v>68369.61</v>
      </c>
      <c r="E12" s="68">
        <f t="shared" si="2"/>
        <v>59468.39</v>
      </c>
      <c r="F12" s="68">
        <f t="shared" si="3"/>
        <v>1585823.7200000002</v>
      </c>
      <c r="G12" s="68">
        <f t="shared" si="0"/>
        <v>1517454.11</v>
      </c>
    </row>
    <row r="13" spans="1:14" x14ac:dyDescent="0.25">
      <c r="A13" s="54">
        <v>44868</v>
      </c>
      <c r="B13" s="85">
        <f t="shared" si="4"/>
        <v>90</v>
      </c>
      <c r="C13" s="68">
        <f t="shared" si="5"/>
        <v>127838</v>
      </c>
      <c r="D13" s="92">
        <f t="shared" si="1"/>
        <v>70933.47</v>
      </c>
      <c r="E13" s="68">
        <f t="shared" si="2"/>
        <v>56904.53</v>
      </c>
      <c r="F13" s="68">
        <f t="shared" si="3"/>
        <v>1517454.11</v>
      </c>
      <c r="G13" s="68">
        <f t="shared" si="0"/>
        <v>1446520.6400000001</v>
      </c>
    </row>
    <row r="14" spans="1:14" x14ac:dyDescent="0.25">
      <c r="A14" s="54">
        <v>44960</v>
      </c>
      <c r="B14" s="85">
        <f t="shared" si="4"/>
        <v>90</v>
      </c>
      <c r="C14" s="68">
        <f t="shared" si="5"/>
        <v>127838</v>
      </c>
      <c r="D14" s="92">
        <f t="shared" si="1"/>
        <v>73593.48000000001</v>
      </c>
      <c r="E14" s="68">
        <f t="shared" si="2"/>
        <v>54244.52</v>
      </c>
      <c r="F14" s="68">
        <f t="shared" si="3"/>
        <v>1446520.6400000001</v>
      </c>
      <c r="G14" s="68">
        <f t="shared" si="0"/>
        <v>1372927.1600000001</v>
      </c>
    </row>
    <row r="15" spans="1:14" x14ac:dyDescent="0.25">
      <c r="A15" s="54">
        <v>45049</v>
      </c>
      <c r="B15" s="85">
        <f t="shared" si="4"/>
        <v>90</v>
      </c>
      <c r="C15" s="68">
        <f t="shared" si="5"/>
        <v>127838</v>
      </c>
      <c r="D15" s="92">
        <f t="shared" si="1"/>
        <v>76353.23000000001</v>
      </c>
      <c r="E15" s="68">
        <f t="shared" si="2"/>
        <v>51484.77</v>
      </c>
      <c r="F15" s="68">
        <f t="shared" si="3"/>
        <v>1372927.1600000001</v>
      </c>
      <c r="G15" s="68">
        <f t="shared" si="0"/>
        <v>1296573.9300000002</v>
      </c>
    </row>
    <row r="16" spans="1:14" x14ac:dyDescent="0.25">
      <c r="A16" s="54">
        <v>45141</v>
      </c>
      <c r="B16" s="85">
        <f t="shared" si="4"/>
        <v>90</v>
      </c>
      <c r="C16" s="68">
        <f t="shared" si="5"/>
        <v>127838</v>
      </c>
      <c r="D16" s="92">
        <f t="shared" si="1"/>
        <v>79216.48000000001</v>
      </c>
      <c r="E16" s="68">
        <f t="shared" si="2"/>
        <v>48621.52</v>
      </c>
      <c r="F16" s="68">
        <f t="shared" si="3"/>
        <v>1296573.9300000002</v>
      </c>
      <c r="G16" s="68">
        <f t="shared" si="0"/>
        <v>1217357.4500000002</v>
      </c>
    </row>
    <row r="17" spans="1:7" x14ac:dyDescent="0.25">
      <c r="A17" s="54">
        <v>45233</v>
      </c>
      <c r="B17" s="85">
        <f t="shared" si="4"/>
        <v>90</v>
      </c>
      <c r="C17" s="68">
        <f t="shared" si="5"/>
        <v>127838</v>
      </c>
      <c r="D17" s="92">
        <f t="shared" si="1"/>
        <v>82187.100000000006</v>
      </c>
      <c r="E17" s="68">
        <f t="shared" si="2"/>
        <v>45650.9</v>
      </c>
      <c r="F17" s="68">
        <f t="shared" si="3"/>
        <v>1217357.4500000002</v>
      </c>
      <c r="G17" s="68">
        <f t="shared" si="0"/>
        <v>1135170.3500000001</v>
      </c>
    </row>
    <row r="18" spans="1:7" x14ac:dyDescent="0.25">
      <c r="A18" s="54">
        <v>45325</v>
      </c>
      <c r="B18" s="85">
        <f t="shared" si="4"/>
        <v>90</v>
      </c>
      <c r="C18" s="68">
        <f t="shared" si="5"/>
        <v>127838</v>
      </c>
      <c r="D18" s="92">
        <f t="shared" si="1"/>
        <v>85269.11</v>
      </c>
      <c r="E18" s="68">
        <f t="shared" si="2"/>
        <v>42568.89</v>
      </c>
      <c r="F18" s="68">
        <f t="shared" si="3"/>
        <v>1135170.3500000001</v>
      </c>
      <c r="G18" s="68">
        <f t="shared" si="0"/>
        <v>1049901.24</v>
      </c>
    </row>
    <row r="19" spans="1:7" x14ac:dyDescent="0.25">
      <c r="A19" s="54">
        <v>45415</v>
      </c>
      <c r="B19" s="85">
        <f t="shared" si="4"/>
        <v>90</v>
      </c>
      <c r="C19" s="68">
        <f t="shared" si="5"/>
        <v>127838</v>
      </c>
      <c r="D19" s="92">
        <f t="shared" si="1"/>
        <v>88466.7</v>
      </c>
      <c r="E19" s="68">
        <f t="shared" si="2"/>
        <v>39371.300000000003</v>
      </c>
      <c r="F19" s="68">
        <f t="shared" si="3"/>
        <v>1049901.24</v>
      </c>
      <c r="G19" s="68">
        <f t="shared" si="0"/>
        <v>961434.54</v>
      </c>
    </row>
    <row r="20" spans="1:7" x14ac:dyDescent="0.25">
      <c r="A20" s="54">
        <v>45507</v>
      </c>
      <c r="B20" s="85">
        <f t="shared" si="4"/>
        <v>90</v>
      </c>
      <c r="C20" s="68">
        <f t="shared" si="5"/>
        <v>127838</v>
      </c>
      <c r="D20" s="92">
        <f t="shared" si="1"/>
        <v>91784.2</v>
      </c>
      <c r="E20" s="68">
        <f t="shared" si="2"/>
        <v>36053.800000000003</v>
      </c>
      <c r="F20" s="68">
        <f t="shared" si="3"/>
        <v>961434.54</v>
      </c>
      <c r="G20" s="68">
        <f t="shared" si="0"/>
        <v>869650.34000000008</v>
      </c>
    </row>
    <row r="21" spans="1:7" x14ac:dyDescent="0.25">
      <c r="A21" s="54">
        <v>45599</v>
      </c>
      <c r="B21" s="85">
        <f t="shared" si="4"/>
        <v>90</v>
      </c>
      <c r="C21" s="68">
        <f t="shared" si="5"/>
        <v>127838</v>
      </c>
      <c r="D21" s="92">
        <f t="shared" si="1"/>
        <v>95226.11</v>
      </c>
      <c r="E21" s="68">
        <f t="shared" si="2"/>
        <v>32611.89</v>
      </c>
      <c r="F21" s="68">
        <f t="shared" si="3"/>
        <v>869650.34000000008</v>
      </c>
      <c r="G21" s="68">
        <f t="shared" si="0"/>
        <v>774424.2300000001</v>
      </c>
    </row>
    <row r="22" spans="1:7" x14ac:dyDescent="0.25">
      <c r="A22" s="54">
        <v>45691</v>
      </c>
      <c r="B22" s="85">
        <f t="shared" si="4"/>
        <v>90</v>
      </c>
      <c r="C22" s="68">
        <f t="shared" si="5"/>
        <v>127838</v>
      </c>
      <c r="D22" s="92">
        <f t="shared" si="1"/>
        <v>98797.09</v>
      </c>
      <c r="E22" s="68">
        <f t="shared" si="2"/>
        <v>29040.91</v>
      </c>
      <c r="F22" s="68">
        <f t="shared" si="3"/>
        <v>774424.2300000001</v>
      </c>
      <c r="G22" s="68">
        <f t="shared" si="0"/>
        <v>675627.14000000013</v>
      </c>
    </row>
    <row r="23" spans="1:7" x14ac:dyDescent="0.25">
      <c r="A23" s="54">
        <v>45780</v>
      </c>
      <c r="B23" s="85">
        <f t="shared" si="4"/>
        <v>90</v>
      </c>
      <c r="C23" s="68">
        <f t="shared" si="5"/>
        <v>127838</v>
      </c>
      <c r="D23" s="92">
        <f t="shared" si="1"/>
        <v>102501.98</v>
      </c>
      <c r="E23" s="68">
        <f t="shared" si="2"/>
        <v>25336.02</v>
      </c>
      <c r="F23" s="68">
        <f t="shared" si="3"/>
        <v>675627.14000000013</v>
      </c>
      <c r="G23" s="68">
        <f t="shared" si="0"/>
        <v>573125.16000000015</v>
      </c>
    </row>
    <row r="24" spans="1:7" x14ac:dyDescent="0.25">
      <c r="A24" s="54">
        <v>45872</v>
      </c>
      <c r="B24" s="85">
        <f t="shared" si="4"/>
        <v>90</v>
      </c>
      <c r="C24" s="68">
        <f t="shared" si="5"/>
        <v>127838</v>
      </c>
      <c r="D24" s="92">
        <f t="shared" si="1"/>
        <v>106345.81</v>
      </c>
      <c r="E24" s="68">
        <f t="shared" si="2"/>
        <v>21492.19</v>
      </c>
      <c r="F24" s="68">
        <f t="shared" si="3"/>
        <v>573125.16000000015</v>
      </c>
      <c r="G24" s="68">
        <f t="shared" si="0"/>
        <v>466779.35000000015</v>
      </c>
    </row>
    <row r="25" spans="1:7" x14ac:dyDescent="0.25">
      <c r="A25" s="54">
        <v>45964</v>
      </c>
      <c r="B25" s="85">
        <f t="shared" si="4"/>
        <v>90</v>
      </c>
      <c r="C25" s="68">
        <f t="shared" si="5"/>
        <v>127838</v>
      </c>
      <c r="D25" s="92">
        <f t="shared" si="1"/>
        <v>110333.77</v>
      </c>
      <c r="E25" s="68">
        <f t="shared" si="2"/>
        <v>17504.23</v>
      </c>
      <c r="F25" s="68">
        <f t="shared" si="3"/>
        <v>466779.35000000015</v>
      </c>
      <c r="G25" s="68">
        <f t="shared" si="0"/>
        <v>356445.58000000013</v>
      </c>
    </row>
    <row r="26" spans="1:7" x14ac:dyDescent="0.25">
      <c r="A26" s="54">
        <v>46056</v>
      </c>
      <c r="B26" s="85">
        <f t="shared" si="4"/>
        <v>90</v>
      </c>
      <c r="C26" s="68">
        <f t="shared" si="5"/>
        <v>127838</v>
      </c>
      <c r="D26" s="92">
        <f t="shared" si="1"/>
        <v>114471.29000000001</v>
      </c>
      <c r="E26" s="68">
        <f t="shared" si="2"/>
        <v>13366.71</v>
      </c>
      <c r="F26" s="68">
        <f t="shared" si="3"/>
        <v>356445.58000000013</v>
      </c>
      <c r="G26" s="68">
        <f t="shared" si="0"/>
        <v>241974.29000000012</v>
      </c>
    </row>
    <row r="27" spans="1:7" x14ac:dyDescent="0.25">
      <c r="A27" s="54">
        <v>46145</v>
      </c>
      <c r="B27" s="85">
        <f t="shared" si="4"/>
        <v>90</v>
      </c>
      <c r="C27" s="68">
        <f t="shared" si="5"/>
        <v>127838</v>
      </c>
      <c r="D27" s="92">
        <f t="shared" si="1"/>
        <v>118763.95999999999</v>
      </c>
      <c r="E27" s="68">
        <f t="shared" si="2"/>
        <v>9074.0400000000009</v>
      </c>
      <c r="F27" s="68">
        <f t="shared" si="3"/>
        <v>241974.29000000012</v>
      </c>
      <c r="G27" s="68">
        <f t="shared" si="0"/>
        <v>123210.33000000013</v>
      </c>
    </row>
    <row r="28" spans="1:7" x14ac:dyDescent="0.25">
      <c r="A28" s="54">
        <v>46237</v>
      </c>
      <c r="B28" s="85">
        <f t="shared" si="4"/>
        <v>90</v>
      </c>
      <c r="C28" s="68">
        <f t="shared" si="5"/>
        <v>127838</v>
      </c>
      <c r="D28" s="92">
        <f t="shared" si="1"/>
        <v>123210.33000000013</v>
      </c>
      <c r="E28" s="68">
        <v>4627.6699999998682</v>
      </c>
      <c r="F28" s="68">
        <f t="shared" si="3"/>
        <v>123210.33000000013</v>
      </c>
      <c r="G28" s="68">
        <f t="shared" si="0"/>
        <v>0</v>
      </c>
    </row>
    <row r="29" spans="1:7" x14ac:dyDescent="0.25">
      <c r="A29" s="70">
        <v>44411</v>
      </c>
      <c r="B29" s="84">
        <f>DAYS360(A7,A8,TRUE)</f>
        <v>90</v>
      </c>
      <c r="C29" s="68">
        <f t="shared" si="5"/>
        <v>127838</v>
      </c>
      <c r="D29" s="91">
        <f t="shared" si="1"/>
        <v>59007.97</v>
      </c>
      <c r="E29" s="90">
        <f>ROUND(F29*$B$2*B29/360,2)</f>
        <v>68830.03</v>
      </c>
      <c r="F29" s="90">
        <f>G7</f>
        <v>1835467.4300000002</v>
      </c>
      <c r="G29" s="90">
        <f t="shared" si="0"/>
        <v>1776459.4600000002</v>
      </c>
    </row>
    <row r="30" spans="1:7" x14ac:dyDescent="0.25">
      <c r="A30" s="54">
        <v>44503</v>
      </c>
      <c r="B30" s="85">
        <f t="shared" si="4"/>
        <v>90</v>
      </c>
      <c r="C30" s="68">
        <f>$E$2</f>
        <v>123808</v>
      </c>
      <c r="D30" s="92">
        <f t="shared" si="1"/>
        <v>59290.77</v>
      </c>
      <c r="E30" s="68">
        <f>ROUND(F30*$B$2*B30/360,2)</f>
        <v>64517.23</v>
      </c>
      <c r="F30" s="68">
        <f>G29-F2</f>
        <v>1720459.4600000002</v>
      </c>
      <c r="G30" s="68">
        <f t="shared" si="0"/>
        <v>1661168.6900000002</v>
      </c>
    </row>
    <row r="31" spans="1:7" x14ac:dyDescent="0.25">
      <c r="A31" s="54">
        <v>44595</v>
      </c>
      <c r="B31" s="85">
        <f t="shared" si="4"/>
        <v>90</v>
      </c>
      <c r="C31" s="68">
        <f t="shared" ref="C31:C33" si="6">$E$2</f>
        <v>123808</v>
      </c>
      <c r="D31" s="92">
        <f t="shared" si="1"/>
        <v>61514.17</v>
      </c>
      <c r="E31" s="68">
        <f>ROUND(F31*$B$2*B31/360,2)</f>
        <v>62293.83</v>
      </c>
      <c r="F31" s="68">
        <f t="shared" ref="F31" si="7">G30</f>
        <v>1661168.6900000002</v>
      </c>
      <c r="G31" s="68">
        <f t="shared" si="0"/>
        <v>1599654.5200000003</v>
      </c>
    </row>
    <row r="32" spans="1:7" x14ac:dyDescent="0.25">
      <c r="A32" s="54">
        <v>44684</v>
      </c>
      <c r="B32" s="85">
        <f t="shared" si="4"/>
        <v>90</v>
      </c>
      <c r="C32" s="68">
        <f t="shared" si="6"/>
        <v>123808</v>
      </c>
      <c r="D32" s="92">
        <f t="shared" ref="D32:D49" si="8">C32-E32</f>
        <v>63820.959999999999</v>
      </c>
      <c r="E32" s="68">
        <f t="shared" ref="E32:E33" si="9">ROUND(F32*$B$2*B32/360,2)</f>
        <v>59987.040000000001</v>
      </c>
      <c r="F32" s="68">
        <f t="shared" ref="F32:F49" si="10">G31</f>
        <v>1599654.5200000003</v>
      </c>
      <c r="G32" s="68">
        <f t="shared" ref="G32:G49" si="11">F32-D32</f>
        <v>1535833.5600000003</v>
      </c>
    </row>
    <row r="33" spans="1:7" x14ac:dyDescent="0.25">
      <c r="A33" s="54">
        <v>44776</v>
      </c>
      <c r="B33" s="85">
        <f t="shared" si="4"/>
        <v>90</v>
      </c>
      <c r="C33" s="68">
        <f t="shared" si="6"/>
        <v>123808</v>
      </c>
      <c r="D33" s="92">
        <f t="shared" si="8"/>
        <v>66214.239999999991</v>
      </c>
      <c r="E33" s="68">
        <f t="shared" si="9"/>
        <v>57593.760000000002</v>
      </c>
      <c r="F33" s="68">
        <f t="shared" si="10"/>
        <v>1535833.5600000003</v>
      </c>
      <c r="G33" s="68">
        <f t="shared" si="11"/>
        <v>1469619.3200000003</v>
      </c>
    </row>
    <row r="34" spans="1:7" x14ac:dyDescent="0.25">
      <c r="A34" s="54">
        <v>44868</v>
      </c>
      <c r="B34" s="85">
        <f t="shared" si="4"/>
        <v>90</v>
      </c>
      <c r="C34" s="68">
        <f>$H$2</f>
        <v>135602</v>
      </c>
      <c r="D34" s="92">
        <f t="shared" si="8"/>
        <v>62121.03</v>
      </c>
      <c r="E34" s="68">
        <f>ROUND(F34*$I$2*B34/360,2)</f>
        <v>73480.97</v>
      </c>
      <c r="F34" s="68">
        <f t="shared" si="10"/>
        <v>1469619.3200000003</v>
      </c>
      <c r="G34" s="68">
        <f t="shared" si="11"/>
        <v>1407498.2900000003</v>
      </c>
    </row>
    <row r="35" spans="1:7" x14ac:dyDescent="0.25">
      <c r="A35" s="54">
        <v>44960</v>
      </c>
      <c r="B35" s="85">
        <f t="shared" si="4"/>
        <v>90</v>
      </c>
      <c r="C35" s="68">
        <f t="shared" ref="C35:C41" si="12">$H$2</f>
        <v>135602</v>
      </c>
      <c r="D35" s="92">
        <f t="shared" si="8"/>
        <v>65227.09</v>
      </c>
      <c r="E35" s="68">
        <f t="shared" ref="E35:E49" si="13">ROUND(F35*$I$2*B35/360,2)</f>
        <v>70374.91</v>
      </c>
      <c r="F35" s="68">
        <f t="shared" si="10"/>
        <v>1407498.2900000003</v>
      </c>
      <c r="G35" s="68">
        <f t="shared" si="11"/>
        <v>1342271.2000000002</v>
      </c>
    </row>
    <row r="36" spans="1:7" x14ac:dyDescent="0.25">
      <c r="A36" s="54">
        <v>45049</v>
      </c>
      <c r="B36" s="85">
        <f t="shared" si="4"/>
        <v>90</v>
      </c>
      <c r="C36" s="68">
        <f t="shared" si="12"/>
        <v>135602</v>
      </c>
      <c r="D36" s="92">
        <f t="shared" si="8"/>
        <v>68488.44</v>
      </c>
      <c r="E36" s="68">
        <f t="shared" si="13"/>
        <v>67113.56</v>
      </c>
      <c r="F36" s="68">
        <f t="shared" si="10"/>
        <v>1342271.2000000002</v>
      </c>
      <c r="G36" s="68">
        <f t="shared" si="11"/>
        <v>1273782.7600000002</v>
      </c>
    </row>
    <row r="37" spans="1:7" x14ac:dyDescent="0.25">
      <c r="A37" s="54">
        <v>45141</v>
      </c>
      <c r="B37" s="85">
        <f t="shared" si="4"/>
        <v>90</v>
      </c>
      <c r="C37" s="68">
        <f t="shared" si="12"/>
        <v>135602</v>
      </c>
      <c r="D37" s="92">
        <f t="shared" si="8"/>
        <v>71912.86</v>
      </c>
      <c r="E37" s="68">
        <f t="shared" si="13"/>
        <v>63689.14</v>
      </c>
      <c r="F37" s="68">
        <f t="shared" si="10"/>
        <v>1273782.7600000002</v>
      </c>
      <c r="G37" s="68">
        <f t="shared" si="11"/>
        <v>1201869.9000000001</v>
      </c>
    </row>
    <row r="38" spans="1:7" x14ac:dyDescent="0.25">
      <c r="A38" s="54">
        <v>45233</v>
      </c>
      <c r="B38" s="85">
        <f t="shared" si="4"/>
        <v>90</v>
      </c>
      <c r="C38" s="68">
        <f t="shared" si="12"/>
        <v>135602</v>
      </c>
      <c r="D38" s="92">
        <f t="shared" si="8"/>
        <v>75508.5</v>
      </c>
      <c r="E38" s="68">
        <f t="shared" si="13"/>
        <v>60093.5</v>
      </c>
      <c r="F38" s="68">
        <f t="shared" si="10"/>
        <v>1201869.9000000001</v>
      </c>
      <c r="G38" s="68">
        <f t="shared" si="11"/>
        <v>1126361.4000000001</v>
      </c>
    </row>
    <row r="39" spans="1:7" x14ac:dyDescent="0.25">
      <c r="A39" s="54">
        <v>45325</v>
      </c>
      <c r="B39" s="85">
        <f t="shared" si="4"/>
        <v>90</v>
      </c>
      <c r="C39" s="68">
        <f t="shared" si="12"/>
        <v>135602</v>
      </c>
      <c r="D39" s="92">
        <f t="shared" si="8"/>
        <v>79283.929999999993</v>
      </c>
      <c r="E39" s="68">
        <f t="shared" si="13"/>
        <v>56318.07</v>
      </c>
      <c r="F39" s="68">
        <f t="shared" si="10"/>
        <v>1126361.4000000001</v>
      </c>
      <c r="G39" s="68">
        <f t="shared" si="11"/>
        <v>1047077.4700000002</v>
      </c>
    </row>
    <row r="40" spans="1:7" x14ac:dyDescent="0.25">
      <c r="A40" s="54">
        <v>45415</v>
      </c>
      <c r="B40" s="85">
        <f t="shared" si="4"/>
        <v>90</v>
      </c>
      <c r="C40" s="68">
        <f t="shared" si="12"/>
        <v>135602</v>
      </c>
      <c r="D40" s="92">
        <f t="shared" si="8"/>
        <v>83248.13</v>
      </c>
      <c r="E40" s="68">
        <f t="shared" si="13"/>
        <v>52353.87</v>
      </c>
      <c r="F40" s="68">
        <f t="shared" si="10"/>
        <v>1047077.4700000002</v>
      </c>
      <c r="G40" s="68">
        <f t="shared" si="11"/>
        <v>963829.3400000002</v>
      </c>
    </row>
    <row r="41" spans="1:7" x14ac:dyDescent="0.25">
      <c r="A41" s="54">
        <v>45507</v>
      </c>
      <c r="B41" s="85">
        <f t="shared" si="4"/>
        <v>90</v>
      </c>
      <c r="C41" s="68">
        <f t="shared" si="12"/>
        <v>135602</v>
      </c>
      <c r="D41" s="92">
        <f t="shared" si="8"/>
        <v>87410.53</v>
      </c>
      <c r="E41" s="68">
        <f t="shared" si="13"/>
        <v>48191.47</v>
      </c>
      <c r="F41" s="68">
        <f t="shared" si="10"/>
        <v>963829.3400000002</v>
      </c>
      <c r="G41" s="68">
        <f t="shared" si="11"/>
        <v>876418.81000000017</v>
      </c>
    </row>
    <row r="42" spans="1:7" x14ac:dyDescent="0.25">
      <c r="A42" s="54">
        <v>45599</v>
      </c>
      <c r="B42" s="85">
        <f t="shared" si="4"/>
        <v>90</v>
      </c>
      <c r="C42" s="68">
        <f>$K$2</f>
        <v>113501</v>
      </c>
      <c r="D42" s="92">
        <f t="shared" si="8"/>
        <v>69680.06</v>
      </c>
      <c r="E42" s="68">
        <f t="shared" si="13"/>
        <v>43820.94</v>
      </c>
      <c r="F42" s="68">
        <f t="shared" si="10"/>
        <v>876418.81000000017</v>
      </c>
      <c r="G42" s="68">
        <f t="shared" si="11"/>
        <v>806738.75000000023</v>
      </c>
    </row>
    <row r="43" spans="1:7" x14ac:dyDescent="0.25">
      <c r="A43" s="54">
        <v>45691</v>
      </c>
      <c r="B43" s="85">
        <f t="shared" si="4"/>
        <v>90</v>
      </c>
      <c r="C43" s="68">
        <f t="shared" ref="C43:C49" si="14">$K$2</f>
        <v>113501</v>
      </c>
      <c r="D43" s="92">
        <f t="shared" si="8"/>
        <v>73164.06</v>
      </c>
      <c r="E43" s="68">
        <f t="shared" si="13"/>
        <v>40336.94</v>
      </c>
      <c r="F43" s="68">
        <f t="shared" si="10"/>
        <v>806738.75000000023</v>
      </c>
      <c r="G43" s="68">
        <f t="shared" si="11"/>
        <v>733574.69000000018</v>
      </c>
    </row>
    <row r="44" spans="1:7" x14ac:dyDescent="0.25">
      <c r="A44" s="54">
        <v>45780</v>
      </c>
      <c r="B44" s="85">
        <f t="shared" si="4"/>
        <v>90</v>
      </c>
      <c r="C44" s="68">
        <f t="shared" si="14"/>
        <v>113501</v>
      </c>
      <c r="D44" s="92">
        <f t="shared" si="8"/>
        <v>76822.26999999999</v>
      </c>
      <c r="E44" s="68">
        <f t="shared" si="13"/>
        <v>36678.730000000003</v>
      </c>
      <c r="F44" s="68">
        <f t="shared" si="10"/>
        <v>733574.69000000018</v>
      </c>
      <c r="G44" s="68">
        <f t="shared" si="11"/>
        <v>656752.42000000016</v>
      </c>
    </row>
    <row r="45" spans="1:7" x14ac:dyDescent="0.25">
      <c r="A45" s="54">
        <v>45872</v>
      </c>
      <c r="B45" s="85">
        <f t="shared" si="4"/>
        <v>90</v>
      </c>
      <c r="C45" s="68">
        <f t="shared" si="14"/>
        <v>113501</v>
      </c>
      <c r="D45" s="92">
        <f t="shared" si="8"/>
        <v>80663.38</v>
      </c>
      <c r="E45" s="68">
        <f t="shared" si="13"/>
        <v>32837.620000000003</v>
      </c>
      <c r="F45" s="68">
        <f t="shared" si="10"/>
        <v>656752.42000000016</v>
      </c>
      <c r="G45" s="68">
        <f t="shared" si="11"/>
        <v>576089.04000000015</v>
      </c>
    </row>
    <row r="46" spans="1:7" x14ac:dyDescent="0.25">
      <c r="A46" s="54">
        <v>45964</v>
      </c>
      <c r="B46" s="85">
        <f t="shared" si="4"/>
        <v>90</v>
      </c>
      <c r="C46" s="68">
        <f t="shared" si="14"/>
        <v>113501</v>
      </c>
      <c r="D46" s="92">
        <f t="shared" si="8"/>
        <v>84696.55</v>
      </c>
      <c r="E46" s="68">
        <f t="shared" si="13"/>
        <v>28804.45</v>
      </c>
      <c r="F46" s="68">
        <f t="shared" si="10"/>
        <v>576089.04000000015</v>
      </c>
      <c r="G46" s="68">
        <f t="shared" si="11"/>
        <v>491392.49000000017</v>
      </c>
    </row>
    <row r="47" spans="1:7" x14ac:dyDescent="0.25">
      <c r="A47" s="54">
        <v>46056</v>
      </c>
      <c r="B47" s="85">
        <f t="shared" si="4"/>
        <v>90</v>
      </c>
      <c r="C47" s="68">
        <f t="shared" si="14"/>
        <v>113501</v>
      </c>
      <c r="D47" s="92">
        <f t="shared" si="8"/>
        <v>88931.38</v>
      </c>
      <c r="E47" s="68">
        <f t="shared" si="13"/>
        <v>24569.62</v>
      </c>
      <c r="F47" s="68">
        <f t="shared" si="10"/>
        <v>491392.49000000017</v>
      </c>
      <c r="G47" s="68">
        <f t="shared" si="11"/>
        <v>402461.11000000016</v>
      </c>
    </row>
    <row r="48" spans="1:7" x14ac:dyDescent="0.25">
      <c r="A48" s="54">
        <v>46145</v>
      </c>
      <c r="B48" s="85">
        <f t="shared" si="4"/>
        <v>90</v>
      </c>
      <c r="C48" s="68">
        <f t="shared" si="14"/>
        <v>113501</v>
      </c>
      <c r="D48" s="92">
        <f t="shared" si="8"/>
        <v>93377.94</v>
      </c>
      <c r="E48" s="68">
        <f t="shared" si="13"/>
        <v>20123.060000000001</v>
      </c>
      <c r="F48" s="68">
        <f t="shared" si="10"/>
        <v>402461.11000000016</v>
      </c>
      <c r="G48" s="68">
        <f t="shared" si="11"/>
        <v>309083.17000000016</v>
      </c>
    </row>
    <row r="49" spans="1:7" x14ac:dyDescent="0.25">
      <c r="A49" s="54">
        <v>46237</v>
      </c>
      <c r="B49" s="85">
        <f t="shared" si="4"/>
        <v>90</v>
      </c>
      <c r="C49" s="68">
        <f t="shared" si="14"/>
        <v>113501</v>
      </c>
      <c r="D49" s="92">
        <f t="shared" si="8"/>
        <v>98046.84</v>
      </c>
      <c r="E49" s="68">
        <f t="shared" si="13"/>
        <v>15454.16</v>
      </c>
      <c r="F49" s="68">
        <f t="shared" si="10"/>
        <v>309083.17000000016</v>
      </c>
      <c r="G49" s="68">
        <f t="shared" si="11"/>
        <v>211036.33000000016</v>
      </c>
    </row>
    <row r="50" spans="1:7" x14ac:dyDescent="0.25">
      <c r="A50" s="54">
        <v>46329</v>
      </c>
      <c r="B50" s="85">
        <f t="shared" si="4"/>
        <v>90</v>
      </c>
      <c r="C50" s="68">
        <f>$N$2</f>
        <v>200000</v>
      </c>
      <c r="D50" s="92">
        <f t="shared" ref="D50:D51" si="15">C50-E50</f>
        <v>189448.18</v>
      </c>
      <c r="E50" s="68">
        <f t="shared" ref="E50:E51" si="16">ROUND(F50*$I$2*B50/360,2)</f>
        <v>10551.82</v>
      </c>
      <c r="F50" s="68">
        <f t="shared" ref="F50:F51" si="17">G49</f>
        <v>211036.33000000016</v>
      </c>
      <c r="G50" s="68">
        <f t="shared" ref="G50:G51" si="18">F50-D50</f>
        <v>21588.150000000169</v>
      </c>
    </row>
    <row r="51" spans="1:7" x14ac:dyDescent="0.25">
      <c r="A51" s="54">
        <v>46421</v>
      </c>
      <c r="B51" s="85">
        <f t="shared" si="4"/>
        <v>90</v>
      </c>
      <c r="C51" s="47">
        <f>ROUND(G50+E51,2)</f>
        <v>22667.56</v>
      </c>
      <c r="D51" s="92">
        <f t="shared" si="15"/>
        <v>21588.15</v>
      </c>
      <c r="E51" s="68">
        <f t="shared" si="16"/>
        <v>1079.4100000000001</v>
      </c>
      <c r="F51" s="68">
        <f t="shared" si="17"/>
        <v>21588.150000000169</v>
      </c>
      <c r="G51" s="68">
        <f t="shared" si="18"/>
        <v>1.673470251262188E-10</v>
      </c>
    </row>
  </sheetData>
  <pageMargins left="0.7" right="0.7" top="0.75" bottom="0.75" header="0.3" footer="0.3"/>
  <pageSetup orientation="portrait" r:id="rId1"/>
</worksheet>
</file>

<file path=xl/worksheets/sheet1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F21D79-0378-44A6-A6C1-E34D8728E41F}">
  <dimension ref="A1:AA3"/>
  <sheetViews>
    <sheetView workbookViewId="0">
      <selection activeCell="B3" sqref="B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4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5" width="17" bestFit="1" customWidth="1"/>
    <col min="26" max="26" width="16.85546875" bestFit="1" customWidth="1"/>
    <col min="27" max="27" width="55.57031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87" t="s">
        <v>0</v>
      </c>
      <c r="B2" s="188" t="s">
        <v>9</v>
      </c>
      <c r="C2" s="188" t="s">
        <v>371</v>
      </c>
      <c r="D2" s="188" t="s">
        <v>71</v>
      </c>
      <c r="E2" s="188" t="s">
        <v>23</v>
      </c>
      <c r="F2" s="188" t="s">
        <v>274</v>
      </c>
      <c r="G2" s="188" t="s">
        <v>411</v>
      </c>
      <c r="H2" s="188" t="s">
        <v>24</v>
      </c>
      <c r="I2" s="189" t="s">
        <v>0</v>
      </c>
      <c r="J2" s="188" t="s">
        <v>42</v>
      </c>
      <c r="K2" s="188" t="s">
        <v>25</v>
      </c>
      <c r="L2" s="188" t="s">
        <v>431</v>
      </c>
      <c r="M2" s="188" t="s">
        <v>27</v>
      </c>
      <c r="N2" s="188" t="s">
        <v>29</v>
      </c>
      <c r="O2" s="197" t="s">
        <v>414</v>
      </c>
      <c r="P2" s="43" t="s">
        <v>45</v>
      </c>
      <c r="Q2" s="44" t="s">
        <v>374</v>
      </c>
      <c r="R2" s="197" t="s">
        <v>432</v>
      </c>
      <c r="S2" s="43" t="s">
        <v>21</v>
      </c>
      <c r="T2" s="44" t="s">
        <v>79</v>
      </c>
      <c r="U2" s="44" t="s">
        <v>415</v>
      </c>
      <c r="V2" s="43" t="s">
        <v>104</v>
      </c>
      <c r="W2" s="44" t="s">
        <v>417</v>
      </c>
      <c r="X2" s="197" t="s">
        <v>416</v>
      </c>
      <c r="Y2" s="43" t="s">
        <v>141</v>
      </c>
      <c r="Z2" s="44" t="s">
        <v>433</v>
      </c>
      <c r="AA2" s="43" t="s">
        <v>429</v>
      </c>
    </row>
    <row r="3" spans="1:27" x14ac:dyDescent="0.25">
      <c r="A3" s="187" t="s">
        <v>0</v>
      </c>
      <c r="B3" s="188" t="s">
        <v>9</v>
      </c>
      <c r="C3" s="188" t="s">
        <v>371</v>
      </c>
      <c r="D3" s="188" t="s">
        <v>71</v>
      </c>
      <c r="E3" s="188" t="s">
        <v>23</v>
      </c>
      <c r="F3" s="188" t="s">
        <v>274</v>
      </c>
      <c r="G3" s="188" t="s">
        <v>411</v>
      </c>
      <c r="H3" s="188" t="s">
        <v>24</v>
      </c>
      <c r="I3" s="189" t="s">
        <v>0</v>
      </c>
      <c r="J3" s="188" t="s">
        <v>42</v>
      </c>
      <c r="K3" s="188" t="s">
        <v>31</v>
      </c>
      <c r="L3" s="188" t="s">
        <v>431</v>
      </c>
      <c r="M3" s="188" t="s">
        <v>27</v>
      </c>
      <c r="N3" s="188" t="s">
        <v>29</v>
      </c>
      <c r="O3" s="197" t="s">
        <v>414</v>
      </c>
      <c r="P3" s="43" t="s">
        <v>45</v>
      </c>
      <c r="Q3" s="44" t="s">
        <v>374</v>
      </c>
      <c r="R3" s="197" t="s">
        <v>432</v>
      </c>
      <c r="S3" s="43" t="s">
        <v>21</v>
      </c>
      <c r="T3" s="44" t="s">
        <v>79</v>
      </c>
      <c r="U3" s="44" t="s">
        <v>415</v>
      </c>
      <c r="V3" s="43" t="s">
        <v>104</v>
      </c>
      <c r="W3" s="44" t="s">
        <v>417</v>
      </c>
      <c r="X3" s="197" t="s">
        <v>416</v>
      </c>
      <c r="Y3" s="93" t="s">
        <v>141</v>
      </c>
      <c r="Z3" s="44" t="s">
        <v>433</v>
      </c>
      <c r="AA3" s="93" t="s">
        <v>430</v>
      </c>
    </row>
  </sheetData>
  <pageMargins left="0.7" right="0.7" top="0.75" bottom="0.75" header="0.3" footer="0.3"/>
</worksheet>
</file>

<file path=xl/worksheets/sheet1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511D8E-661A-46F6-9B29-B51CC53E1071}">
  <dimension ref="A1:N21"/>
  <sheetViews>
    <sheetView zoomScale="80" zoomScaleNormal="80" workbookViewId="0">
      <pane ySplit="3" topLeftCell="A4" activePane="bottomLeft" state="frozen"/>
      <selection activeCell="C51" sqref="C51"/>
      <selection pane="bottomLeft" activeCell="M4" sqref="M4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2.1406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9.140625" bestFit="1" customWidth="1"/>
    <col min="10" max="10" width="10.28515625" bestFit="1" customWidth="1"/>
    <col min="11" max="11" width="17.42578125" bestFit="1" customWidth="1"/>
    <col min="12" max="12" width="7" bestFit="1" customWidth="1"/>
    <col min="13" max="13" width="11.28515625" bestFit="1" customWidth="1"/>
    <col min="14" max="14" width="13.5703125" bestFit="1" customWidth="1"/>
  </cols>
  <sheetData>
    <row r="1" spans="1:14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327</v>
      </c>
      <c r="G1" s="132" t="s">
        <v>346</v>
      </c>
      <c r="H1" s="190" t="s">
        <v>149</v>
      </c>
      <c r="I1" s="132" t="s">
        <v>359</v>
      </c>
      <c r="J1" s="192" t="s">
        <v>420</v>
      </c>
      <c r="K1" s="191" t="s">
        <v>126</v>
      </c>
      <c r="L1" s="192" t="s">
        <v>421</v>
      </c>
      <c r="M1" s="163" t="s">
        <v>420</v>
      </c>
      <c r="N1" s="163" t="s">
        <v>177</v>
      </c>
    </row>
    <row r="2" spans="1:14" x14ac:dyDescent="0.25">
      <c r="A2" s="75" t="s">
        <v>34</v>
      </c>
      <c r="B2" s="76">
        <v>0.15</v>
      </c>
      <c r="C2" s="17">
        <f>ROUNDUP(494499.588,0)</f>
        <v>494500</v>
      </c>
      <c r="D2" s="125">
        <v>44411</v>
      </c>
      <c r="E2" s="124">
        <f>ROUNDUP(472956.916666667,0)</f>
        <v>472957</v>
      </c>
      <c r="F2" s="184">
        <v>56000</v>
      </c>
      <c r="G2" s="134">
        <v>44595</v>
      </c>
      <c r="H2" s="190">
        <f>ROUNDUP(489269.044958359,0)</f>
        <v>489270</v>
      </c>
      <c r="I2" s="180">
        <v>0.2</v>
      </c>
      <c r="J2" s="194">
        <v>44776</v>
      </c>
      <c r="K2" s="191">
        <f>ROUNDUP(91355.2443655367,0)</f>
        <v>91356</v>
      </c>
      <c r="L2" s="193">
        <v>11</v>
      </c>
      <c r="M2" s="195" t="s">
        <v>416</v>
      </c>
      <c r="N2" s="196">
        <v>70000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4" x14ac:dyDescent="0.25">
      <c r="A4" s="54">
        <v>44046</v>
      </c>
      <c r="B4" s="85">
        <f>_xlfn.DAYS(A4,B1)</f>
        <v>1</v>
      </c>
      <c r="C4" s="68">
        <f>$C$2</f>
        <v>494500</v>
      </c>
      <c r="D4" s="92">
        <v>0</v>
      </c>
      <c r="E4" s="68">
        <f>ROUNDUP(F4*$B$2*B4/365,0)</f>
        <v>822</v>
      </c>
      <c r="F4" s="68">
        <v>2000000</v>
      </c>
      <c r="G4" s="68">
        <f t="shared" ref="G4:G9" si="0">F4-D4</f>
        <v>2000000</v>
      </c>
    </row>
    <row r="5" spans="1:14" x14ac:dyDescent="0.25">
      <c r="A5" s="54">
        <v>44230</v>
      </c>
      <c r="B5" s="85">
        <f t="shared" ref="B5:B9" si="1">_xlfn.DAYS(A5,A4)</f>
        <v>184</v>
      </c>
      <c r="C5" s="68">
        <f t="shared" ref="C5:C10" si="2">$C$2</f>
        <v>494500</v>
      </c>
      <c r="D5" s="92">
        <f t="shared" ref="D5:D9" si="3">C5-E5</f>
        <v>343267.12</v>
      </c>
      <c r="E5" s="68">
        <f>ROUND(F5*$B$2*B5/365,2)</f>
        <v>151232.88</v>
      </c>
      <c r="F5" s="68">
        <f t="shared" ref="F5:F9" si="4">G4</f>
        <v>2000000</v>
      </c>
      <c r="G5" s="68">
        <f t="shared" si="0"/>
        <v>1656732.88</v>
      </c>
    </row>
    <row r="6" spans="1:14" x14ac:dyDescent="0.25">
      <c r="A6" s="54">
        <v>44411</v>
      </c>
      <c r="B6" s="85">
        <f t="shared" si="1"/>
        <v>181</v>
      </c>
      <c r="C6" s="68">
        <f t="shared" si="2"/>
        <v>494500</v>
      </c>
      <c r="D6" s="92">
        <f t="shared" si="3"/>
        <v>371266.31</v>
      </c>
      <c r="E6" s="68">
        <f t="shared" ref="E6:E8" si="5">ROUND(F6*$B$2*B6/365,2)</f>
        <v>123233.69</v>
      </c>
      <c r="F6" s="68">
        <f t="shared" si="4"/>
        <v>1656732.88</v>
      </c>
      <c r="G6" s="68">
        <f t="shared" si="0"/>
        <v>1285466.5699999998</v>
      </c>
    </row>
    <row r="7" spans="1:14" x14ac:dyDescent="0.25">
      <c r="A7" s="54">
        <v>44595</v>
      </c>
      <c r="B7" s="85">
        <f t="shared" si="1"/>
        <v>184</v>
      </c>
      <c r="C7" s="68">
        <f t="shared" si="2"/>
        <v>494500</v>
      </c>
      <c r="D7" s="92">
        <f t="shared" si="3"/>
        <v>397297.6</v>
      </c>
      <c r="E7" s="68">
        <f t="shared" si="5"/>
        <v>97202.4</v>
      </c>
      <c r="F7" s="68">
        <f t="shared" si="4"/>
        <v>1285466.5699999998</v>
      </c>
      <c r="G7" s="68">
        <f t="shared" si="0"/>
        <v>888168.96999999986</v>
      </c>
    </row>
    <row r="8" spans="1:14" x14ac:dyDescent="0.25">
      <c r="A8" s="54">
        <v>44776</v>
      </c>
      <c r="B8" s="85">
        <f t="shared" si="1"/>
        <v>181</v>
      </c>
      <c r="C8" s="68">
        <f t="shared" si="2"/>
        <v>494500</v>
      </c>
      <c r="D8" s="92">
        <f t="shared" si="3"/>
        <v>428434.83</v>
      </c>
      <c r="E8" s="68">
        <f t="shared" si="5"/>
        <v>66065.17</v>
      </c>
      <c r="F8" s="68">
        <f t="shared" si="4"/>
        <v>888168.96999999986</v>
      </c>
      <c r="G8" s="68">
        <f t="shared" si="0"/>
        <v>459734.13999999984</v>
      </c>
    </row>
    <row r="9" spans="1:14" x14ac:dyDescent="0.25">
      <c r="A9" s="54">
        <v>44960</v>
      </c>
      <c r="B9" s="85">
        <f t="shared" si="1"/>
        <v>184</v>
      </c>
      <c r="C9" s="68">
        <f t="shared" si="2"/>
        <v>494500</v>
      </c>
      <c r="D9" s="92">
        <f t="shared" si="3"/>
        <v>459734.13999999984</v>
      </c>
      <c r="E9" s="68">
        <v>34765.860000000139</v>
      </c>
      <c r="F9" s="68">
        <f t="shared" si="4"/>
        <v>459734.13999999984</v>
      </c>
      <c r="G9" s="68">
        <f t="shared" si="0"/>
        <v>0</v>
      </c>
    </row>
    <row r="10" spans="1:14" x14ac:dyDescent="0.25">
      <c r="A10" s="70">
        <v>44411</v>
      </c>
      <c r="B10" s="84">
        <f>_xlfn.DAYS(A6,A5)</f>
        <v>181</v>
      </c>
      <c r="C10" s="90">
        <f t="shared" si="2"/>
        <v>494500</v>
      </c>
      <c r="D10" s="91">
        <f t="shared" ref="D10:D12" si="6">C10-E10</f>
        <v>371266.31</v>
      </c>
      <c r="E10" s="90">
        <f t="shared" ref="E10:E11" si="7">ROUND(F10*$B$2*B10/365,2)</f>
        <v>123233.69</v>
      </c>
      <c r="F10" s="90">
        <f>G5</f>
        <v>1656732.88</v>
      </c>
      <c r="G10" s="90">
        <f t="shared" ref="G10:G12" si="8">F10-D10</f>
        <v>1285466.5699999998</v>
      </c>
    </row>
    <row r="11" spans="1:14" x14ac:dyDescent="0.25">
      <c r="A11" s="54">
        <v>44595</v>
      </c>
      <c r="B11" s="85">
        <f t="shared" ref="B11:B13" si="9">_xlfn.DAYS(A11,A10)</f>
        <v>184</v>
      </c>
      <c r="C11" s="68">
        <f>$E$2</f>
        <v>472957</v>
      </c>
      <c r="D11" s="92">
        <f t="shared" si="6"/>
        <v>379989.12</v>
      </c>
      <c r="E11" s="68">
        <f t="shared" si="7"/>
        <v>92967.88</v>
      </c>
      <c r="F11" s="68">
        <f>G10-F2</f>
        <v>1229466.5699999998</v>
      </c>
      <c r="G11" s="68">
        <f t="shared" si="8"/>
        <v>849477.44999999984</v>
      </c>
    </row>
    <row r="12" spans="1:14" x14ac:dyDescent="0.25">
      <c r="A12" s="54">
        <v>44776</v>
      </c>
      <c r="B12" s="85">
        <f t="shared" si="9"/>
        <v>181</v>
      </c>
      <c r="C12" s="68">
        <f>$H$2</f>
        <v>489270</v>
      </c>
      <c r="D12" s="92">
        <f t="shared" si="6"/>
        <v>405020.46</v>
      </c>
      <c r="E12" s="68">
        <f>ROUND(F12*$I$2*B12/365,2)</f>
        <v>84249.54</v>
      </c>
      <c r="F12" s="68">
        <f t="shared" ref="F12" si="10">G11</f>
        <v>849477.44999999984</v>
      </c>
      <c r="G12" s="68">
        <f t="shared" si="8"/>
        <v>444456.98999999982</v>
      </c>
    </row>
    <row r="13" spans="1:14" x14ac:dyDescent="0.25">
      <c r="A13" s="54">
        <v>44960</v>
      </c>
      <c r="B13" s="85">
        <f t="shared" si="9"/>
        <v>184</v>
      </c>
      <c r="C13" s="68">
        <f>$K$2</f>
        <v>91356</v>
      </c>
      <c r="D13" s="92">
        <f t="shared" ref="D13" si="11">C13-E13</f>
        <v>46544.99</v>
      </c>
      <c r="E13" s="68">
        <f>ROUND(F13*$I$2*B13/365,2)</f>
        <v>44811.01</v>
      </c>
      <c r="F13" s="68">
        <f t="shared" ref="F13" si="12">G12</f>
        <v>444456.98999999982</v>
      </c>
      <c r="G13" s="68">
        <f t="shared" ref="G13" si="13">F13-D13</f>
        <v>397911.99999999983</v>
      </c>
    </row>
    <row r="14" spans="1:14" x14ac:dyDescent="0.25">
      <c r="A14" s="54">
        <v>45141</v>
      </c>
      <c r="B14" s="85">
        <f t="shared" ref="B14:B15" si="14">_xlfn.DAYS(A14,A13)</f>
        <v>181</v>
      </c>
      <c r="C14" s="68">
        <f>$K$2</f>
        <v>91356</v>
      </c>
      <c r="D14" s="92">
        <f t="shared" ref="D14:D15" si="15">C14-E14</f>
        <v>51891.85</v>
      </c>
      <c r="E14" s="68">
        <f>ROUND(F14*$I$2*B14/365,2)</f>
        <v>39464.15</v>
      </c>
      <c r="F14" s="68">
        <f t="shared" ref="F14:F15" si="16">G13</f>
        <v>397911.99999999983</v>
      </c>
      <c r="G14" s="68">
        <f t="shared" ref="G14:G15" si="17">F14-D14</f>
        <v>346020.14999999985</v>
      </c>
    </row>
    <row r="15" spans="1:14" x14ac:dyDescent="0.25">
      <c r="A15" s="54">
        <v>45325</v>
      </c>
      <c r="B15" s="85">
        <f t="shared" si="14"/>
        <v>184</v>
      </c>
      <c r="C15" s="68">
        <f t="shared" ref="C15:C16" si="18">$K$2</f>
        <v>91356</v>
      </c>
      <c r="D15" s="92">
        <f t="shared" si="15"/>
        <v>56469.58</v>
      </c>
      <c r="E15" s="68">
        <f t="shared" ref="E15:E19" si="19">ROUND(F15*$I$2*B15/365,2)</f>
        <v>34886.42</v>
      </c>
      <c r="F15" s="68">
        <f t="shared" si="16"/>
        <v>346020.14999999985</v>
      </c>
      <c r="G15" s="68">
        <f t="shared" si="17"/>
        <v>289550.56999999983</v>
      </c>
    </row>
    <row r="16" spans="1:14" x14ac:dyDescent="0.25">
      <c r="A16" s="54">
        <v>45507</v>
      </c>
      <c r="B16" s="85">
        <f t="shared" ref="B16:B19" si="20">_xlfn.DAYS(A16,A15)</f>
        <v>182</v>
      </c>
      <c r="C16" s="68">
        <f t="shared" si="18"/>
        <v>91356</v>
      </c>
      <c r="D16" s="92">
        <f t="shared" ref="D16:D19" si="21">C16-E16</f>
        <v>62480.270000000004</v>
      </c>
      <c r="E16" s="68">
        <f t="shared" si="19"/>
        <v>28875.73</v>
      </c>
      <c r="F16" s="68">
        <f t="shared" ref="F16:F19" si="22">G15</f>
        <v>289550.56999999983</v>
      </c>
      <c r="G16" s="68">
        <f t="shared" ref="G16:G19" si="23">F16-D16</f>
        <v>227070.29999999981</v>
      </c>
    </row>
    <row r="17" spans="1:7" x14ac:dyDescent="0.25">
      <c r="A17" s="54">
        <v>45691</v>
      </c>
      <c r="B17" s="85">
        <f t="shared" si="20"/>
        <v>184</v>
      </c>
      <c r="C17" s="68">
        <f>$N$2</f>
        <v>70000</v>
      </c>
      <c r="D17" s="92">
        <f t="shared" si="21"/>
        <v>47106.34</v>
      </c>
      <c r="E17" s="68">
        <f t="shared" si="19"/>
        <v>22893.66</v>
      </c>
      <c r="F17" s="68">
        <f t="shared" si="22"/>
        <v>227070.29999999981</v>
      </c>
      <c r="G17" s="68">
        <f t="shared" si="23"/>
        <v>179963.95999999982</v>
      </c>
    </row>
    <row r="18" spans="1:7" x14ac:dyDescent="0.25">
      <c r="A18" s="54">
        <v>45872</v>
      </c>
      <c r="B18" s="85">
        <f t="shared" si="20"/>
        <v>181</v>
      </c>
      <c r="C18" s="68">
        <f t="shared" ref="C18:C20" si="24">$N$2</f>
        <v>70000</v>
      </c>
      <c r="D18" s="92">
        <f t="shared" si="21"/>
        <v>52151.520000000004</v>
      </c>
      <c r="E18" s="68">
        <f t="shared" si="19"/>
        <v>17848.48</v>
      </c>
      <c r="F18" s="68">
        <f t="shared" si="22"/>
        <v>179963.95999999982</v>
      </c>
      <c r="G18" s="68">
        <f t="shared" si="23"/>
        <v>127812.43999999981</v>
      </c>
    </row>
    <row r="19" spans="1:7" x14ac:dyDescent="0.25">
      <c r="A19" s="54">
        <v>46056</v>
      </c>
      <c r="B19" s="85">
        <f t="shared" si="20"/>
        <v>184</v>
      </c>
      <c r="C19" s="68">
        <f t="shared" si="24"/>
        <v>70000</v>
      </c>
      <c r="D19" s="92">
        <f t="shared" si="21"/>
        <v>57113.7</v>
      </c>
      <c r="E19" s="68">
        <f t="shared" si="19"/>
        <v>12886.3</v>
      </c>
      <c r="F19" s="68">
        <f t="shared" si="22"/>
        <v>127812.43999999981</v>
      </c>
      <c r="G19" s="68">
        <f t="shared" si="23"/>
        <v>70698.739999999816</v>
      </c>
    </row>
    <row r="20" spans="1:7" x14ac:dyDescent="0.25">
      <c r="A20" s="54">
        <v>46237</v>
      </c>
      <c r="B20" s="85">
        <f t="shared" ref="B20:B21" si="25">_xlfn.DAYS(A20,A19)</f>
        <v>181</v>
      </c>
      <c r="C20" s="68">
        <f t="shared" si="24"/>
        <v>70000</v>
      </c>
      <c r="D20" s="92">
        <f t="shared" ref="D20:D21" si="26">C20-E20</f>
        <v>62988.229999999996</v>
      </c>
      <c r="E20" s="68">
        <f t="shared" ref="E20:E21" si="27">ROUND(F20*$I$2*B20/365,2)</f>
        <v>7011.77</v>
      </c>
      <c r="F20" s="68">
        <f t="shared" ref="F20:F21" si="28">G19</f>
        <v>70698.739999999816</v>
      </c>
      <c r="G20" s="68">
        <f t="shared" ref="G20:G21" si="29">F20-D20</f>
        <v>7710.5099999998201</v>
      </c>
    </row>
    <row r="21" spans="1:7" x14ac:dyDescent="0.25">
      <c r="A21" s="54">
        <v>46421</v>
      </c>
      <c r="B21" s="85">
        <f t="shared" si="25"/>
        <v>184</v>
      </c>
      <c r="C21" s="47">
        <f>ROUND(G20+E21,2)</f>
        <v>8487.9</v>
      </c>
      <c r="D21" s="92">
        <f t="shared" si="26"/>
        <v>7710.5099999999993</v>
      </c>
      <c r="E21" s="68">
        <f t="shared" si="27"/>
        <v>777.39</v>
      </c>
      <c r="F21" s="68">
        <f t="shared" si="28"/>
        <v>7710.5099999998201</v>
      </c>
      <c r="G21" s="68">
        <f t="shared" si="29"/>
        <v>-1.7917045624926686E-10</v>
      </c>
    </row>
  </sheetData>
  <pageMargins left="0.7" right="0.7" top="0.75" bottom="0.75" header="0.3" footer="0.3"/>
  <pageSetup orientation="portrait" r:id="rId1"/>
</worksheet>
</file>

<file path=xl/worksheets/sheet1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E9571F-CFF4-4616-927F-E967D50EB97D}">
  <dimension ref="A1:N21"/>
  <sheetViews>
    <sheetView zoomScale="80" zoomScaleNormal="80" workbookViewId="0">
      <pane ySplit="3" topLeftCell="A4" activePane="bottomLeft" state="frozen"/>
      <selection activeCell="C51" sqref="C51"/>
      <selection pane="bottomLeft" activeCell="C21" sqref="C21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2.42578125" bestFit="1" customWidth="1"/>
    <col min="5" max="5" width="17.42578125" bestFit="1" customWidth="1"/>
    <col min="6" max="6" width="17" bestFit="1" customWidth="1"/>
    <col min="7" max="7" width="15.85546875" bestFit="1" customWidth="1"/>
    <col min="8" max="8" width="17.42578125" bestFit="1" customWidth="1"/>
    <col min="9" max="9" width="9.140625" bestFit="1" customWidth="1"/>
    <col min="10" max="10" width="10.140625" bestFit="1" customWidth="1"/>
    <col min="11" max="11" width="17.42578125" bestFit="1" customWidth="1"/>
    <col min="12" max="12" width="7" bestFit="1" customWidth="1"/>
    <col min="13" max="13" width="11.28515625" bestFit="1" customWidth="1"/>
    <col min="14" max="14" width="13.5703125" bestFit="1" customWidth="1"/>
  </cols>
  <sheetData>
    <row r="1" spans="1:14" x14ac:dyDescent="0.25">
      <c r="A1" s="17" t="s">
        <v>33</v>
      </c>
      <c r="B1" s="78">
        <v>44045</v>
      </c>
      <c r="C1" s="17" t="s">
        <v>37</v>
      </c>
      <c r="D1" s="124" t="s">
        <v>347</v>
      </c>
      <c r="E1" s="124" t="s">
        <v>150</v>
      </c>
      <c r="F1" s="124" t="s">
        <v>327</v>
      </c>
      <c r="G1" s="132" t="s">
        <v>346</v>
      </c>
      <c r="H1" s="190" t="s">
        <v>149</v>
      </c>
      <c r="I1" s="132" t="s">
        <v>359</v>
      </c>
      <c r="J1" s="192" t="s">
        <v>420</v>
      </c>
      <c r="K1" s="191" t="s">
        <v>126</v>
      </c>
      <c r="L1" s="192" t="s">
        <v>421</v>
      </c>
      <c r="M1" s="163" t="s">
        <v>420</v>
      </c>
      <c r="N1" s="163" t="s">
        <v>177</v>
      </c>
    </row>
    <row r="2" spans="1:14" x14ac:dyDescent="0.25">
      <c r="A2" s="75" t="s">
        <v>34</v>
      </c>
      <c r="B2" s="76">
        <v>0.15</v>
      </c>
      <c r="C2" s="17">
        <f>ROUNDUP(494329.434,0)</f>
        <v>494330</v>
      </c>
      <c r="D2" s="125">
        <v>44411</v>
      </c>
      <c r="E2" s="124">
        <f>ROUNDUP(472794.876937414,0)</f>
        <v>472795</v>
      </c>
      <c r="F2" s="184">
        <v>56000</v>
      </c>
      <c r="G2" s="134">
        <v>44595</v>
      </c>
      <c r="H2" s="190">
        <f>ROUNDUP(489147.624666979,0)</f>
        <v>489148</v>
      </c>
      <c r="I2" s="180">
        <v>0.2</v>
      </c>
      <c r="J2" s="194">
        <v>44776</v>
      </c>
      <c r="K2" s="191">
        <f>ROUNDUP(91339.5684656852,0)</f>
        <v>91340</v>
      </c>
      <c r="L2" s="193">
        <v>11</v>
      </c>
      <c r="M2" s="195" t="s">
        <v>416</v>
      </c>
      <c r="N2" s="196">
        <v>70000</v>
      </c>
    </row>
    <row r="3" spans="1:14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</row>
    <row r="4" spans="1:14" x14ac:dyDescent="0.25">
      <c r="A4" s="54">
        <v>44046</v>
      </c>
      <c r="B4" s="85">
        <f>_xlfn.DAYS(A4,B1)</f>
        <v>1</v>
      </c>
      <c r="C4" s="68">
        <f>$C$2</f>
        <v>494330</v>
      </c>
      <c r="D4" s="92">
        <v>0</v>
      </c>
      <c r="E4" s="68">
        <f>ROUNDUP(F4*$B$2*B4/360,0)</f>
        <v>834</v>
      </c>
      <c r="F4" s="68">
        <v>2000000</v>
      </c>
      <c r="G4" s="68">
        <f t="shared" ref="G4:G12" si="0">F4-D4</f>
        <v>2000000</v>
      </c>
    </row>
    <row r="5" spans="1:14" x14ac:dyDescent="0.25">
      <c r="A5" s="54">
        <v>44230</v>
      </c>
      <c r="B5" s="85">
        <f>DAYS360(A4,A5,TRUE)</f>
        <v>180</v>
      </c>
      <c r="C5" s="68">
        <f t="shared" ref="C5:C9" si="1">$C$2</f>
        <v>494330</v>
      </c>
      <c r="D5" s="92">
        <f t="shared" ref="D5:D12" si="2">C5-E5</f>
        <v>344330</v>
      </c>
      <c r="E5" s="68">
        <f>ROUND(F5*$B$2*B5/360,2)</f>
        <v>150000</v>
      </c>
      <c r="F5" s="68">
        <f t="shared" ref="F5:F9" si="3">G4</f>
        <v>2000000</v>
      </c>
      <c r="G5" s="68">
        <f t="shared" si="0"/>
        <v>1655670</v>
      </c>
    </row>
    <row r="6" spans="1:14" x14ac:dyDescent="0.25">
      <c r="A6" s="54">
        <v>44411</v>
      </c>
      <c r="B6" s="85">
        <f t="shared" ref="B6:B21" si="4">DAYS360(A5,A6,TRUE)</f>
        <v>180</v>
      </c>
      <c r="C6" s="68">
        <f t="shared" si="1"/>
        <v>494330</v>
      </c>
      <c r="D6" s="92">
        <f t="shared" si="2"/>
        <v>370154.75</v>
      </c>
      <c r="E6" s="68">
        <f>ROUND(F6*$B$2*B6/360,2)</f>
        <v>124175.25</v>
      </c>
      <c r="F6" s="68">
        <f t="shared" si="3"/>
        <v>1655670</v>
      </c>
      <c r="G6" s="68">
        <f t="shared" si="0"/>
        <v>1285515.25</v>
      </c>
    </row>
    <row r="7" spans="1:14" x14ac:dyDescent="0.25">
      <c r="A7" s="54">
        <v>44595</v>
      </c>
      <c r="B7" s="85">
        <f t="shared" si="4"/>
        <v>180</v>
      </c>
      <c r="C7" s="68">
        <f t="shared" si="1"/>
        <v>494330</v>
      </c>
      <c r="D7" s="92">
        <f t="shared" si="2"/>
        <v>397916.36</v>
      </c>
      <c r="E7" s="68">
        <f>ROUND(F7*$B$2*B7/360,2)</f>
        <v>96413.64</v>
      </c>
      <c r="F7" s="68">
        <f t="shared" si="3"/>
        <v>1285515.25</v>
      </c>
      <c r="G7" s="68">
        <f t="shared" si="0"/>
        <v>887598.89</v>
      </c>
    </row>
    <row r="8" spans="1:14" x14ac:dyDescent="0.25">
      <c r="A8" s="54">
        <v>44776</v>
      </c>
      <c r="B8" s="85">
        <f t="shared" si="4"/>
        <v>180</v>
      </c>
      <c r="C8" s="68">
        <f t="shared" si="1"/>
        <v>494330</v>
      </c>
      <c r="D8" s="92">
        <f t="shared" si="2"/>
        <v>427760.08</v>
      </c>
      <c r="E8" s="68">
        <f>ROUND(F8*$B$2*B8/360,2)</f>
        <v>66569.919999999998</v>
      </c>
      <c r="F8" s="68">
        <f t="shared" si="3"/>
        <v>887598.89</v>
      </c>
      <c r="G8" s="68">
        <f t="shared" si="0"/>
        <v>459838.81</v>
      </c>
    </row>
    <row r="9" spans="1:14" x14ac:dyDescent="0.25">
      <c r="A9" s="54">
        <v>44960</v>
      </c>
      <c r="B9" s="85">
        <f t="shared" si="4"/>
        <v>180</v>
      </c>
      <c r="C9" s="68">
        <f t="shared" si="1"/>
        <v>494330</v>
      </c>
      <c r="D9" s="92">
        <f t="shared" si="2"/>
        <v>459838.81000000006</v>
      </c>
      <c r="E9" s="68">
        <v>34491.189999999973</v>
      </c>
      <c r="F9" s="68">
        <f t="shared" si="3"/>
        <v>459838.81</v>
      </c>
      <c r="G9" s="68">
        <f t="shared" si="0"/>
        <v>0</v>
      </c>
    </row>
    <row r="10" spans="1:14" x14ac:dyDescent="0.25">
      <c r="A10" s="70">
        <v>44411</v>
      </c>
      <c r="B10" s="84">
        <f>DAYS360(A4,A5,TRUE)</f>
        <v>180</v>
      </c>
      <c r="C10" s="90">
        <f>$C$2</f>
        <v>494330</v>
      </c>
      <c r="D10" s="91">
        <f t="shared" si="2"/>
        <v>370154.75</v>
      </c>
      <c r="E10" s="90">
        <f>ROUND(F10*$B$2*B10/360,2)</f>
        <v>124175.25</v>
      </c>
      <c r="F10" s="90">
        <f>G5</f>
        <v>1655670</v>
      </c>
      <c r="G10" s="90">
        <f t="shared" si="0"/>
        <v>1285515.25</v>
      </c>
    </row>
    <row r="11" spans="1:14" x14ac:dyDescent="0.25">
      <c r="A11" s="54">
        <v>44595</v>
      </c>
      <c r="B11" s="85">
        <f t="shared" si="4"/>
        <v>180</v>
      </c>
      <c r="C11" s="68">
        <f>$E$2</f>
        <v>472795</v>
      </c>
      <c r="D11" s="92">
        <f t="shared" si="2"/>
        <v>380581.36</v>
      </c>
      <c r="E11" s="68">
        <f>ROUND(F11*$B$2*B11/360,2)</f>
        <v>92213.64</v>
      </c>
      <c r="F11" s="68">
        <f>G10-F2</f>
        <v>1229515.25</v>
      </c>
      <c r="G11" s="68">
        <f t="shared" si="0"/>
        <v>848933.89</v>
      </c>
    </row>
    <row r="12" spans="1:14" x14ac:dyDescent="0.25">
      <c r="A12" s="54">
        <v>44776</v>
      </c>
      <c r="B12" s="85">
        <f t="shared" si="4"/>
        <v>180</v>
      </c>
      <c r="C12" s="68">
        <f>$H$2</f>
        <v>489148</v>
      </c>
      <c r="D12" s="92">
        <f t="shared" si="2"/>
        <v>404254.61</v>
      </c>
      <c r="E12" s="68">
        <f>ROUND(F12*$I$2*B12/360,2)</f>
        <v>84893.39</v>
      </c>
      <c r="F12" s="68">
        <f t="shared" ref="F12" si="5">G11</f>
        <v>848933.89</v>
      </c>
      <c r="G12" s="68">
        <f t="shared" si="0"/>
        <v>444679.28</v>
      </c>
    </row>
    <row r="13" spans="1:14" x14ac:dyDescent="0.25">
      <c r="A13" s="54">
        <v>44960</v>
      </c>
      <c r="B13" s="85">
        <f t="shared" si="4"/>
        <v>180</v>
      </c>
      <c r="C13" s="68">
        <f>$K$2</f>
        <v>91340</v>
      </c>
      <c r="D13" s="92">
        <f t="shared" ref="D13:D14" si="6">C13-E13</f>
        <v>46872.07</v>
      </c>
      <c r="E13" s="68">
        <f>ROUND(F13*$I$2*B13/360,2)</f>
        <v>44467.93</v>
      </c>
      <c r="F13" s="68">
        <f t="shared" ref="F13:F14" si="7">G12</f>
        <v>444679.28</v>
      </c>
      <c r="G13" s="68">
        <f t="shared" ref="G13:G14" si="8">F13-D13</f>
        <v>397807.21</v>
      </c>
    </row>
    <row r="14" spans="1:14" x14ac:dyDescent="0.25">
      <c r="A14" s="54">
        <v>45141</v>
      </c>
      <c r="B14" s="85">
        <f t="shared" si="4"/>
        <v>180</v>
      </c>
      <c r="C14" s="68">
        <f t="shared" ref="C14:C16" si="9">$K$2</f>
        <v>91340</v>
      </c>
      <c r="D14" s="92">
        <f t="shared" si="6"/>
        <v>51559.28</v>
      </c>
      <c r="E14" s="68">
        <f t="shared" ref="E14:E18" si="10">ROUND(F14*$I$2*B14/360,2)</f>
        <v>39780.720000000001</v>
      </c>
      <c r="F14" s="68">
        <f t="shared" si="7"/>
        <v>397807.21</v>
      </c>
      <c r="G14" s="68">
        <f t="shared" si="8"/>
        <v>346247.93000000005</v>
      </c>
    </row>
    <row r="15" spans="1:14" x14ac:dyDescent="0.25">
      <c r="A15" s="54">
        <v>45325</v>
      </c>
      <c r="B15" s="85">
        <f t="shared" si="4"/>
        <v>180</v>
      </c>
      <c r="C15" s="68">
        <f t="shared" si="9"/>
        <v>91340</v>
      </c>
      <c r="D15" s="92">
        <f t="shared" ref="D15:D18" si="11">C15-E15</f>
        <v>56715.21</v>
      </c>
      <c r="E15" s="68">
        <f t="shared" si="10"/>
        <v>34624.79</v>
      </c>
      <c r="F15" s="68">
        <f t="shared" ref="F15:F18" si="12">G14</f>
        <v>346247.93000000005</v>
      </c>
      <c r="G15" s="68">
        <f t="shared" ref="G15:G18" si="13">F15-D15</f>
        <v>289532.72000000003</v>
      </c>
    </row>
    <row r="16" spans="1:14" x14ac:dyDescent="0.25">
      <c r="A16" s="54">
        <v>45507</v>
      </c>
      <c r="B16" s="85">
        <f t="shared" si="4"/>
        <v>180</v>
      </c>
      <c r="C16" s="68">
        <f t="shared" si="9"/>
        <v>91340</v>
      </c>
      <c r="D16" s="92">
        <f t="shared" si="11"/>
        <v>62386.729999999996</v>
      </c>
      <c r="E16" s="68">
        <f t="shared" si="10"/>
        <v>28953.27</v>
      </c>
      <c r="F16" s="68">
        <f t="shared" si="12"/>
        <v>289532.72000000003</v>
      </c>
      <c r="G16" s="68">
        <f t="shared" si="13"/>
        <v>227145.99000000005</v>
      </c>
    </row>
    <row r="17" spans="1:7" x14ac:dyDescent="0.25">
      <c r="A17" s="54">
        <v>45691</v>
      </c>
      <c r="B17" s="85">
        <f t="shared" si="4"/>
        <v>180</v>
      </c>
      <c r="C17" s="68">
        <f>$N$2</f>
        <v>70000</v>
      </c>
      <c r="D17" s="92">
        <f t="shared" si="11"/>
        <v>47285.4</v>
      </c>
      <c r="E17" s="68">
        <f t="shared" si="10"/>
        <v>22714.6</v>
      </c>
      <c r="F17" s="68">
        <f t="shared" si="12"/>
        <v>227145.99000000005</v>
      </c>
      <c r="G17" s="68">
        <f t="shared" si="13"/>
        <v>179860.59000000005</v>
      </c>
    </row>
    <row r="18" spans="1:7" x14ac:dyDescent="0.25">
      <c r="A18" s="54">
        <v>45872</v>
      </c>
      <c r="B18" s="85">
        <f t="shared" si="4"/>
        <v>180</v>
      </c>
      <c r="C18" s="68">
        <f t="shared" ref="C18:C20" si="14">$N$2</f>
        <v>70000</v>
      </c>
      <c r="D18" s="92">
        <f t="shared" si="11"/>
        <v>52013.94</v>
      </c>
      <c r="E18" s="68">
        <f t="shared" si="10"/>
        <v>17986.060000000001</v>
      </c>
      <c r="F18" s="68">
        <f t="shared" si="12"/>
        <v>179860.59000000005</v>
      </c>
      <c r="G18" s="68">
        <f t="shared" si="13"/>
        <v>127846.65000000005</v>
      </c>
    </row>
    <row r="19" spans="1:7" x14ac:dyDescent="0.25">
      <c r="A19" s="54">
        <v>46056</v>
      </c>
      <c r="B19" s="85">
        <f t="shared" si="4"/>
        <v>180</v>
      </c>
      <c r="C19" s="68">
        <f t="shared" si="14"/>
        <v>70000</v>
      </c>
      <c r="D19" s="92">
        <f t="shared" ref="D19:D20" si="15">C19-E19</f>
        <v>57215.33</v>
      </c>
      <c r="E19" s="68">
        <f t="shared" ref="E19:E20" si="16">ROUND(F19*$I$2*B19/360,2)</f>
        <v>12784.67</v>
      </c>
      <c r="F19" s="68">
        <f t="shared" ref="F19:F20" si="17">G18</f>
        <v>127846.65000000005</v>
      </c>
      <c r="G19" s="68">
        <f t="shared" ref="G19:G20" si="18">F19-D19</f>
        <v>70631.320000000051</v>
      </c>
    </row>
    <row r="20" spans="1:7" x14ac:dyDescent="0.25">
      <c r="A20" s="54">
        <v>46237</v>
      </c>
      <c r="B20" s="85">
        <f t="shared" si="4"/>
        <v>180</v>
      </c>
      <c r="C20" s="68">
        <f t="shared" si="14"/>
        <v>70000</v>
      </c>
      <c r="D20" s="92">
        <f t="shared" si="15"/>
        <v>62936.87</v>
      </c>
      <c r="E20" s="68">
        <f t="shared" si="16"/>
        <v>7063.13</v>
      </c>
      <c r="F20" s="68">
        <f t="shared" si="17"/>
        <v>70631.320000000051</v>
      </c>
      <c r="G20" s="68">
        <f t="shared" si="18"/>
        <v>7694.450000000048</v>
      </c>
    </row>
    <row r="21" spans="1:7" x14ac:dyDescent="0.25">
      <c r="A21" s="54">
        <v>46421</v>
      </c>
      <c r="B21" s="85">
        <f t="shared" si="4"/>
        <v>180</v>
      </c>
      <c r="C21" s="47">
        <f>ROUND(G20+E21,2)</f>
        <v>8463.9</v>
      </c>
      <c r="D21" s="92">
        <f t="shared" ref="D21" si="19">C21-E21</f>
        <v>7694.45</v>
      </c>
      <c r="E21" s="68">
        <f t="shared" ref="E21" si="20">ROUND(F21*$I$2*B21/360,2)</f>
        <v>769.45</v>
      </c>
      <c r="F21" s="68">
        <f t="shared" ref="F21" si="21">G20</f>
        <v>7694.450000000048</v>
      </c>
      <c r="G21" s="68">
        <f t="shared" ref="G21" si="22">F21-D21</f>
        <v>4.8203219193965197E-11</v>
      </c>
    </row>
  </sheetData>
  <pageMargins left="0.7" right="0.7" top="0.75" bottom="0.75" header="0.3" footer="0.3"/>
  <pageSetup orientation="portrait" r:id="rId1"/>
</worksheet>
</file>

<file path=xl/worksheets/sheet1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9C875-4A27-46DB-907A-E13F64602A82}">
  <dimension ref="A1:X3"/>
  <sheetViews>
    <sheetView tabSelected="1" workbookViewId="0">
      <selection activeCell="A3" sqref="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4" width="116.28515625" bestFit="1" customWidth="1"/>
  </cols>
  <sheetData>
    <row r="1" spans="1:24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32</v>
      </c>
    </row>
    <row r="2" spans="1:24" x14ac:dyDescent="0.25">
      <c r="A2" s="12" t="s">
        <v>0</v>
      </c>
      <c r="B2" s="7" t="s">
        <v>9</v>
      </c>
      <c r="C2" s="7" t="s">
        <v>39</v>
      </c>
      <c r="D2" s="8" t="s">
        <v>77</v>
      </c>
      <c r="E2" s="8" t="s">
        <v>23</v>
      </c>
      <c r="F2" s="8" t="s">
        <v>41</v>
      </c>
      <c r="G2" s="8" t="s">
        <v>24</v>
      </c>
      <c r="H2" s="8" t="s">
        <v>13</v>
      </c>
      <c r="I2" s="8" t="s">
        <v>29</v>
      </c>
      <c r="J2" s="8" t="s">
        <v>42</v>
      </c>
      <c r="K2" s="8" t="s">
        <v>25</v>
      </c>
      <c r="L2" s="8" t="s">
        <v>26</v>
      </c>
      <c r="M2" s="8" t="s">
        <v>27</v>
      </c>
      <c r="N2" s="7" t="s">
        <v>29</v>
      </c>
      <c r="O2" s="7" t="s">
        <v>44</v>
      </c>
      <c r="P2" s="7" t="s">
        <v>45</v>
      </c>
      <c r="Q2" s="7" t="s">
        <v>46</v>
      </c>
      <c r="R2" s="7" t="s">
        <v>78</v>
      </c>
      <c r="S2" s="7" t="s">
        <v>21</v>
      </c>
      <c r="T2" s="7" t="s">
        <v>79</v>
      </c>
      <c r="U2" s="7" t="s">
        <v>358</v>
      </c>
      <c r="V2" s="7" t="s">
        <v>104</v>
      </c>
      <c r="W2" s="7" t="s">
        <v>107</v>
      </c>
      <c r="X2" s="165" t="s">
        <v>434</v>
      </c>
    </row>
    <row r="3" spans="1:24" x14ac:dyDescent="0.25">
      <c r="A3" s="12" t="s">
        <v>0</v>
      </c>
      <c r="B3" s="7" t="s">
        <v>9</v>
      </c>
      <c r="C3" s="7" t="s">
        <v>39</v>
      </c>
      <c r="D3" s="8" t="s">
        <v>77</v>
      </c>
      <c r="E3" s="8" t="s">
        <v>23</v>
      </c>
      <c r="F3" s="8" t="s">
        <v>41</v>
      </c>
      <c r="G3" s="8" t="s">
        <v>24</v>
      </c>
      <c r="H3" s="8" t="s">
        <v>13</v>
      </c>
      <c r="I3" s="8" t="s">
        <v>29</v>
      </c>
      <c r="J3" s="8" t="s">
        <v>42</v>
      </c>
      <c r="K3" s="8" t="s">
        <v>31</v>
      </c>
      <c r="L3" s="8" t="s">
        <v>26</v>
      </c>
      <c r="M3" s="8" t="s">
        <v>27</v>
      </c>
      <c r="N3" s="7" t="s">
        <v>29</v>
      </c>
      <c r="O3" s="7" t="s">
        <v>44</v>
      </c>
      <c r="P3" s="7" t="s">
        <v>45</v>
      </c>
      <c r="Q3" s="7" t="s">
        <v>46</v>
      </c>
      <c r="R3" s="7" t="s">
        <v>78</v>
      </c>
      <c r="S3" s="7" t="s">
        <v>21</v>
      </c>
      <c r="T3" s="7" t="s">
        <v>79</v>
      </c>
      <c r="U3" s="7" t="s">
        <v>358</v>
      </c>
      <c r="V3" s="7" t="s">
        <v>104</v>
      </c>
      <c r="W3" s="7" t="s">
        <v>107</v>
      </c>
      <c r="X3" s="165" t="s">
        <v>434</v>
      </c>
    </row>
  </sheetData>
  <pageMargins left="0.7" right="0.7" top="0.75" bottom="0.75" header="0.3" footer="0.3"/>
</worksheet>
</file>

<file path=xl/worksheets/sheet1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226019-D3FC-4C7D-BE50-5C850547F1FB}">
  <dimension ref="A1:M70"/>
  <sheetViews>
    <sheetView zoomScale="86" zoomScaleNormal="80" workbookViewId="0">
      <pane ySplit="3" topLeftCell="A49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3.7109375" bestFit="1" customWidth="1"/>
    <col min="10" max="10" width="17" customWidth="1"/>
    <col min="11" max="11" width="23" customWidth="1"/>
    <col min="12" max="12" width="26" customWidth="1"/>
    <col min="13" max="13" width="20.42578125" customWidth="1"/>
  </cols>
  <sheetData>
    <row r="1" spans="1:13" x14ac:dyDescent="0.25">
      <c r="A1" s="17" t="s">
        <v>33</v>
      </c>
      <c r="B1" s="78">
        <v>41856</v>
      </c>
      <c r="C1" s="17" t="s">
        <v>37</v>
      </c>
      <c r="D1" s="79">
        <f>ROUNDUP(34326798.9652603,0)</f>
        <v>34326799</v>
      </c>
      <c r="E1" s="73" t="s">
        <v>106</v>
      </c>
      <c r="F1" s="79">
        <f>ROUNDUP(34073094.9047223,0)</f>
        <v>34073095</v>
      </c>
      <c r="G1" s="83" t="s">
        <v>52</v>
      </c>
      <c r="H1" s="81">
        <v>42160</v>
      </c>
      <c r="I1" s="73" t="s">
        <v>125</v>
      </c>
      <c r="J1" s="74">
        <v>42374</v>
      </c>
      <c r="K1" s="73" t="s">
        <v>128</v>
      </c>
      <c r="L1" s="73" t="s">
        <v>123</v>
      </c>
      <c r="M1" s="74">
        <v>42740</v>
      </c>
    </row>
    <row r="2" spans="1:13" x14ac:dyDescent="0.25">
      <c r="A2" s="75" t="s">
        <v>34</v>
      </c>
      <c r="B2" s="76">
        <v>0.15</v>
      </c>
      <c r="C2" t="s">
        <v>136</v>
      </c>
      <c r="D2">
        <v>0</v>
      </c>
      <c r="E2" t="s">
        <v>137</v>
      </c>
      <c r="F2">
        <v>0</v>
      </c>
      <c r="G2" s="73" t="s">
        <v>127</v>
      </c>
      <c r="H2" s="73">
        <v>5600000</v>
      </c>
      <c r="I2" s="77" t="s">
        <v>126</v>
      </c>
      <c r="J2" s="79">
        <f>ROUNDUP(35438519.7868421,0)</f>
        <v>35438520</v>
      </c>
      <c r="K2" s="82">
        <v>0.2</v>
      </c>
      <c r="L2" s="73" t="s">
        <v>106</v>
      </c>
      <c r="M2" s="79">
        <f>ROUNDUP(23293386.3918182,0)</f>
        <v>23293387</v>
      </c>
    </row>
    <row r="3" spans="1:13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J3" s="73"/>
      <c r="K3" s="82"/>
      <c r="L3" s="73" t="s">
        <v>124</v>
      </c>
      <c r="M3" s="73">
        <v>40</v>
      </c>
    </row>
    <row r="4" spans="1:13" x14ac:dyDescent="0.25">
      <c r="A4" s="36">
        <v>41887</v>
      </c>
      <c r="B4" s="46">
        <f>A4-B1</f>
        <v>31</v>
      </c>
      <c r="C4" s="47">
        <f>$D$1</f>
        <v>34326799</v>
      </c>
      <c r="D4" s="48">
        <f t="shared" ref="D4:D39" si="0">C4-E4</f>
        <v>21714470.23</v>
      </c>
      <c r="E4" s="68">
        <f>ROUND(F4*$B$2*B4/365,2)</f>
        <v>12612328.77</v>
      </c>
      <c r="F4" s="47">
        <v>990000000</v>
      </c>
      <c r="G4" s="47">
        <f t="shared" ref="G4" si="1">F4-D4</f>
        <v>968285529.76999998</v>
      </c>
    </row>
    <row r="5" spans="1:13" x14ac:dyDescent="0.25">
      <c r="A5" s="36">
        <v>41917</v>
      </c>
      <c r="B5" s="46">
        <f>A5-A4</f>
        <v>30</v>
      </c>
      <c r="C5" s="47">
        <f>$D$1</f>
        <v>34326799</v>
      </c>
      <c r="D5" s="48">
        <f t="shared" si="0"/>
        <v>22389032.189999998</v>
      </c>
      <c r="E5" s="68">
        <f>ROUND(F5*$B$2*B5/365,2)</f>
        <v>11937766.810000001</v>
      </c>
      <c r="F5" s="47">
        <f>G4</f>
        <v>968285529.76999998</v>
      </c>
      <c r="G5" s="47">
        <f>F5-D5</f>
        <v>945896497.57999992</v>
      </c>
    </row>
    <row r="6" spans="1:13" x14ac:dyDescent="0.25">
      <c r="A6" s="36">
        <v>41948</v>
      </c>
      <c r="B6" s="46">
        <f t="shared" ref="B6:B39" si="2">A6-A5</f>
        <v>31</v>
      </c>
      <c r="C6" s="47">
        <f t="shared" ref="C6:C40" si="3">$D$1</f>
        <v>34326799</v>
      </c>
      <c r="D6" s="48">
        <f t="shared" si="0"/>
        <v>22276336.77</v>
      </c>
      <c r="E6" s="68">
        <f t="shared" ref="E6:E38" si="4">ROUND(F6*$B$2*B6/365,2)</f>
        <v>12050462.23</v>
      </c>
      <c r="F6" s="47">
        <f t="shared" ref="F6:F39" si="5">G5</f>
        <v>945896497.57999992</v>
      </c>
      <c r="G6" s="47">
        <f t="shared" ref="G6:G39" si="6">F6-D6</f>
        <v>923620160.80999994</v>
      </c>
    </row>
    <row r="7" spans="1:13" x14ac:dyDescent="0.25">
      <c r="A7" s="36">
        <v>41978</v>
      </c>
      <c r="B7" s="46">
        <f t="shared" si="2"/>
        <v>30</v>
      </c>
      <c r="C7" s="47">
        <f t="shared" si="3"/>
        <v>34326799</v>
      </c>
      <c r="D7" s="48">
        <f t="shared" si="0"/>
        <v>22939701.130000003</v>
      </c>
      <c r="E7" s="68">
        <f t="shared" si="4"/>
        <v>11387097.869999999</v>
      </c>
      <c r="F7" s="47">
        <f t="shared" si="5"/>
        <v>923620160.80999994</v>
      </c>
      <c r="G7" s="47">
        <f t="shared" si="6"/>
        <v>900680459.67999995</v>
      </c>
    </row>
    <row r="8" spans="1:13" x14ac:dyDescent="0.25">
      <c r="A8" s="36">
        <v>42009</v>
      </c>
      <c r="B8" s="46">
        <f t="shared" si="2"/>
        <v>31</v>
      </c>
      <c r="C8" s="47">
        <f t="shared" si="3"/>
        <v>34326799</v>
      </c>
      <c r="D8" s="48">
        <f t="shared" si="0"/>
        <v>22852376.710000001</v>
      </c>
      <c r="E8" s="68">
        <f t="shared" si="4"/>
        <v>11474422.289999999</v>
      </c>
      <c r="F8" s="47">
        <f t="shared" si="5"/>
        <v>900680459.67999995</v>
      </c>
      <c r="G8" s="47">
        <f t="shared" si="6"/>
        <v>877828082.96999991</v>
      </c>
    </row>
    <row r="9" spans="1:13" x14ac:dyDescent="0.25">
      <c r="A9" s="36">
        <v>42040</v>
      </c>
      <c r="B9" s="46">
        <f t="shared" si="2"/>
        <v>31</v>
      </c>
      <c r="C9" s="47">
        <f t="shared" si="3"/>
        <v>34326799</v>
      </c>
      <c r="D9" s="48">
        <f t="shared" si="0"/>
        <v>23143509.719999999</v>
      </c>
      <c r="E9" s="68">
        <f t="shared" si="4"/>
        <v>11183289.279999999</v>
      </c>
      <c r="F9" s="47">
        <f t="shared" si="5"/>
        <v>877828082.96999991</v>
      </c>
      <c r="G9" s="47">
        <f t="shared" si="6"/>
        <v>854684573.24999988</v>
      </c>
    </row>
    <row r="10" spans="1:13" x14ac:dyDescent="0.25">
      <c r="A10" s="36">
        <v>42068</v>
      </c>
      <c r="B10" s="46">
        <f t="shared" si="2"/>
        <v>28</v>
      </c>
      <c r="C10" s="47">
        <f t="shared" si="3"/>
        <v>34326799</v>
      </c>
      <c r="D10" s="48">
        <f t="shared" si="0"/>
        <v>24492072.399999999</v>
      </c>
      <c r="E10" s="68">
        <f t="shared" si="4"/>
        <v>9834726.5999999996</v>
      </c>
      <c r="F10" s="47">
        <f t="shared" si="5"/>
        <v>854684573.24999988</v>
      </c>
      <c r="G10" s="47">
        <f t="shared" si="6"/>
        <v>830192500.8499999</v>
      </c>
    </row>
    <row r="11" spans="1:13" x14ac:dyDescent="0.25">
      <c r="A11" s="36">
        <v>42099</v>
      </c>
      <c r="B11" s="46">
        <f t="shared" si="2"/>
        <v>31</v>
      </c>
      <c r="C11" s="47">
        <f t="shared" si="3"/>
        <v>34326799</v>
      </c>
      <c r="D11" s="48">
        <f t="shared" si="0"/>
        <v>23750373.990000002</v>
      </c>
      <c r="E11" s="68">
        <f t="shared" si="4"/>
        <v>10576425.01</v>
      </c>
      <c r="F11" s="47">
        <f t="shared" si="5"/>
        <v>830192500.8499999</v>
      </c>
      <c r="G11" s="47">
        <f t="shared" si="6"/>
        <v>806442126.8599999</v>
      </c>
    </row>
    <row r="12" spans="1:13" x14ac:dyDescent="0.25">
      <c r="A12" s="36">
        <v>42129</v>
      </c>
      <c r="B12" s="46">
        <f t="shared" si="2"/>
        <v>30</v>
      </c>
      <c r="C12" s="47">
        <f t="shared" si="3"/>
        <v>34326799</v>
      </c>
      <c r="D12" s="48">
        <f t="shared" si="0"/>
        <v>24384361.82</v>
      </c>
      <c r="E12" s="68">
        <f t="shared" si="4"/>
        <v>9942437.1799999997</v>
      </c>
      <c r="F12" s="47">
        <f t="shared" si="5"/>
        <v>806442126.8599999</v>
      </c>
      <c r="G12" s="47">
        <f t="shared" si="6"/>
        <v>782057765.03999984</v>
      </c>
    </row>
    <row r="13" spans="1:13" x14ac:dyDescent="0.25">
      <c r="A13" s="36">
        <v>42160</v>
      </c>
      <c r="B13" s="46">
        <f t="shared" si="2"/>
        <v>31</v>
      </c>
      <c r="C13" s="47">
        <f t="shared" si="3"/>
        <v>34326799</v>
      </c>
      <c r="D13" s="48">
        <f t="shared" si="0"/>
        <v>24363597.34</v>
      </c>
      <c r="E13" s="68">
        <f t="shared" si="4"/>
        <v>9963201.6600000001</v>
      </c>
      <c r="F13" s="47">
        <f t="shared" si="5"/>
        <v>782057765.03999984</v>
      </c>
      <c r="G13" s="47">
        <f t="shared" si="6"/>
        <v>757694167.69999981</v>
      </c>
    </row>
    <row r="14" spans="1:13" x14ac:dyDescent="0.25">
      <c r="A14" s="36">
        <v>42190</v>
      </c>
      <c r="B14" s="46">
        <f t="shared" si="2"/>
        <v>30</v>
      </c>
      <c r="C14" s="47">
        <f t="shared" si="3"/>
        <v>34326799</v>
      </c>
      <c r="D14" s="48">
        <f t="shared" si="0"/>
        <v>24985364.060000002</v>
      </c>
      <c r="E14" s="68">
        <f t="shared" si="4"/>
        <v>9341434.9399999995</v>
      </c>
      <c r="F14" s="47">
        <f t="shared" si="5"/>
        <v>757694167.69999981</v>
      </c>
      <c r="G14" s="47">
        <f t="shared" si="6"/>
        <v>732708803.63999987</v>
      </c>
    </row>
    <row r="15" spans="1:13" x14ac:dyDescent="0.25">
      <c r="A15" s="36">
        <v>42221</v>
      </c>
      <c r="B15" s="46">
        <f t="shared" si="2"/>
        <v>31</v>
      </c>
      <c r="C15" s="47">
        <f t="shared" si="3"/>
        <v>34326799</v>
      </c>
      <c r="D15" s="48">
        <f t="shared" si="0"/>
        <v>24992289.579999998</v>
      </c>
      <c r="E15" s="68">
        <f t="shared" si="4"/>
        <v>9334509.4199999999</v>
      </c>
      <c r="F15" s="47">
        <f t="shared" si="5"/>
        <v>732708803.63999987</v>
      </c>
      <c r="G15" s="47">
        <f t="shared" si="6"/>
        <v>707716514.05999982</v>
      </c>
    </row>
    <row r="16" spans="1:13" x14ac:dyDescent="0.25">
      <c r="A16" s="36">
        <v>42252</v>
      </c>
      <c r="B16" s="46">
        <f t="shared" si="2"/>
        <v>31</v>
      </c>
      <c r="C16" s="47">
        <f t="shared" si="3"/>
        <v>34326799</v>
      </c>
      <c r="D16" s="48">
        <f t="shared" si="0"/>
        <v>25310684.509999998</v>
      </c>
      <c r="E16" s="68">
        <f t="shared" si="4"/>
        <v>9016114.4900000002</v>
      </c>
      <c r="F16" s="47">
        <f t="shared" si="5"/>
        <v>707716514.05999982</v>
      </c>
      <c r="G16" s="47">
        <f t="shared" si="6"/>
        <v>682405829.54999983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34326799</v>
      </c>
      <c r="D17" s="48">
        <f t="shared" si="0"/>
        <v>25913576.439999998</v>
      </c>
      <c r="E17" s="68">
        <f t="shared" si="4"/>
        <v>8413222.5600000005</v>
      </c>
      <c r="F17" s="47">
        <f t="shared" si="5"/>
        <v>682405829.54999983</v>
      </c>
      <c r="G17" s="47">
        <f t="shared" si="6"/>
        <v>656492253.1099999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34326799</v>
      </c>
      <c r="D18" s="48">
        <f t="shared" si="0"/>
        <v>25963267.559999999</v>
      </c>
      <c r="E18" s="68">
        <f t="shared" si="4"/>
        <v>8363531.4400000004</v>
      </c>
      <c r="F18" s="47">
        <f t="shared" si="5"/>
        <v>656492253.1099999</v>
      </c>
      <c r="G18" s="47">
        <f t="shared" si="6"/>
        <v>630528985.54999995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34326799</v>
      </c>
      <c r="D19" s="48">
        <f t="shared" si="0"/>
        <v>26553153.969999999</v>
      </c>
      <c r="E19" s="68">
        <f t="shared" si="4"/>
        <v>7773645.0300000003</v>
      </c>
      <c r="F19" s="47">
        <f t="shared" si="5"/>
        <v>630528985.54999995</v>
      </c>
      <c r="G19" s="47">
        <f t="shared" si="6"/>
        <v>603975831.57999992</v>
      </c>
    </row>
    <row r="20" spans="1:7" x14ac:dyDescent="0.25">
      <c r="A20" s="36">
        <v>42374</v>
      </c>
      <c r="B20" s="46">
        <f t="shared" si="2"/>
        <v>31</v>
      </c>
      <c r="C20" s="47">
        <f t="shared" si="3"/>
        <v>34326799</v>
      </c>
      <c r="D20" s="48">
        <f t="shared" si="0"/>
        <v>26632312.379999999</v>
      </c>
      <c r="E20" s="68">
        <f t="shared" si="4"/>
        <v>7694486.6200000001</v>
      </c>
      <c r="F20" s="47">
        <f t="shared" si="5"/>
        <v>603975831.57999992</v>
      </c>
      <c r="G20" s="47">
        <f t="shared" si="6"/>
        <v>577343519.19999993</v>
      </c>
    </row>
    <row r="21" spans="1:7" x14ac:dyDescent="0.25">
      <c r="A21" s="36">
        <v>42405</v>
      </c>
      <c r="B21" s="46">
        <f t="shared" si="2"/>
        <v>31</v>
      </c>
      <c r="C21" s="47">
        <f t="shared" si="3"/>
        <v>34326799</v>
      </c>
      <c r="D21" s="48">
        <f t="shared" si="0"/>
        <v>26971600.740000002</v>
      </c>
      <c r="E21" s="68">
        <f t="shared" si="4"/>
        <v>7355198.2599999998</v>
      </c>
      <c r="F21" s="47">
        <f t="shared" si="5"/>
        <v>577343519.19999993</v>
      </c>
      <c r="G21" s="47">
        <f t="shared" si="6"/>
        <v>550371918.45999992</v>
      </c>
    </row>
    <row r="22" spans="1:7" x14ac:dyDescent="0.25">
      <c r="A22" s="36">
        <v>42434</v>
      </c>
      <c r="B22" s="46">
        <f t="shared" si="2"/>
        <v>29</v>
      </c>
      <c r="C22" s="47">
        <f t="shared" si="3"/>
        <v>34326799</v>
      </c>
      <c r="D22" s="48">
        <f t="shared" si="0"/>
        <v>27767572.030000001</v>
      </c>
      <c r="E22" s="68">
        <f t="shared" si="4"/>
        <v>6559226.9699999997</v>
      </c>
      <c r="F22" s="47">
        <f t="shared" si="5"/>
        <v>550371918.45999992</v>
      </c>
      <c r="G22" s="47">
        <f t="shared" si="6"/>
        <v>522604346.42999995</v>
      </c>
    </row>
    <row r="23" spans="1:7" x14ac:dyDescent="0.25">
      <c r="A23" s="36">
        <v>42465</v>
      </c>
      <c r="B23" s="46">
        <f t="shared" si="2"/>
        <v>31</v>
      </c>
      <c r="C23" s="47">
        <f t="shared" si="3"/>
        <v>34326799</v>
      </c>
      <c r="D23" s="48">
        <f t="shared" si="0"/>
        <v>27668962.809999999</v>
      </c>
      <c r="E23" s="68">
        <f t="shared" si="4"/>
        <v>6657836.1900000004</v>
      </c>
      <c r="F23" s="47">
        <f t="shared" si="5"/>
        <v>522604346.42999995</v>
      </c>
      <c r="G23" s="47">
        <f t="shared" si="6"/>
        <v>494935383.61999995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34326799</v>
      </c>
      <c r="D24" s="48">
        <f t="shared" si="0"/>
        <v>28224855.91</v>
      </c>
      <c r="E24" s="68">
        <f t="shared" si="4"/>
        <v>6101943.0899999999</v>
      </c>
      <c r="F24" s="47">
        <f t="shared" si="5"/>
        <v>494935383.61999995</v>
      </c>
      <c r="G24" s="47">
        <f t="shared" si="6"/>
        <v>466710527.70999992</v>
      </c>
    </row>
    <row r="25" spans="1:7" x14ac:dyDescent="0.25">
      <c r="A25" s="36">
        <v>42526</v>
      </c>
      <c r="B25" s="46">
        <f t="shared" si="2"/>
        <v>31</v>
      </c>
      <c r="C25" s="47">
        <f t="shared" si="3"/>
        <v>34326799</v>
      </c>
      <c r="D25" s="48">
        <f t="shared" si="0"/>
        <v>28381034.740000002</v>
      </c>
      <c r="E25" s="68">
        <f t="shared" si="4"/>
        <v>5945764.2599999998</v>
      </c>
      <c r="F25" s="47">
        <f t="shared" si="5"/>
        <v>466710527.70999992</v>
      </c>
      <c r="G25" s="47">
        <f t="shared" si="6"/>
        <v>438329492.96999991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34326799</v>
      </c>
      <c r="D26" s="48">
        <f t="shared" si="0"/>
        <v>28922736.759999998</v>
      </c>
      <c r="E26" s="68">
        <f t="shared" si="4"/>
        <v>5404062.2400000002</v>
      </c>
      <c r="F26" s="47">
        <f t="shared" si="5"/>
        <v>438329492.96999991</v>
      </c>
      <c r="G26" s="47">
        <f t="shared" si="6"/>
        <v>409406756.20999992</v>
      </c>
    </row>
    <row r="27" spans="1:7" x14ac:dyDescent="0.25">
      <c r="A27" s="36">
        <v>42587</v>
      </c>
      <c r="B27" s="46">
        <f t="shared" si="2"/>
        <v>31</v>
      </c>
      <c r="C27" s="47">
        <f t="shared" si="3"/>
        <v>34326799</v>
      </c>
      <c r="D27" s="48">
        <f t="shared" si="0"/>
        <v>29111069.09</v>
      </c>
      <c r="E27" s="68">
        <f t="shared" si="4"/>
        <v>5215729.91</v>
      </c>
      <c r="F27" s="47">
        <f t="shared" si="5"/>
        <v>409406756.20999992</v>
      </c>
      <c r="G27" s="47">
        <f t="shared" si="6"/>
        <v>380295687.11999995</v>
      </c>
    </row>
    <row r="28" spans="1:7" x14ac:dyDescent="0.25">
      <c r="A28" s="36">
        <v>42618</v>
      </c>
      <c r="B28" s="46">
        <f t="shared" si="2"/>
        <v>31</v>
      </c>
      <c r="C28" s="47">
        <f t="shared" si="3"/>
        <v>34326799</v>
      </c>
      <c r="D28" s="48">
        <f t="shared" si="0"/>
        <v>29481936.140000001</v>
      </c>
      <c r="E28" s="68">
        <f t="shared" si="4"/>
        <v>4844862.8600000003</v>
      </c>
      <c r="F28" s="47">
        <f t="shared" si="5"/>
        <v>380295687.11999995</v>
      </c>
      <c r="G28" s="47">
        <f t="shared" si="6"/>
        <v>350813750.97999996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34326799</v>
      </c>
      <c r="D29" s="48">
        <f t="shared" si="0"/>
        <v>30001697.960000001</v>
      </c>
      <c r="E29" s="68">
        <f t="shared" si="4"/>
        <v>4325101.04</v>
      </c>
      <c r="F29" s="47">
        <f t="shared" si="5"/>
        <v>350813750.97999996</v>
      </c>
      <c r="G29" s="47">
        <f t="shared" si="6"/>
        <v>320812053.01999998</v>
      </c>
    </row>
    <row r="30" spans="1:7" x14ac:dyDescent="0.25">
      <c r="A30" s="36">
        <v>42679</v>
      </c>
      <c r="B30" s="46">
        <f t="shared" si="2"/>
        <v>31</v>
      </c>
      <c r="C30" s="47">
        <f t="shared" si="3"/>
        <v>34326799</v>
      </c>
      <c r="D30" s="48">
        <f t="shared" si="0"/>
        <v>30239741.34</v>
      </c>
      <c r="E30" s="68">
        <f t="shared" si="4"/>
        <v>4087057.66</v>
      </c>
      <c r="F30" s="47">
        <f t="shared" si="5"/>
        <v>320812053.01999998</v>
      </c>
      <c r="G30" s="47">
        <f t="shared" si="6"/>
        <v>290572311.68000001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34326799</v>
      </c>
      <c r="D31" s="48">
        <f t="shared" si="0"/>
        <v>30744400.640000001</v>
      </c>
      <c r="E31" s="68">
        <f t="shared" si="4"/>
        <v>3582398.36</v>
      </c>
      <c r="F31" s="47">
        <f t="shared" si="5"/>
        <v>290572311.68000001</v>
      </c>
      <c r="G31" s="47">
        <f t="shared" si="6"/>
        <v>259827911.04000002</v>
      </c>
    </row>
    <row r="32" spans="1:7" x14ac:dyDescent="0.25">
      <c r="A32" s="36">
        <v>42740</v>
      </c>
      <c r="B32" s="46">
        <f t="shared" si="2"/>
        <v>31</v>
      </c>
      <c r="C32" s="47">
        <f t="shared" si="3"/>
        <v>34326799</v>
      </c>
      <c r="D32" s="48">
        <f t="shared" si="0"/>
        <v>31016662.600000001</v>
      </c>
      <c r="E32" s="68">
        <f t="shared" si="4"/>
        <v>3310136.4</v>
      </c>
      <c r="F32" s="47">
        <f t="shared" si="5"/>
        <v>259827911.04000002</v>
      </c>
      <c r="G32" s="47">
        <f t="shared" si="6"/>
        <v>228811248.44000003</v>
      </c>
    </row>
    <row r="33" spans="1:7" x14ac:dyDescent="0.25">
      <c r="A33" s="36">
        <v>42771</v>
      </c>
      <c r="B33" s="46">
        <f t="shared" si="2"/>
        <v>31</v>
      </c>
      <c r="C33" s="47">
        <f t="shared" si="3"/>
        <v>34326799</v>
      </c>
      <c r="D33" s="48">
        <f t="shared" si="0"/>
        <v>31411806.379999999</v>
      </c>
      <c r="E33" s="68">
        <f t="shared" si="4"/>
        <v>2914992.62</v>
      </c>
      <c r="F33" s="47">
        <f t="shared" si="5"/>
        <v>228811248.44000003</v>
      </c>
      <c r="G33" s="47">
        <f t="shared" si="6"/>
        <v>197399442.06000003</v>
      </c>
    </row>
    <row r="34" spans="1:7" x14ac:dyDescent="0.25">
      <c r="A34" s="36">
        <v>42799</v>
      </c>
      <c r="B34" s="46">
        <f t="shared" si="2"/>
        <v>28</v>
      </c>
      <c r="C34" s="47">
        <f t="shared" si="3"/>
        <v>34326799</v>
      </c>
      <c r="D34" s="48">
        <f t="shared" si="0"/>
        <v>32055353.370000001</v>
      </c>
      <c r="E34" s="68">
        <f t="shared" si="4"/>
        <v>2271445.63</v>
      </c>
      <c r="F34" s="47">
        <f t="shared" si="5"/>
        <v>197399442.06000003</v>
      </c>
      <c r="G34" s="47">
        <f t="shared" si="6"/>
        <v>165344088.69000003</v>
      </c>
    </row>
    <row r="35" spans="1:7" x14ac:dyDescent="0.25">
      <c r="A35" s="36">
        <v>42830</v>
      </c>
      <c r="B35" s="46">
        <f t="shared" si="2"/>
        <v>31</v>
      </c>
      <c r="C35" s="47">
        <f t="shared" si="3"/>
        <v>34326799</v>
      </c>
      <c r="D35" s="48">
        <f t="shared" si="0"/>
        <v>32220360.609999999</v>
      </c>
      <c r="E35" s="68">
        <f t="shared" si="4"/>
        <v>2106438.39</v>
      </c>
      <c r="F35" s="47">
        <f t="shared" si="5"/>
        <v>165344088.69000003</v>
      </c>
      <c r="G35" s="47">
        <f t="shared" si="6"/>
        <v>133123728.08000003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34326799</v>
      </c>
      <c r="D36" s="48">
        <f t="shared" si="0"/>
        <v>32685547.559999999</v>
      </c>
      <c r="E36" s="68">
        <f t="shared" si="4"/>
        <v>1641251.44</v>
      </c>
      <c r="F36" s="47">
        <f t="shared" si="5"/>
        <v>133123728.08000003</v>
      </c>
      <c r="G36" s="47">
        <f t="shared" si="6"/>
        <v>100438180.52000003</v>
      </c>
    </row>
    <row r="37" spans="1:7" x14ac:dyDescent="0.25">
      <c r="A37" s="36">
        <v>42891</v>
      </c>
      <c r="B37" s="46">
        <f t="shared" si="2"/>
        <v>31</v>
      </c>
      <c r="C37" s="47">
        <f t="shared" si="3"/>
        <v>34326799</v>
      </c>
      <c r="D37" s="48">
        <f t="shared" si="0"/>
        <v>33047244.100000001</v>
      </c>
      <c r="E37" s="68">
        <f t="shared" si="4"/>
        <v>1279554.8999999999</v>
      </c>
      <c r="F37" s="47">
        <f t="shared" si="5"/>
        <v>100438180.52000003</v>
      </c>
      <c r="G37" s="47">
        <f t="shared" si="6"/>
        <v>67390936.420000017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34326799</v>
      </c>
      <c r="D38" s="48">
        <f t="shared" si="0"/>
        <v>33495951.84</v>
      </c>
      <c r="E38" s="68">
        <f t="shared" si="4"/>
        <v>830847.16</v>
      </c>
      <c r="F38" s="47">
        <f t="shared" si="5"/>
        <v>67390936.420000017</v>
      </c>
      <c r="G38" s="47">
        <f t="shared" si="6"/>
        <v>33894984.580000013</v>
      </c>
    </row>
    <row r="39" spans="1:7" x14ac:dyDescent="0.25">
      <c r="A39" s="36">
        <v>42952</v>
      </c>
      <c r="B39" s="46">
        <f t="shared" si="2"/>
        <v>31</v>
      </c>
      <c r="C39" s="47">
        <f t="shared" si="3"/>
        <v>34326799</v>
      </c>
      <c r="D39" s="48">
        <f t="shared" si="0"/>
        <v>33894984.580000013</v>
      </c>
      <c r="E39" s="68">
        <v>431814.4199999866</v>
      </c>
      <c r="F39" s="47">
        <f t="shared" si="5"/>
        <v>33894984.580000013</v>
      </c>
      <c r="G39" s="47">
        <f t="shared" si="6"/>
        <v>0</v>
      </c>
    </row>
    <row r="40" spans="1:7" x14ac:dyDescent="0.25">
      <c r="A40" s="36">
        <v>42160</v>
      </c>
      <c r="B40" s="46">
        <f>A40-A12</f>
        <v>31</v>
      </c>
      <c r="C40" s="47">
        <f t="shared" si="3"/>
        <v>34326799</v>
      </c>
      <c r="D40" s="48">
        <f>C13-E13</f>
        <v>24363597.34</v>
      </c>
      <c r="E40" s="68">
        <f>E13</f>
        <v>9963201.6600000001</v>
      </c>
      <c r="F40" s="47">
        <f>F13</f>
        <v>782057765.03999984</v>
      </c>
      <c r="G40" s="47">
        <f>G13</f>
        <v>757694167.69999981</v>
      </c>
    </row>
    <row r="41" spans="1:7" x14ac:dyDescent="0.25">
      <c r="A41" s="205">
        <v>42190</v>
      </c>
      <c r="B41" s="206">
        <f>A41-A40</f>
        <v>30</v>
      </c>
      <c r="C41" s="207">
        <f>$F$1</f>
        <v>34073095</v>
      </c>
      <c r="D41" s="208">
        <f t="shared" ref="D41:D66" si="7">C41-E41</f>
        <v>24800701.149999999</v>
      </c>
      <c r="E41" s="207">
        <f t="shared" ref="E41:E47" si="8">ROUND(F41*$B$2*B41/365,2)</f>
        <v>9272393.8499999996</v>
      </c>
      <c r="F41" s="207">
        <f>G40-H2</f>
        <v>752094167.69999981</v>
      </c>
      <c r="G41" s="207">
        <f t="shared" ref="G41:G70" si="9">F41-D41</f>
        <v>727293466.54999983</v>
      </c>
    </row>
    <row r="42" spans="1:7" x14ac:dyDescent="0.25">
      <c r="A42" s="36">
        <v>42221</v>
      </c>
      <c r="B42" s="46">
        <f t="shared" ref="B42:B70" si="10">A42-A41</f>
        <v>31</v>
      </c>
      <c r="C42" s="47">
        <f t="shared" ref="C42:C47" si="11">$F$1</f>
        <v>34073095</v>
      </c>
      <c r="D42" s="48">
        <f t="shared" si="7"/>
        <v>24807575.490000002</v>
      </c>
      <c r="E42" s="68">
        <f t="shared" si="8"/>
        <v>9265519.5099999998</v>
      </c>
      <c r="F42" s="47">
        <f t="shared" ref="F42:F70" si="12">G41</f>
        <v>727293466.54999983</v>
      </c>
      <c r="G42" s="47">
        <f t="shared" si="9"/>
        <v>702485891.05999982</v>
      </c>
    </row>
    <row r="43" spans="1:7" x14ac:dyDescent="0.25">
      <c r="A43" s="36">
        <v>42252</v>
      </c>
      <c r="B43" s="46">
        <f t="shared" si="10"/>
        <v>31</v>
      </c>
      <c r="C43" s="47">
        <f t="shared" si="11"/>
        <v>34073095</v>
      </c>
      <c r="D43" s="48">
        <f t="shared" si="7"/>
        <v>25123617.210000001</v>
      </c>
      <c r="E43" s="68">
        <f t="shared" si="8"/>
        <v>8949477.7899999991</v>
      </c>
      <c r="F43" s="47">
        <f t="shared" si="12"/>
        <v>702485891.05999982</v>
      </c>
      <c r="G43" s="47">
        <f t="shared" si="9"/>
        <v>677362273.84999979</v>
      </c>
    </row>
    <row r="44" spans="1:7" x14ac:dyDescent="0.25">
      <c r="A44" s="36">
        <v>42282</v>
      </c>
      <c r="B44" s="46">
        <f t="shared" si="10"/>
        <v>30</v>
      </c>
      <c r="C44" s="47">
        <f t="shared" si="11"/>
        <v>34073095</v>
      </c>
      <c r="D44" s="48">
        <f t="shared" si="7"/>
        <v>25722053.27</v>
      </c>
      <c r="E44" s="68">
        <f t="shared" si="8"/>
        <v>8351041.7300000004</v>
      </c>
      <c r="F44" s="47">
        <f t="shared" si="12"/>
        <v>677362273.84999979</v>
      </c>
      <c r="G44" s="47">
        <f t="shared" si="9"/>
        <v>651640220.5799998</v>
      </c>
    </row>
    <row r="45" spans="1:7" x14ac:dyDescent="0.25">
      <c r="A45" s="36">
        <v>42313</v>
      </c>
      <c r="B45" s="46">
        <f t="shared" si="10"/>
        <v>31</v>
      </c>
      <c r="C45" s="47">
        <f t="shared" si="11"/>
        <v>34073095</v>
      </c>
      <c r="D45" s="48">
        <f t="shared" si="7"/>
        <v>25771377.120000001</v>
      </c>
      <c r="E45" s="68">
        <f t="shared" si="8"/>
        <v>8301717.8799999999</v>
      </c>
      <c r="F45" s="47">
        <f t="shared" si="12"/>
        <v>651640220.5799998</v>
      </c>
      <c r="G45" s="47">
        <f t="shared" si="9"/>
        <v>625868843.4599998</v>
      </c>
    </row>
    <row r="46" spans="1:7" x14ac:dyDescent="0.25">
      <c r="A46" s="36">
        <v>42343</v>
      </c>
      <c r="B46" s="46">
        <f t="shared" si="10"/>
        <v>30</v>
      </c>
      <c r="C46" s="47">
        <f t="shared" si="11"/>
        <v>34073095</v>
      </c>
      <c r="D46" s="48">
        <f t="shared" si="7"/>
        <v>26356903.780000001</v>
      </c>
      <c r="E46" s="68">
        <f t="shared" si="8"/>
        <v>7716191.2199999997</v>
      </c>
      <c r="F46" s="47">
        <f t="shared" si="12"/>
        <v>625868843.4599998</v>
      </c>
      <c r="G46" s="47">
        <f t="shared" si="9"/>
        <v>599511939.67999983</v>
      </c>
    </row>
    <row r="47" spans="1:7" x14ac:dyDescent="0.25">
      <c r="A47" s="36">
        <v>42374</v>
      </c>
      <c r="B47" s="46">
        <f t="shared" si="10"/>
        <v>31</v>
      </c>
      <c r="C47" s="47">
        <f t="shared" si="11"/>
        <v>34073095</v>
      </c>
      <c r="D47" s="48">
        <f t="shared" si="7"/>
        <v>26435477.140000001</v>
      </c>
      <c r="E47" s="68">
        <f t="shared" si="8"/>
        <v>7637617.8600000003</v>
      </c>
      <c r="F47" s="47">
        <f t="shared" si="12"/>
        <v>599511939.67999983</v>
      </c>
      <c r="G47" s="47">
        <f t="shared" si="9"/>
        <v>573076462.53999984</v>
      </c>
    </row>
    <row r="48" spans="1:7" x14ac:dyDescent="0.25">
      <c r="A48" s="36">
        <v>42405</v>
      </c>
      <c r="B48" s="46">
        <f t="shared" si="10"/>
        <v>31</v>
      </c>
      <c r="C48" s="47">
        <f>$J$2</f>
        <v>35438520</v>
      </c>
      <c r="D48" s="48">
        <f t="shared" si="7"/>
        <v>25704070.5</v>
      </c>
      <c r="E48" s="68">
        <f>ROUND(F48*$K$2*B48/365,2)</f>
        <v>9734449.5</v>
      </c>
      <c r="F48" s="47">
        <f t="shared" si="12"/>
        <v>573076462.53999984</v>
      </c>
      <c r="G48" s="47">
        <f t="shared" si="9"/>
        <v>547372392.03999984</v>
      </c>
    </row>
    <row r="49" spans="1:7" x14ac:dyDescent="0.25">
      <c r="A49" s="36">
        <v>42434</v>
      </c>
      <c r="B49" s="46">
        <f t="shared" si="10"/>
        <v>29</v>
      </c>
      <c r="C49" s="47">
        <f t="shared" ref="C49:C59" si="13">$J$2</f>
        <v>35438520</v>
      </c>
      <c r="D49" s="48">
        <f t="shared" si="7"/>
        <v>26740547.740000002</v>
      </c>
      <c r="E49" s="68">
        <f t="shared" ref="E49:E69" si="14">ROUND(F49*$K$2*B49/365,2)</f>
        <v>8697972.2599999998</v>
      </c>
      <c r="F49" s="47">
        <f t="shared" si="12"/>
        <v>547372392.03999984</v>
      </c>
      <c r="G49" s="47">
        <f t="shared" si="9"/>
        <v>520631844.29999983</v>
      </c>
    </row>
    <row r="50" spans="1:7" x14ac:dyDescent="0.25">
      <c r="A50" s="36">
        <v>42465</v>
      </c>
      <c r="B50" s="46">
        <f t="shared" si="10"/>
        <v>31</v>
      </c>
      <c r="C50" s="47">
        <f t="shared" si="13"/>
        <v>35438520</v>
      </c>
      <c r="D50" s="48">
        <f t="shared" si="7"/>
        <v>26594910.59</v>
      </c>
      <c r="E50" s="68">
        <f t="shared" si="14"/>
        <v>8843609.4100000001</v>
      </c>
      <c r="F50" s="47">
        <f t="shared" si="12"/>
        <v>520631844.29999983</v>
      </c>
      <c r="G50" s="47">
        <f t="shared" si="9"/>
        <v>494036933.70999986</v>
      </c>
    </row>
    <row r="51" spans="1:7" x14ac:dyDescent="0.25">
      <c r="A51" s="36">
        <v>42495</v>
      </c>
      <c r="B51" s="46">
        <f t="shared" si="10"/>
        <v>30</v>
      </c>
      <c r="C51" s="47">
        <f t="shared" si="13"/>
        <v>35438520</v>
      </c>
      <c r="D51" s="48">
        <f t="shared" si="7"/>
        <v>27317364.93</v>
      </c>
      <c r="E51" s="68">
        <f t="shared" si="14"/>
        <v>8121155.0700000003</v>
      </c>
      <c r="F51" s="47">
        <f t="shared" si="12"/>
        <v>494036933.70999986</v>
      </c>
      <c r="G51" s="47">
        <f t="shared" si="9"/>
        <v>466719568.77999985</v>
      </c>
    </row>
    <row r="52" spans="1:7" x14ac:dyDescent="0.25">
      <c r="A52" s="36">
        <v>42526</v>
      </c>
      <c r="B52" s="46">
        <f t="shared" si="10"/>
        <v>31</v>
      </c>
      <c r="C52" s="47">
        <f t="shared" si="13"/>
        <v>35438520</v>
      </c>
      <c r="D52" s="48">
        <f t="shared" si="7"/>
        <v>27510680.75</v>
      </c>
      <c r="E52" s="68">
        <f t="shared" si="14"/>
        <v>7927839.25</v>
      </c>
      <c r="F52" s="47">
        <f t="shared" si="12"/>
        <v>466719568.77999985</v>
      </c>
      <c r="G52" s="47">
        <f t="shared" si="9"/>
        <v>439208888.02999985</v>
      </c>
    </row>
    <row r="53" spans="1:7" x14ac:dyDescent="0.25">
      <c r="A53" s="36">
        <v>42556</v>
      </c>
      <c r="B53" s="46">
        <f t="shared" si="10"/>
        <v>30</v>
      </c>
      <c r="C53" s="47">
        <f t="shared" si="13"/>
        <v>35438520</v>
      </c>
      <c r="D53" s="48">
        <f t="shared" si="7"/>
        <v>28218647.870000001</v>
      </c>
      <c r="E53" s="68">
        <f t="shared" si="14"/>
        <v>7219872.1299999999</v>
      </c>
      <c r="F53" s="47">
        <f t="shared" si="12"/>
        <v>439208888.02999985</v>
      </c>
      <c r="G53" s="47">
        <f t="shared" si="9"/>
        <v>410990240.15999985</v>
      </c>
    </row>
    <row r="54" spans="1:7" x14ac:dyDescent="0.25">
      <c r="A54" s="36">
        <v>42587</v>
      </c>
      <c r="B54" s="46">
        <f t="shared" si="10"/>
        <v>31</v>
      </c>
      <c r="C54" s="47">
        <f t="shared" si="13"/>
        <v>35438520</v>
      </c>
      <c r="D54" s="48">
        <f t="shared" si="7"/>
        <v>28457315.920000002</v>
      </c>
      <c r="E54" s="68">
        <f t="shared" si="14"/>
        <v>6981204.0800000001</v>
      </c>
      <c r="F54" s="47">
        <f t="shared" si="12"/>
        <v>410990240.15999985</v>
      </c>
      <c r="G54" s="47">
        <f t="shared" si="9"/>
        <v>382532924.23999983</v>
      </c>
    </row>
    <row r="55" spans="1:7" x14ac:dyDescent="0.25">
      <c r="A55" s="36">
        <v>42618</v>
      </c>
      <c r="B55" s="46">
        <f t="shared" si="10"/>
        <v>31</v>
      </c>
      <c r="C55" s="47">
        <f t="shared" si="13"/>
        <v>35438520</v>
      </c>
      <c r="D55" s="48">
        <f t="shared" si="7"/>
        <v>28940700.460000001</v>
      </c>
      <c r="E55" s="68">
        <f t="shared" si="14"/>
        <v>6497819.54</v>
      </c>
      <c r="F55" s="47">
        <f t="shared" si="12"/>
        <v>382532924.23999983</v>
      </c>
      <c r="G55" s="47">
        <f t="shared" si="9"/>
        <v>353592223.77999985</v>
      </c>
    </row>
    <row r="56" spans="1:7" x14ac:dyDescent="0.25">
      <c r="A56" s="36">
        <v>42648</v>
      </c>
      <c r="B56" s="46">
        <f t="shared" si="10"/>
        <v>30</v>
      </c>
      <c r="C56" s="47">
        <f t="shared" si="13"/>
        <v>35438520</v>
      </c>
      <c r="D56" s="48">
        <f t="shared" si="7"/>
        <v>29626045.09</v>
      </c>
      <c r="E56" s="68">
        <f t="shared" si="14"/>
        <v>5812474.9100000001</v>
      </c>
      <c r="F56" s="47">
        <f t="shared" si="12"/>
        <v>353592223.77999985</v>
      </c>
      <c r="G56" s="47">
        <f t="shared" si="9"/>
        <v>323966178.68999988</v>
      </c>
    </row>
    <row r="57" spans="1:7" x14ac:dyDescent="0.25">
      <c r="A57" s="36">
        <v>42679</v>
      </c>
      <c r="B57" s="46">
        <f t="shared" si="10"/>
        <v>31</v>
      </c>
      <c r="C57" s="47">
        <f t="shared" si="13"/>
        <v>35438520</v>
      </c>
      <c r="D57" s="48">
        <f t="shared" si="7"/>
        <v>29935532.859999999</v>
      </c>
      <c r="E57" s="68">
        <f t="shared" si="14"/>
        <v>5502987.1399999997</v>
      </c>
      <c r="F57" s="47">
        <f t="shared" si="12"/>
        <v>323966178.68999988</v>
      </c>
      <c r="G57" s="47">
        <f t="shared" si="9"/>
        <v>294030645.82999986</v>
      </c>
    </row>
    <row r="58" spans="1:7" x14ac:dyDescent="0.25">
      <c r="A58" s="36">
        <v>42709</v>
      </c>
      <c r="B58" s="46">
        <f t="shared" si="10"/>
        <v>30</v>
      </c>
      <c r="C58" s="47">
        <f t="shared" si="13"/>
        <v>35438520</v>
      </c>
      <c r="D58" s="48">
        <f t="shared" si="7"/>
        <v>30605139.52</v>
      </c>
      <c r="E58" s="68">
        <f t="shared" si="14"/>
        <v>4833380.4800000004</v>
      </c>
      <c r="F58" s="47">
        <f t="shared" si="12"/>
        <v>294030645.82999986</v>
      </c>
      <c r="G58" s="47">
        <f t="shared" si="9"/>
        <v>263425506.30999985</v>
      </c>
    </row>
    <row r="59" spans="1:7" x14ac:dyDescent="0.25">
      <c r="A59" s="36">
        <v>42740</v>
      </c>
      <c r="B59" s="46">
        <f t="shared" si="10"/>
        <v>31</v>
      </c>
      <c r="C59" s="47">
        <f t="shared" si="13"/>
        <v>35438520</v>
      </c>
      <c r="D59" s="48">
        <f t="shared" si="7"/>
        <v>30963894.960000001</v>
      </c>
      <c r="E59" s="68">
        <f t="shared" si="14"/>
        <v>4474625.04</v>
      </c>
      <c r="F59" s="47">
        <f t="shared" si="12"/>
        <v>263425506.30999985</v>
      </c>
      <c r="G59" s="47">
        <f t="shared" si="9"/>
        <v>232461611.34999985</v>
      </c>
    </row>
    <row r="60" spans="1:7" x14ac:dyDescent="0.25">
      <c r="A60" s="36">
        <v>42771</v>
      </c>
      <c r="B60" s="46">
        <f t="shared" si="10"/>
        <v>31</v>
      </c>
      <c r="C60" s="47">
        <f>$M$2</f>
        <v>23293387</v>
      </c>
      <c r="D60" s="48">
        <f t="shared" si="7"/>
        <v>19344724.009999998</v>
      </c>
      <c r="E60" s="68">
        <f t="shared" si="14"/>
        <v>3948662.99</v>
      </c>
      <c r="F60" s="47">
        <f t="shared" si="12"/>
        <v>232461611.34999985</v>
      </c>
      <c r="G60" s="47">
        <f t="shared" si="9"/>
        <v>213116887.33999985</v>
      </c>
    </row>
    <row r="61" spans="1:7" x14ac:dyDescent="0.25">
      <c r="A61" s="36">
        <v>42799</v>
      </c>
      <c r="B61" s="46">
        <f t="shared" si="10"/>
        <v>28</v>
      </c>
      <c r="C61" s="47">
        <f t="shared" ref="C61:C70" si="15">$M$2</f>
        <v>23293387</v>
      </c>
      <c r="D61" s="48">
        <f t="shared" si="7"/>
        <v>20023648.449999999</v>
      </c>
      <c r="E61" s="68">
        <f t="shared" si="14"/>
        <v>3269738.55</v>
      </c>
      <c r="F61" s="47">
        <f t="shared" si="12"/>
        <v>213116887.33999985</v>
      </c>
      <c r="G61" s="47">
        <f t="shared" si="9"/>
        <v>193093238.88999987</v>
      </c>
    </row>
    <row r="62" spans="1:7" x14ac:dyDescent="0.25">
      <c r="A62" s="36">
        <v>42830</v>
      </c>
      <c r="B62" s="46">
        <f t="shared" si="10"/>
        <v>31</v>
      </c>
      <c r="C62" s="47">
        <f t="shared" si="15"/>
        <v>23293387</v>
      </c>
      <c r="D62" s="48">
        <f t="shared" si="7"/>
        <v>20013447.050000001</v>
      </c>
      <c r="E62" s="68">
        <f t="shared" si="14"/>
        <v>3279939.95</v>
      </c>
      <c r="F62" s="47">
        <f t="shared" si="12"/>
        <v>193093238.88999987</v>
      </c>
      <c r="G62" s="47">
        <f t="shared" si="9"/>
        <v>173079791.83999985</v>
      </c>
    </row>
    <row r="63" spans="1:7" x14ac:dyDescent="0.25">
      <c r="A63" s="36">
        <v>42860</v>
      </c>
      <c r="B63" s="46">
        <f t="shared" si="10"/>
        <v>30</v>
      </c>
      <c r="C63" s="47">
        <f t="shared" si="15"/>
        <v>23293387</v>
      </c>
      <c r="D63" s="48">
        <f t="shared" si="7"/>
        <v>20448239.740000002</v>
      </c>
      <c r="E63" s="68">
        <f t="shared" si="14"/>
        <v>2845147.26</v>
      </c>
      <c r="F63" s="47">
        <f t="shared" si="12"/>
        <v>173079791.83999985</v>
      </c>
      <c r="G63" s="47">
        <f t="shared" si="9"/>
        <v>152631552.09999985</v>
      </c>
    </row>
    <row r="64" spans="1:7" x14ac:dyDescent="0.25">
      <c r="A64" s="36">
        <v>42891</v>
      </c>
      <c r="B64" s="46">
        <f t="shared" si="10"/>
        <v>31</v>
      </c>
      <c r="C64" s="47">
        <f t="shared" si="15"/>
        <v>23293387</v>
      </c>
      <c r="D64" s="48">
        <f t="shared" si="7"/>
        <v>20700741.460000001</v>
      </c>
      <c r="E64" s="68">
        <f t="shared" si="14"/>
        <v>2592645.54</v>
      </c>
      <c r="F64" s="47">
        <f t="shared" si="12"/>
        <v>152631552.09999985</v>
      </c>
      <c r="G64" s="47">
        <f t="shared" si="9"/>
        <v>131930810.63999984</v>
      </c>
    </row>
    <row r="65" spans="1:7" x14ac:dyDescent="0.25">
      <c r="A65" s="36">
        <v>42921</v>
      </c>
      <c r="B65" s="46">
        <f t="shared" si="10"/>
        <v>30</v>
      </c>
      <c r="C65" s="47">
        <f t="shared" si="15"/>
        <v>23293387</v>
      </c>
      <c r="D65" s="48">
        <f t="shared" si="7"/>
        <v>21124661.350000001</v>
      </c>
      <c r="E65" s="68">
        <f t="shared" si="14"/>
        <v>2168725.65</v>
      </c>
      <c r="F65" s="47">
        <f t="shared" si="12"/>
        <v>131930810.63999984</v>
      </c>
      <c r="G65" s="47">
        <f t="shared" si="9"/>
        <v>110806149.28999984</v>
      </c>
    </row>
    <row r="66" spans="1:7" x14ac:dyDescent="0.25">
      <c r="A66" s="36">
        <v>42952</v>
      </c>
      <c r="B66" s="46">
        <f t="shared" si="10"/>
        <v>31</v>
      </c>
      <c r="C66" s="47">
        <f t="shared" si="15"/>
        <v>23293387</v>
      </c>
      <c r="D66" s="48">
        <f t="shared" si="7"/>
        <v>21411200.350000001</v>
      </c>
      <c r="E66" s="68">
        <f t="shared" si="14"/>
        <v>1882186.65</v>
      </c>
      <c r="F66" s="47">
        <f t="shared" si="12"/>
        <v>110806149.28999984</v>
      </c>
      <c r="G66" s="47">
        <f t="shared" si="9"/>
        <v>89394948.939999849</v>
      </c>
    </row>
    <row r="67" spans="1:7" x14ac:dyDescent="0.25">
      <c r="A67" s="36">
        <v>42983</v>
      </c>
      <c r="B67" s="46">
        <f t="shared" si="10"/>
        <v>31</v>
      </c>
      <c r="C67" s="47">
        <f t="shared" si="15"/>
        <v>23293387</v>
      </c>
      <c r="D67" s="48">
        <f>C67-E67</f>
        <v>21774897.460000001</v>
      </c>
      <c r="E67" s="68">
        <f t="shared" si="14"/>
        <v>1518489.54</v>
      </c>
      <c r="F67" s="47">
        <f t="shared" si="12"/>
        <v>89394948.939999849</v>
      </c>
      <c r="G67" s="47">
        <f t="shared" si="9"/>
        <v>67620051.47999984</v>
      </c>
    </row>
    <row r="68" spans="1:7" x14ac:dyDescent="0.25">
      <c r="A68" s="36">
        <v>43013</v>
      </c>
      <c r="B68" s="46">
        <f t="shared" si="10"/>
        <v>30</v>
      </c>
      <c r="C68" s="47">
        <f t="shared" si="15"/>
        <v>23293387</v>
      </c>
      <c r="D68" s="48">
        <f t="shared" ref="D68:D70" si="16">C68-E68</f>
        <v>22181824.510000002</v>
      </c>
      <c r="E68" s="68">
        <f t="shared" si="14"/>
        <v>1111562.49</v>
      </c>
      <c r="F68" s="47">
        <f t="shared" si="12"/>
        <v>67620051.47999984</v>
      </c>
      <c r="G68" s="47">
        <f t="shared" si="9"/>
        <v>45438226.969999835</v>
      </c>
    </row>
    <row r="69" spans="1:7" x14ac:dyDescent="0.25">
      <c r="A69" s="36">
        <v>43044</v>
      </c>
      <c r="B69" s="46">
        <f t="shared" si="10"/>
        <v>31</v>
      </c>
      <c r="C69" s="47">
        <f t="shared" si="15"/>
        <v>23293387</v>
      </c>
      <c r="D69" s="48">
        <f t="shared" si="16"/>
        <v>22521559.579999998</v>
      </c>
      <c r="E69" s="68">
        <f t="shared" si="14"/>
        <v>771827.42</v>
      </c>
      <c r="F69" s="47">
        <f t="shared" si="12"/>
        <v>45438226.969999835</v>
      </c>
      <c r="G69" s="47">
        <f t="shared" si="9"/>
        <v>22916667.389999837</v>
      </c>
    </row>
    <row r="70" spans="1:7" x14ac:dyDescent="0.25">
      <c r="A70" s="36">
        <v>43074</v>
      </c>
      <c r="B70" s="46">
        <f t="shared" si="10"/>
        <v>30</v>
      </c>
      <c r="C70" s="47">
        <f t="shared" si="15"/>
        <v>23293387</v>
      </c>
      <c r="D70" s="48">
        <f t="shared" si="16"/>
        <v>22916667.389999837</v>
      </c>
      <c r="E70" s="68">
        <v>376719.61000016349</v>
      </c>
      <c r="F70" s="47">
        <f t="shared" si="12"/>
        <v>22916667.389999837</v>
      </c>
      <c r="G70" s="47">
        <f t="shared" si="9"/>
        <v>0</v>
      </c>
    </row>
  </sheetData>
  <pageMargins left="0.7" right="0.7" top="0.75" bottom="0.75" header="0.3" footer="0.3"/>
  <pageSetup orientation="portrait" r:id="rId1"/>
</worksheet>
</file>

<file path=xl/worksheets/sheet1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E62F91-300F-43B4-BB3E-8140865C5BAB}">
  <dimension ref="A1:M70"/>
  <sheetViews>
    <sheetView zoomScale="86" zoomScaleNormal="80" workbookViewId="0">
      <pane ySplit="3" topLeftCell="A37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23.85546875" customWidth="1"/>
    <col min="9" max="9" width="23.7109375" bestFit="1" customWidth="1"/>
    <col min="10" max="10" width="17" customWidth="1"/>
    <col min="11" max="11" width="23" customWidth="1"/>
    <col min="12" max="12" width="26" customWidth="1"/>
    <col min="13" max="13" width="20.42578125" customWidth="1"/>
  </cols>
  <sheetData>
    <row r="1" spans="1:13" x14ac:dyDescent="0.25">
      <c r="A1" s="17" t="s">
        <v>33</v>
      </c>
      <c r="B1" s="78">
        <v>41856</v>
      </c>
      <c r="C1" s="17" t="s">
        <v>37</v>
      </c>
      <c r="D1" s="79">
        <f>ROUNDUP(34318675.2186111,0)</f>
        <v>34318676</v>
      </c>
      <c r="E1" s="73" t="s">
        <v>106</v>
      </c>
      <c r="F1" s="79">
        <f>ROUNDUP(34065066.0480769,0)</f>
        <v>34065067</v>
      </c>
      <c r="G1" s="83" t="s">
        <v>52</v>
      </c>
      <c r="H1" s="81">
        <v>42160</v>
      </c>
      <c r="I1" s="73" t="s">
        <v>125</v>
      </c>
      <c r="J1" s="74">
        <v>42374</v>
      </c>
      <c r="K1" s="73" t="s">
        <v>128</v>
      </c>
      <c r="L1" s="73" t="s">
        <v>123</v>
      </c>
      <c r="M1" s="74">
        <v>42740</v>
      </c>
    </row>
    <row r="2" spans="1:13" x14ac:dyDescent="0.25">
      <c r="A2" s="75" t="s">
        <v>34</v>
      </c>
      <c r="B2" s="76">
        <v>0.15</v>
      </c>
      <c r="C2" t="s">
        <v>136</v>
      </c>
      <c r="D2">
        <v>0</v>
      </c>
      <c r="E2" t="s">
        <v>137</v>
      </c>
      <c r="F2">
        <v>0</v>
      </c>
      <c r="G2" s="73" t="s">
        <v>127</v>
      </c>
      <c r="H2" s="73">
        <v>5600000</v>
      </c>
      <c r="I2" s="77" t="s">
        <v>126</v>
      </c>
      <c r="J2" s="79">
        <f>ROUNDUP(35430003.73,0)</f>
        <v>35430004</v>
      </c>
      <c r="K2" s="82">
        <v>0.2</v>
      </c>
      <c r="L2" s="73" t="s">
        <v>106</v>
      </c>
      <c r="M2" s="79">
        <f>ROUNDUP(23285087.9282674,0)</f>
        <v>23285088</v>
      </c>
    </row>
    <row r="3" spans="1:13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J3" s="73"/>
      <c r="K3" s="82"/>
      <c r="L3" s="73" t="s">
        <v>124</v>
      </c>
      <c r="M3" s="73">
        <v>40</v>
      </c>
    </row>
    <row r="4" spans="1:13" x14ac:dyDescent="0.25">
      <c r="A4" s="36">
        <v>41887</v>
      </c>
      <c r="B4" s="46">
        <f>DAYS360(B1,A4,TRUE)</f>
        <v>30</v>
      </c>
      <c r="C4" s="47">
        <f>$D$1</f>
        <v>34318676</v>
      </c>
      <c r="D4" s="48">
        <f t="shared" ref="D4:D39" si="0">C4-E4</f>
        <v>21943676</v>
      </c>
      <c r="E4" s="68">
        <f>ROUND(F4*$B$2*B4/360,2)</f>
        <v>12375000</v>
      </c>
      <c r="F4" s="47">
        <v>990000000</v>
      </c>
      <c r="G4" s="47">
        <f t="shared" ref="G4" si="1">F4-D4</f>
        <v>968056324</v>
      </c>
    </row>
    <row r="5" spans="1:13" x14ac:dyDescent="0.25">
      <c r="A5" s="36">
        <v>41917</v>
      </c>
      <c r="B5" s="46">
        <f>DAYS360(A4,A5,TRUE)</f>
        <v>30</v>
      </c>
      <c r="C5" s="47">
        <f>$D$1</f>
        <v>34318676</v>
      </c>
      <c r="D5" s="48">
        <f t="shared" si="0"/>
        <v>22217971.949999999</v>
      </c>
      <c r="E5" s="68">
        <f t="shared" ref="E5:E38" si="2">ROUND(F5*$B$2*B5/360,2)</f>
        <v>12100704.050000001</v>
      </c>
      <c r="F5" s="47">
        <f>G4</f>
        <v>968056324</v>
      </c>
      <c r="G5" s="47">
        <f>F5-D5</f>
        <v>945838352.04999995</v>
      </c>
    </row>
    <row r="6" spans="1:13" x14ac:dyDescent="0.25">
      <c r="A6" s="36">
        <v>41948</v>
      </c>
      <c r="B6" s="46">
        <f t="shared" ref="B6:B39" si="3">DAYS360(A5,A6,TRUE)</f>
        <v>30</v>
      </c>
      <c r="C6" s="47">
        <f t="shared" ref="C6:C40" si="4">$D$1</f>
        <v>34318676</v>
      </c>
      <c r="D6" s="48">
        <f t="shared" si="0"/>
        <v>22495696.600000001</v>
      </c>
      <c r="E6" s="68">
        <f t="shared" si="2"/>
        <v>11822979.4</v>
      </c>
      <c r="F6" s="47">
        <f t="shared" ref="F6:F39" si="5">G5</f>
        <v>945838352.04999995</v>
      </c>
      <c r="G6" s="47">
        <f t="shared" ref="G6:G39" si="6">F6-D6</f>
        <v>923342655.44999993</v>
      </c>
    </row>
    <row r="7" spans="1:13" x14ac:dyDescent="0.25">
      <c r="A7" s="36">
        <v>41978</v>
      </c>
      <c r="B7" s="46">
        <f t="shared" si="3"/>
        <v>30</v>
      </c>
      <c r="C7" s="47">
        <f t="shared" si="4"/>
        <v>34318676</v>
      </c>
      <c r="D7" s="48">
        <f t="shared" si="0"/>
        <v>22776892.810000002</v>
      </c>
      <c r="E7" s="68">
        <f t="shared" si="2"/>
        <v>11541783.189999999</v>
      </c>
      <c r="F7" s="47">
        <f t="shared" si="5"/>
        <v>923342655.44999993</v>
      </c>
      <c r="G7" s="47">
        <f t="shared" si="6"/>
        <v>900565762.63999987</v>
      </c>
    </row>
    <row r="8" spans="1:13" x14ac:dyDescent="0.25">
      <c r="A8" s="36">
        <v>42009</v>
      </c>
      <c r="B8" s="46">
        <f t="shared" si="3"/>
        <v>30</v>
      </c>
      <c r="C8" s="47">
        <f t="shared" si="4"/>
        <v>34318676</v>
      </c>
      <c r="D8" s="48">
        <f t="shared" si="0"/>
        <v>23061603.969999999</v>
      </c>
      <c r="E8" s="68">
        <f t="shared" si="2"/>
        <v>11257072.029999999</v>
      </c>
      <c r="F8" s="47">
        <f t="shared" si="5"/>
        <v>900565762.63999987</v>
      </c>
      <c r="G8" s="47">
        <f t="shared" si="6"/>
        <v>877504158.66999984</v>
      </c>
    </row>
    <row r="9" spans="1:13" x14ac:dyDescent="0.25">
      <c r="A9" s="36">
        <v>42040</v>
      </c>
      <c r="B9" s="46">
        <f t="shared" si="3"/>
        <v>30</v>
      </c>
      <c r="C9" s="47">
        <f t="shared" si="4"/>
        <v>34318676</v>
      </c>
      <c r="D9" s="48">
        <f t="shared" si="0"/>
        <v>23349874.02</v>
      </c>
      <c r="E9" s="68">
        <f t="shared" si="2"/>
        <v>10968801.98</v>
      </c>
      <c r="F9" s="47">
        <f t="shared" si="5"/>
        <v>877504158.66999984</v>
      </c>
      <c r="G9" s="47">
        <f t="shared" si="6"/>
        <v>854154284.64999986</v>
      </c>
    </row>
    <row r="10" spans="1:13" x14ac:dyDescent="0.25">
      <c r="A10" s="36">
        <v>42068</v>
      </c>
      <c r="B10" s="46">
        <f t="shared" si="3"/>
        <v>30</v>
      </c>
      <c r="C10" s="47">
        <f t="shared" si="4"/>
        <v>34318676</v>
      </c>
      <c r="D10" s="48">
        <f t="shared" si="0"/>
        <v>23641747.439999998</v>
      </c>
      <c r="E10" s="68">
        <f t="shared" si="2"/>
        <v>10676928.560000001</v>
      </c>
      <c r="F10" s="47">
        <f t="shared" si="5"/>
        <v>854154284.64999986</v>
      </c>
      <c r="G10" s="47">
        <f t="shared" si="6"/>
        <v>830512537.2099998</v>
      </c>
    </row>
    <row r="11" spans="1:13" x14ac:dyDescent="0.25">
      <c r="A11" s="36">
        <v>42099</v>
      </c>
      <c r="B11" s="46">
        <f t="shared" si="3"/>
        <v>30</v>
      </c>
      <c r="C11" s="47">
        <f t="shared" si="4"/>
        <v>34318676</v>
      </c>
      <c r="D11" s="48">
        <f t="shared" si="0"/>
        <v>23937269.280000001</v>
      </c>
      <c r="E11" s="68">
        <f t="shared" si="2"/>
        <v>10381406.720000001</v>
      </c>
      <c r="F11" s="47">
        <f t="shared" si="5"/>
        <v>830512537.2099998</v>
      </c>
      <c r="G11" s="47">
        <f t="shared" si="6"/>
        <v>806575267.92999983</v>
      </c>
    </row>
    <row r="12" spans="1:13" x14ac:dyDescent="0.25">
      <c r="A12" s="36">
        <v>42129</v>
      </c>
      <c r="B12" s="46">
        <f t="shared" si="3"/>
        <v>30</v>
      </c>
      <c r="C12" s="47">
        <f t="shared" si="4"/>
        <v>34318676</v>
      </c>
      <c r="D12" s="48">
        <f t="shared" si="0"/>
        <v>24236485.149999999</v>
      </c>
      <c r="E12" s="68">
        <f t="shared" si="2"/>
        <v>10082190.85</v>
      </c>
      <c r="F12" s="47">
        <f t="shared" si="5"/>
        <v>806575267.92999983</v>
      </c>
      <c r="G12" s="47">
        <f t="shared" si="6"/>
        <v>782338782.77999985</v>
      </c>
    </row>
    <row r="13" spans="1:13" x14ac:dyDescent="0.25">
      <c r="A13" s="36">
        <v>42160</v>
      </c>
      <c r="B13" s="46">
        <f t="shared" si="3"/>
        <v>30</v>
      </c>
      <c r="C13" s="47">
        <f t="shared" si="4"/>
        <v>34318676</v>
      </c>
      <c r="D13" s="48">
        <f t="shared" si="0"/>
        <v>24539441.219999999</v>
      </c>
      <c r="E13" s="68">
        <f t="shared" si="2"/>
        <v>9779234.7799999993</v>
      </c>
      <c r="F13" s="47">
        <f t="shared" si="5"/>
        <v>782338782.77999985</v>
      </c>
      <c r="G13" s="47">
        <f t="shared" si="6"/>
        <v>757799341.55999982</v>
      </c>
    </row>
    <row r="14" spans="1:13" x14ac:dyDescent="0.25">
      <c r="A14" s="36">
        <v>42190</v>
      </c>
      <c r="B14" s="46">
        <f t="shared" si="3"/>
        <v>30</v>
      </c>
      <c r="C14" s="47">
        <f t="shared" si="4"/>
        <v>34318676</v>
      </c>
      <c r="D14" s="48">
        <f t="shared" si="0"/>
        <v>24846184.23</v>
      </c>
      <c r="E14" s="68">
        <f t="shared" si="2"/>
        <v>9472491.7699999996</v>
      </c>
      <c r="F14" s="47">
        <f t="shared" si="5"/>
        <v>757799341.55999982</v>
      </c>
      <c r="G14" s="47">
        <f t="shared" si="6"/>
        <v>732953157.3299998</v>
      </c>
    </row>
    <row r="15" spans="1:13" x14ac:dyDescent="0.25">
      <c r="A15" s="36">
        <v>42221</v>
      </c>
      <c r="B15" s="46">
        <f t="shared" si="3"/>
        <v>30</v>
      </c>
      <c r="C15" s="47">
        <f t="shared" si="4"/>
        <v>34318676</v>
      </c>
      <c r="D15" s="48">
        <f t="shared" si="0"/>
        <v>25156761.530000001</v>
      </c>
      <c r="E15" s="68">
        <f t="shared" si="2"/>
        <v>9161914.4700000007</v>
      </c>
      <c r="F15" s="47">
        <f t="shared" si="5"/>
        <v>732953157.3299998</v>
      </c>
      <c r="G15" s="47">
        <f t="shared" si="6"/>
        <v>707796395.79999983</v>
      </c>
    </row>
    <row r="16" spans="1:13" x14ac:dyDescent="0.25">
      <c r="A16" s="36">
        <v>42252</v>
      </c>
      <c r="B16" s="46">
        <f t="shared" si="3"/>
        <v>30</v>
      </c>
      <c r="C16" s="47">
        <f t="shared" si="4"/>
        <v>34318676</v>
      </c>
      <c r="D16" s="48">
        <f t="shared" si="0"/>
        <v>25471221.050000001</v>
      </c>
      <c r="E16" s="68">
        <f t="shared" si="2"/>
        <v>8847454.9499999993</v>
      </c>
      <c r="F16" s="47">
        <f t="shared" si="5"/>
        <v>707796395.79999983</v>
      </c>
      <c r="G16" s="47">
        <f t="shared" si="6"/>
        <v>682325174.74999988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34318676</v>
      </c>
      <c r="D17" s="48">
        <f t="shared" si="0"/>
        <v>25789611.32</v>
      </c>
      <c r="E17" s="68">
        <f t="shared" si="2"/>
        <v>8529064.6799999997</v>
      </c>
      <c r="F17" s="47">
        <f t="shared" si="5"/>
        <v>682325174.74999988</v>
      </c>
      <c r="G17" s="47">
        <f t="shared" si="6"/>
        <v>656535563.42999983</v>
      </c>
    </row>
    <row r="18" spans="1:7" x14ac:dyDescent="0.25">
      <c r="A18" s="36">
        <v>42313</v>
      </c>
      <c r="B18" s="46">
        <f t="shared" si="3"/>
        <v>30</v>
      </c>
      <c r="C18" s="47">
        <f t="shared" si="4"/>
        <v>34318676</v>
      </c>
      <c r="D18" s="48">
        <f t="shared" si="0"/>
        <v>26111981.460000001</v>
      </c>
      <c r="E18" s="68">
        <f t="shared" si="2"/>
        <v>8206694.54</v>
      </c>
      <c r="F18" s="47">
        <f t="shared" si="5"/>
        <v>656535563.42999983</v>
      </c>
      <c r="G18" s="47">
        <f t="shared" si="6"/>
        <v>630423581.96999979</v>
      </c>
    </row>
    <row r="19" spans="1:7" x14ac:dyDescent="0.25">
      <c r="A19" s="36">
        <v>42343</v>
      </c>
      <c r="B19" s="46">
        <f t="shared" si="3"/>
        <v>30</v>
      </c>
      <c r="C19" s="47">
        <f t="shared" si="4"/>
        <v>34318676</v>
      </c>
      <c r="D19" s="48">
        <f t="shared" si="0"/>
        <v>26438381.23</v>
      </c>
      <c r="E19" s="68">
        <f t="shared" si="2"/>
        <v>7880294.7699999996</v>
      </c>
      <c r="F19" s="47">
        <f t="shared" si="5"/>
        <v>630423581.96999979</v>
      </c>
      <c r="G19" s="47">
        <f t="shared" si="6"/>
        <v>603985200.73999977</v>
      </c>
    </row>
    <row r="20" spans="1:7" x14ac:dyDescent="0.25">
      <c r="A20" s="36">
        <v>42374</v>
      </c>
      <c r="B20" s="46">
        <f t="shared" si="3"/>
        <v>30</v>
      </c>
      <c r="C20" s="47">
        <f t="shared" si="4"/>
        <v>34318676</v>
      </c>
      <c r="D20" s="48">
        <f t="shared" si="0"/>
        <v>26768860.990000002</v>
      </c>
      <c r="E20" s="68">
        <f t="shared" si="2"/>
        <v>7549815.0099999998</v>
      </c>
      <c r="F20" s="47">
        <f t="shared" si="5"/>
        <v>603985200.73999977</v>
      </c>
      <c r="G20" s="47">
        <f t="shared" si="6"/>
        <v>577216339.74999976</v>
      </c>
    </row>
    <row r="21" spans="1:7" x14ac:dyDescent="0.25">
      <c r="A21" s="36">
        <v>42405</v>
      </c>
      <c r="B21" s="46">
        <f t="shared" si="3"/>
        <v>30</v>
      </c>
      <c r="C21" s="47">
        <f t="shared" si="4"/>
        <v>34318676</v>
      </c>
      <c r="D21" s="48">
        <f t="shared" si="0"/>
        <v>27103471.75</v>
      </c>
      <c r="E21" s="68">
        <f t="shared" si="2"/>
        <v>7215204.25</v>
      </c>
      <c r="F21" s="47">
        <f t="shared" si="5"/>
        <v>577216339.74999976</v>
      </c>
      <c r="G21" s="47">
        <f t="shared" si="6"/>
        <v>550112867.99999976</v>
      </c>
    </row>
    <row r="22" spans="1:7" x14ac:dyDescent="0.25">
      <c r="A22" s="36">
        <v>42434</v>
      </c>
      <c r="B22" s="46">
        <f t="shared" si="3"/>
        <v>30</v>
      </c>
      <c r="C22" s="47">
        <f t="shared" si="4"/>
        <v>34318676</v>
      </c>
      <c r="D22" s="48">
        <f t="shared" si="0"/>
        <v>27442265.149999999</v>
      </c>
      <c r="E22" s="68">
        <f t="shared" si="2"/>
        <v>6876410.8499999996</v>
      </c>
      <c r="F22" s="47">
        <f t="shared" si="5"/>
        <v>550112867.99999976</v>
      </c>
      <c r="G22" s="47">
        <f t="shared" si="6"/>
        <v>522670602.84999979</v>
      </c>
    </row>
    <row r="23" spans="1:7" x14ac:dyDescent="0.25">
      <c r="A23" s="36">
        <v>42465</v>
      </c>
      <c r="B23" s="46">
        <f t="shared" si="3"/>
        <v>30</v>
      </c>
      <c r="C23" s="47">
        <f t="shared" si="4"/>
        <v>34318676</v>
      </c>
      <c r="D23" s="48">
        <f t="shared" si="0"/>
        <v>27785293.460000001</v>
      </c>
      <c r="E23" s="68">
        <f t="shared" si="2"/>
        <v>6533382.54</v>
      </c>
      <c r="F23" s="47">
        <f t="shared" si="5"/>
        <v>522670602.84999979</v>
      </c>
      <c r="G23" s="47">
        <f t="shared" si="6"/>
        <v>494885309.38999981</v>
      </c>
    </row>
    <row r="24" spans="1:7" x14ac:dyDescent="0.25">
      <c r="A24" s="36">
        <v>42495</v>
      </c>
      <c r="B24" s="46">
        <f t="shared" si="3"/>
        <v>30</v>
      </c>
      <c r="C24" s="47">
        <f t="shared" si="4"/>
        <v>34318676</v>
      </c>
      <c r="D24" s="48">
        <f t="shared" si="0"/>
        <v>28132609.629999999</v>
      </c>
      <c r="E24" s="68">
        <f t="shared" si="2"/>
        <v>6186066.3700000001</v>
      </c>
      <c r="F24" s="47">
        <f t="shared" si="5"/>
        <v>494885309.38999981</v>
      </c>
      <c r="G24" s="47">
        <f t="shared" si="6"/>
        <v>466752699.75999981</v>
      </c>
    </row>
    <row r="25" spans="1:7" x14ac:dyDescent="0.25">
      <c r="A25" s="36">
        <v>42526</v>
      </c>
      <c r="B25" s="46">
        <f t="shared" si="3"/>
        <v>30</v>
      </c>
      <c r="C25" s="47">
        <f t="shared" si="4"/>
        <v>34318676</v>
      </c>
      <c r="D25" s="48">
        <f t="shared" si="0"/>
        <v>28484267.25</v>
      </c>
      <c r="E25" s="68">
        <f t="shared" si="2"/>
        <v>5834408.75</v>
      </c>
      <c r="F25" s="47">
        <f t="shared" si="5"/>
        <v>466752699.75999981</v>
      </c>
      <c r="G25" s="47">
        <f t="shared" si="6"/>
        <v>438268432.50999981</v>
      </c>
    </row>
    <row r="26" spans="1:7" x14ac:dyDescent="0.25">
      <c r="A26" s="36">
        <v>42556</v>
      </c>
      <c r="B26" s="46">
        <f t="shared" si="3"/>
        <v>30</v>
      </c>
      <c r="C26" s="47">
        <f t="shared" si="4"/>
        <v>34318676</v>
      </c>
      <c r="D26" s="48">
        <f t="shared" si="0"/>
        <v>28840320.59</v>
      </c>
      <c r="E26" s="68">
        <f t="shared" si="2"/>
        <v>5478355.4100000001</v>
      </c>
      <c r="F26" s="47">
        <f t="shared" si="5"/>
        <v>438268432.50999981</v>
      </c>
      <c r="G26" s="47">
        <f t="shared" si="6"/>
        <v>409428111.91999984</v>
      </c>
    </row>
    <row r="27" spans="1:7" x14ac:dyDescent="0.25">
      <c r="A27" s="36">
        <v>42587</v>
      </c>
      <c r="B27" s="46">
        <f t="shared" si="3"/>
        <v>30</v>
      </c>
      <c r="C27" s="47">
        <f t="shared" si="4"/>
        <v>34318676</v>
      </c>
      <c r="D27" s="48">
        <f t="shared" si="0"/>
        <v>29200824.600000001</v>
      </c>
      <c r="E27" s="68">
        <f t="shared" si="2"/>
        <v>5117851.4000000004</v>
      </c>
      <c r="F27" s="47">
        <f t="shared" si="5"/>
        <v>409428111.91999984</v>
      </c>
      <c r="G27" s="47">
        <f t="shared" si="6"/>
        <v>380227287.31999981</v>
      </c>
    </row>
    <row r="28" spans="1:7" x14ac:dyDescent="0.25">
      <c r="A28" s="36">
        <v>42618</v>
      </c>
      <c r="B28" s="46">
        <f t="shared" si="3"/>
        <v>30</v>
      </c>
      <c r="C28" s="47">
        <f t="shared" si="4"/>
        <v>34318676</v>
      </c>
      <c r="D28" s="48">
        <f t="shared" si="0"/>
        <v>29565834.91</v>
      </c>
      <c r="E28" s="68">
        <f t="shared" si="2"/>
        <v>4752841.09</v>
      </c>
      <c r="F28" s="47">
        <f t="shared" si="5"/>
        <v>380227287.31999981</v>
      </c>
      <c r="G28" s="47">
        <f t="shared" si="6"/>
        <v>350661452.40999979</v>
      </c>
    </row>
    <row r="29" spans="1:7" x14ac:dyDescent="0.25">
      <c r="A29" s="36">
        <v>42648</v>
      </c>
      <c r="B29" s="46">
        <f t="shared" si="3"/>
        <v>30</v>
      </c>
      <c r="C29" s="47">
        <f t="shared" si="4"/>
        <v>34318676</v>
      </c>
      <c r="D29" s="48">
        <f t="shared" si="0"/>
        <v>29935407.84</v>
      </c>
      <c r="E29" s="68">
        <f t="shared" si="2"/>
        <v>4383268.16</v>
      </c>
      <c r="F29" s="47">
        <f t="shared" si="5"/>
        <v>350661452.40999979</v>
      </c>
      <c r="G29" s="47">
        <f t="shared" si="6"/>
        <v>320726044.56999981</v>
      </c>
    </row>
    <row r="30" spans="1:7" x14ac:dyDescent="0.25">
      <c r="A30" s="36">
        <v>42679</v>
      </c>
      <c r="B30" s="46">
        <f t="shared" si="3"/>
        <v>30</v>
      </c>
      <c r="C30" s="47">
        <f t="shared" si="4"/>
        <v>34318676</v>
      </c>
      <c r="D30" s="48">
        <f t="shared" si="0"/>
        <v>30309600.440000001</v>
      </c>
      <c r="E30" s="68">
        <f t="shared" si="2"/>
        <v>4009075.56</v>
      </c>
      <c r="F30" s="47">
        <f t="shared" si="5"/>
        <v>320726044.56999981</v>
      </c>
      <c r="G30" s="47">
        <f t="shared" si="6"/>
        <v>290416444.12999982</v>
      </c>
    </row>
    <row r="31" spans="1:7" x14ac:dyDescent="0.25">
      <c r="A31" s="36">
        <v>42709</v>
      </c>
      <c r="B31" s="46">
        <f t="shared" si="3"/>
        <v>30</v>
      </c>
      <c r="C31" s="47">
        <f t="shared" si="4"/>
        <v>34318676</v>
      </c>
      <c r="D31" s="48">
        <f t="shared" si="0"/>
        <v>30688470.449999999</v>
      </c>
      <c r="E31" s="68">
        <f t="shared" si="2"/>
        <v>3630205.55</v>
      </c>
      <c r="F31" s="47">
        <f t="shared" si="5"/>
        <v>290416444.12999982</v>
      </c>
      <c r="G31" s="47">
        <f t="shared" si="6"/>
        <v>259727973.67999983</v>
      </c>
    </row>
    <row r="32" spans="1:7" x14ac:dyDescent="0.25">
      <c r="A32" s="36">
        <v>42740</v>
      </c>
      <c r="B32" s="46">
        <f t="shared" si="3"/>
        <v>30</v>
      </c>
      <c r="C32" s="47">
        <f t="shared" si="4"/>
        <v>34318676</v>
      </c>
      <c r="D32" s="48">
        <f t="shared" si="0"/>
        <v>31072076.329999998</v>
      </c>
      <c r="E32" s="68">
        <f t="shared" si="2"/>
        <v>3246599.67</v>
      </c>
      <c r="F32" s="47">
        <f t="shared" si="5"/>
        <v>259727973.67999983</v>
      </c>
      <c r="G32" s="47">
        <f t="shared" si="6"/>
        <v>228655897.34999985</v>
      </c>
    </row>
    <row r="33" spans="1:7" x14ac:dyDescent="0.25">
      <c r="A33" s="36">
        <v>42771</v>
      </c>
      <c r="B33" s="46">
        <f t="shared" si="3"/>
        <v>30</v>
      </c>
      <c r="C33" s="47">
        <f t="shared" si="4"/>
        <v>34318676</v>
      </c>
      <c r="D33" s="48">
        <f t="shared" si="0"/>
        <v>31460477.280000001</v>
      </c>
      <c r="E33" s="68">
        <f t="shared" si="2"/>
        <v>2858198.72</v>
      </c>
      <c r="F33" s="47">
        <f t="shared" si="5"/>
        <v>228655897.34999985</v>
      </c>
      <c r="G33" s="47">
        <f t="shared" si="6"/>
        <v>197195420.06999984</v>
      </c>
    </row>
    <row r="34" spans="1:7" x14ac:dyDescent="0.25">
      <c r="A34" s="36">
        <v>42799</v>
      </c>
      <c r="B34" s="46">
        <f t="shared" si="3"/>
        <v>30</v>
      </c>
      <c r="C34" s="47">
        <f t="shared" si="4"/>
        <v>34318676</v>
      </c>
      <c r="D34" s="48">
        <f t="shared" si="0"/>
        <v>31853733.25</v>
      </c>
      <c r="E34" s="68">
        <f t="shared" si="2"/>
        <v>2464942.75</v>
      </c>
      <c r="F34" s="47">
        <f t="shared" si="5"/>
        <v>197195420.06999984</v>
      </c>
      <c r="G34" s="47">
        <f t="shared" si="6"/>
        <v>165341686.81999984</v>
      </c>
    </row>
    <row r="35" spans="1:7" x14ac:dyDescent="0.25">
      <c r="A35" s="36">
        <v>42830</v>
      </c>
      <c r="B35" s="46">
        <f t="shared" si="3"/>
        <v>30</v>
      </c>
      <c r="C35" s="47">
        <f t="shared" si="4"/>
        <v>34318676</v>
      </c>
      <c r="D35" s="48">
        <f t="shared" si="0"/>
        <v>32251904.91</v>
      </c>
      <c r="E35" s="68">
        <f t="shared" si="2"/>
        <v>2066771.09</v>
      </c>
      <c r="F35" s="47">
        <f t="shared" si="5"/>
        <v>165341686.81999984</v>
      </c>
      <c r="G35" s="47">
        <f t="shared" si="6"/>
        <v>133089781.90999985</v>
      </c>
    </row>
    <row r="36" spans="1:7" x14ac:dyDescent="0.25">
      <c r="A36" s="36">
        <v>42860</v>
      </c>
      <c r="B36" s="46">
        <f t="shared" si="3"/>
        <v>30</v>
      </c>
      <c r="C36" s="47">
        <f t="shared" si="4"/>
        <v>34318676</v>
      </c>
      <c r="D36" s="48">
        <f t="shared" si="0"/>
        <v>32655053.73</v>
      </c>
      <c r="E36" s="68">
        <f t="shared" si="2"/>
        <v>1663622.27</v>
      </c>
      <c r="F36" s="47">
        <f t="shared" si="5"/>
        <v>133089781.90999985</v>
      </c>
      <c r="G36" s="47">
        <f t="shared" si="6"/>
        <v>100434728.17999984</v>
      </c>
    </row>
    <row r="37" spans="1:7" x14ac:dyDescent="0.25">
      <c r="A37" s="36">
        <v>42891</v>
      </c>
      <c r="B37" s="46">
        <f t="shared" si="3"/>
        <v>30</v>
      </c>
      <c r="C37" s="47">
        <f t="shared" si="4"/>
        <v>34318676</v>
      </c>
      <c r="D37" s="48">
        <f t="shared" si="0"/>
        <v>33063241.899999999</v>
      </c>
      <c r="E37" s="68">
        <f t="shared" si="2"/>
        <v>1255434.1000000001</v>
      </c>
      <c r="F37" s="47">
        <f t="shared" si="5"/>
        <v>100434728.17999984</v>
      </c>
      <c r="G37" s="47">
        <f t="shared" si="6"/>
        <v>67371486.279999852</v>
      </c>
    </row>
    <row r="38" spans="1:7" x14ac:dyDescent="0.25">
      <c r="A38" s="36">
        <v>42921</v>
      </c>
      <c r="B38" s="46">
        <f t="shared" si="3"/>
        <v>30</v>
      </c>
      <c r="C38" s="47">
        <f t="shared" si="4"/>
        <v>34318676</v>
      </c>
      <c r="D38" s="48">
        <f t="shared" si="0"/>
        <v>33476532.420000002</v>
      </c>
      <c r="E38" s="68">
        <f t="shared" si="2"/>
        <v>842143.58</v>
      </c>
      <c r="F38" s="47">
        <f t="shared" si="5"/>
        <v>67371486.279999852</v>
      </c>
      <c r="G38" s="47">
        <f t="shared" si="6"/>
        <v>33894953.85999985</v>
      </c>
    </row>
    <row r="39" spans="1:7" x14ac:dyDescent="0.25">
      <c r="A39" s="36">
        <v>42952</v>
      </c>
      <c r="B39" s="46">
        <f t="shared" si="3"/>
        <v>30</v>
      </c>
      <c r="C39" s="47">
        <f t="shared" si="4"/>
        <v>34318676</v>
      </c>
      <c r="D39" s="48">
        <f t="shared" si="0"/>
        <v>33894953.85999985</v>
      </c>
      <c r="E39" s="68">
        <v>423722.1400001478</v>
      </c>
      <c r="F39" s="47">
        <f t="shared" si="5"/>
        <v>33894953.85999985</v>
      </c>
      <c r="G39" s="47">
        <f t="shared" si="6"/>
        <v>0</v>
      </c>
    </row>
    <row r="40" spans="1:7" x14ac:dyDescent="0.25">
      <c r="A40" s="36">
        <v>42160</v>
      </c>
      <c r="B40" s="46">
        <f>DAYS360(A12,A40,TRUE)</f>
        <v>30</v>
      </c>
      <c r="C40" s="47">
        <f t="shared" si="4"/>
        <v>34318676</v>
      </c>
      <c r="D40" s="48">
        <f>C13-E13</f>
        <v>24539441.219999999</v>
      </c>
      <c r="E40" s="68">
        <f>E13</f>
        <v>9779234.7799999993</v>
      </c>
      <c r="F40" s="47">
        <f>F13</f>
        <v>782338782.77999985</v>
      </c>
      <c r="G40" s="47">
        <f>G13</f>
        <v>757799341.55999982</v>
      </c>
    </row>
    <row r="41" spans="1:7" x14ac:dyDescent="0.25">
      <c r="A41" s="205">
        <v>42190</v>
      </c>
      <c r="B41" s="46">
        <f>DAYS360(A13,A41,TRUE)</f>
        <v>30</v>
      </c>
      <c r="C41" s="207">
        <f>$F$1</f>
        <v>34065067</v>
      </c>
      <c r="D41" s="208">
        <f t="shared" ref="D41:D70" si="7">C41-E41</f>
        <v>24662575.23</v>
      </c>
      <c r="E41" s="207">
        <f>ROUND(F41*$B$2*B41/360,2)</f>
        <v>9402491.7699999996</v>
      </c>
      <c r="F41" s="207">
        <f>G40-H2</f>
        <v>752199341.55999982</v>
      </c>
      <c r="G41" s="207">
        <f t="shared" ref="G41:G65" si="8">F41-D41</f>
        <v>727536766.3299998</v>
      </c>
    </row>
    <row r="42" spans="1:7" x14ac:dyDescent="0.25">
      <c r="A42" s="36">
        <v>42221</v>
      </c>
      <c r="B42" s="46">
        <f t="shared" ref="B42:B67" si="9">DAYS360(A14,A42,TRUE)</f>
        <v>30</v>
      </c>
      <c r="C42" s="207">
        <f t="shared" ref="C42:C47" si="10">$F$1</f>
        <v>34065067</v>
      </c>
      <c r="D42" s="48">
        <f t="shared" si="7"/>
        <v>24970857.420000002</v>
      </c>
      <c r="E42" s="207">
        <f t="shared" ref="E42:E47" si="11">ROUND(F42*$B$2*B42/360,2)</f>
        <v>9094209.5800000001</v>
      </c>
      <c r="F42" s="47">
        <f t="shared" ref="F42:F70" si="12">G41</f>
        <v>727536766.3299998</v>
      </c>
      <c r="G42" s="47">
        <f t="shared" si="8"/>
        <v>702565908.90999985</v>
      </c>
    </row>
    <row r="43" spans="1:7" x14ac:dyDescent="0.25">
      <c r="A43" s="36">
        <v>42252</v>
      </c>
      <c r="B43" s="46">
        <f t="shared" si="9"/>
        <v>30</v>
      </c>
      <c r="C43" s="207">
        <f t="shared" si="10"/>
        <v>34065067</v>
      </c>
      <c r="D43" s="48">
        <f t="shared" si="7"/>
        <v>25282993.140000001</v>
      </c>
      <c r="E43" s="207">
        <f t="shared" si="11"/>
        <v>8782073.8599999994</v>
      </c>
      <c r="F43" s="47">
        <f t="shared" si="12"/>
        <v>702565908.90999985</v>
      </c>
      <c r="G43" s="47">
        <f t="shared" si="8"/>
        <v>677282915.76999986</v>
      </c>
    </row>
    <row r="44" spans="1:7" x14ac:dyDescent="0.25">
      <c r="A44" s="36">
        <v>42282</v>
      </c>
      <c r="B44" s="46">
        <f t="shared" si="9"/>
        <v>30</v>
      </c>
      <c r="C44" s="207">
        <f t="shared" si="10"/>
        <v>34065067</v>
      </c>
      <c r="D44" s="48">
        <f t="shared" si="7"/>
        <v>25599030.550000001</v>
      </c>
      <c r="E44" s="207">
        <f t="shared" si="11"/>
        <v>8466036.4499999993</v>
      </c>
      <c r="F44" s="47">
        <f t="shared" si="12"/>
        <v>677282915.76999986</v>
      </c>
      <c r="G44" s="47">
        <f t="shared" si="8"/>
        <v>651683885.21999991</v>
      </c>
    </row>
    <row r="45" spans="1:7" x14ac:dyDescent="0.25">
      <c r="A45" s="36">
        <v>42313</v>
      </c>
      <c r="B45" s="46">
        <f t="shared" si="9"/>
        <v>30</v>
      </c>
      <c r="C45" s="207">
        <f t="shared" si="10"/>
        <v>34065067</v>
      </c>
      <c r="D45" s="48">
        <f t="shared" si="7"/>
        <v>25919018.43</v>
      </c>
      <c r="E45" s="207">
        <f t="shared" si="11"/>
        <v>8146048.5700000003</v>
      </c>
      <c r="F45" s="47">
        <f t="shared" si="12"/>
        <v>651683885.21999991</v>
      </c>
      <c r="G45" s="47">
        <f t="shared" si="8"/>
        <v>625764866.78999996</v>
      </c>
    </row>
    <row r="46" spans="1:7" x14ac:dyDescent="0.25">
      <c r="A46" s="36">
        <v>42343</v>
      </c>
      <c r="B46" s="46">
        <f t="shared" si="9"/>
        <v>30</v>
      </c>
      <c r="C46" s="207">
        <f t="shared" si="10"/>
        <v>34065067</v>
      </c>
      <c r="D46" s="48">
        <f t="shared" si="7"/>
        <v>26243006.170000002</v>
      </c>
      <c r="E46" s="207">
        <f t="shared" si="11"/>
        <v>7822060.8300000001</v>
      </c>
      <c r="F46" s="47">
        <f t="shared" si="12"/>
        <v>625764866.78999996</v>
      </c>
      <c r="G46" s="47">
        <f t="shared" si="8"/>
        <v>599521860.62</v>
      </c>
    </row>
    <row r="47" spans="1:7" x14ac:dyDescent="0.25">
      <c r="A47" s="36">
        <v>42374</v>
      </c>
      <c r="B47" s="46">
        <f t="shared" si="9"/>
        <v>30</v>
      </c>
      <c r="C47" s="207">
        <f t="shared" si="10"/>
        <v>34065067</v>
      </c>
      <c r="D47" s="48">
        <f t="shared" si="7"/>
        <v>26571043.740000002</v>
      </c>
      <c r="E47" s="207">
        <f t="shared" si="11"/>
        <v>7494023.2599999998</v>
      </c>
      <c r="F47" s="47">
        <f t="shared" si="12"/>
        <v>599521860.62</v>
      </c>
      <c r="G47" s="47">
        <f t="shared" si="8"/>
        <v>572950816.88</v>
      </c>
    </row>
    <row r="48" spans="1:7" x14ac:dyDescent="0.25">
      <c r="A48" s="36">
        <v>42405</v>
      </c>
      <c r="B48" s="46">
        <f t="shared" si="9"/>
        <v>30</v>
      </c>
      <c r="C48" s="207">
        <f>$J$2</f>
        <v>35430004</v>
      </c>
      <c r="D48" s="48">
        <f t="shared" si="7"/>
        <v>25880823.719999999</v>
      </c>
      <c r="E48" s="207">
        <f>ROUND(F48*$K$2*B48/360,2)</f>
        <v>9549180.2799999993</v>
      </c>
      <c r="F48" s="47">
        <f t="shared" si="12"/>
        <v>572950816.88</v>
      </c>
      <c r="G48" s="47">
        <f t="shared" si="8"/>
        <v>547069993.15999997</v>
      </c>
    </row>
    <row r="49" spans="1:7" x14ac:dyDescent="0.25">
      <c r="A49" s="36">
        <v>42434</v>
      </c>
      <c r="B49" s="46">
        <f t="shared" si="9"/>
        <v>30</v>
      </c>
      <c r="C49" s="207">
        <f t="shared" ref="C49:C59" si="13">$J$2</f>
        <v>35430004</v>
      </c>
      <c r="D49" s="48">
        <f t="shared" si="7"/>
        <v>26312170.780000001</v>
      </c>
      <c r="E49" s="207">
        <f t="shared" ref="E49:E69" si="14">ROUND(F49*$K$2*B49/360,2)</f>
        <v>9117833.2200000007</v>
      </c>
      <c r="F49" s="47">
        <f t="shared" si="12"/>
        <v>547069993.15999997</v>
      </c>
      <c r="G49" s="47">
        <f t="shared" si="8"/>
        <v>520757822.38</v>
      </c>
    </row>
    <row r="50" spans="1:7" x14ac:dyDescent="0.25">
      <c r="A50" s="36">
        <v>42465</v>
      </c>
      <c r="B50" s="46">
        <f t="shared" si="9"/>
        <v>30</v>
      </c>
      <c r="C50" s="207">
        <f t="shared" si="13"/>
        <v>35430004</v>
      </c>
      <c r="D50" s="48">
        <f t="shared" si="7"/>
        <v>26750706.960000001</v>
      </c>
      <c r="E50" s="207">
        <f t="shared" si="14"/>
        <v>8679297.0399999991</v>
      </c>
      <c r="F50" s="47">
        <f t="shared" si="12"/>
        <v>520757822.38</v>
      </c>
      <c r="G50" s="47">
        <f t="shared" si="8"/>
        <v>494007115.42000002</v>
      </c>
    </row>
    <row r="51" spans="1:7" x14ac:dyDescent="0.25">
      <c r="A51" s="36">
        <v>42495</v>
      </c>
      <c r="B51" s="46">
        <f t="shared" si="9"/>
        <v>30</v>
      </c>
      <c r="C51" s="207">
        <f t="shared" si="13"/>
        <v>35430004</v>
      </c>
      <c r="D51" s="48">
        <f t="shared" si="7"/>
        <v>27196552.079999998</v>
      </c>
      <c r="E51" s="207">
        <f t="shared" si="14"/>
        <v>8233451.9199999999</v>
      </c>
      <c r="F51" s="47">
        <f t="shared" si="12"/>
        <v>494007115.42000002</v>
      </c>
      <c r="G51" s="47">
        <f t="shared" si="8"/>
        <v>466810563.34000003</v>
      </c>
    </row>
    <row r="52" spans="1:7" x14ac:dyDescent="0.25">
      <c r="A52" s="36">
        <v>42526</v>
      </c>
      <c r="B52" s="46">
        <f t="shared" si="9"/>
        <v>30</v>
      </c>
      <c r="C52" s="207">
        <f t="shared" si="13"/>
        <v>35430004</v>
      </c>
      <c r="D52" s="48">
        <f t="shared" si="7"/>
        <v>27649827.940000001</v>
      </c>
      <c r="E52" s="207">
        <f t="shared" si="14"/>
        <v>7780176.0599999996</v>
      </c>
      <c r="F52" s="47">
        <f t="shared" si="12"/>
        <v>466810563.34000003</v>
      </c>
      <c r="G52" s="47">
        <f t="shared" si="8"/>
        <v>439160735.40000004</v>
      </c>
    </row>
    <row r="53" spans="1:7" x14ac:dyDescent="0.25">
      <c r="A53" s="36">
        <v>42556</v>
      </c>
      <c r="B53" s="46">
        <f t="shared" si="9"/>
        <v>30</v>
      </c>
      <c r="C53" s="207">
        <f t="shared" si="13"/>
        <v>35430004</v>
      </c>
      <c r="D53" s="48">
        <f t="shared" si="7"/>
        <v>28110658.41</v>
      </c>
      <c r="E53" s="207">
        <f t="shared" si="14"/>
        <v>7319345.5899999999</v>
      </c>
      <c r="F53" s="47">
        <f t="shared" si="12"/>
        <v>439160735.40000004</v>
      </c>
      <c r="G53" s="47">
        <f t="shared" si="8"/>
        <v>411050076.99000001</v>
      </c>
    </row>
    <row r="54" spans="1:7" x14ac:dyDescent="0.25">
      <c r="A54" s="36">
        <v>42587</v>
      </c>
      <c r="B54" s="46">
        <f t="shared" si="9"/>
        <v>30</v>
      </c>
      <c r="C54" s="207">
        <f t="shared" si="13"/>
        <v>35430004</v>
      </c>
      <c r="D54" s="48">
        <f t="shared" si="7"/>
        <v>28579169.379999999</v>
      </c>
      <c r="E54" s="207">
        <f t="shared" si="14"/>
        <v>6850834.6200000001</v>
      </c>
      <c r="F54" s="47">
        <f t="shared" si="12"/>
        <v>411050076.99000001</v>
      </c>
      <c r="G54" s="47">
        <f t="shared" si="8"/>
        <v>382470907.61000001</v>
      </c>
    </row>
    <row r="55" spans="1:7" x14ac:dyDescent="0.25">
      <c r="A55" s="36">
        <v>42618</v>
      </c>
      <c r="B55" s="46">
        <f t="shared" si="9"/>
        <v>30</v>
      </c>
      <c r="C55" s="207">
        <f t="shared" si="13"/>
        <v>35430004</v>
      </c>
      <c r="D55" s="48">
        <f t="shared" si="7"/>
        <v>29055488.870000001</v>
      </c>
      <c r="E55" s="207">
        <f t="shared" si="14"/>
        <v>6374515.1299999999</v>
      </c>
      <c r="F55" s="47">
        <f t="shared" si="12"/>
        <v>382470907.61000001</v>
      </c>
      <c r="G55" s="47">
        <f t="shared" si="8"/>
        <v>353415418.74000001</v>
      </c>
    </row>
    <row r="56" spans="1:7" x14ac:dyDescent="0.25">
      <c r="A56" s="36">
        <v>42648</v>
      </c>
      <c r="B56" s="46">
        <f t="shared" si="9"/>
        <v>30</v>
      </c>
      <c r="C56" s="207">
        <f t="shared" si="13"/>
        <v>35430004</v>
      </c>
      <c r="D56" s="48">
        <f t="shared" si="7"/>
        <v>29539747.02</v>
      </c>
      <c r="E56" s="207">
        <f t="shared" si="14"/>
        <v>5890256.9800000004</v>
      </c>
      <c r="F56" s="47">
        <f t="shared" si="12"/>
        <v>353415418.74000001</v>
      </c>
      <c r="G56" s="47">
        <f t="shared" si="8"/>
        <v>323875671.72000003</v>
      </c>
    </row>
    <row r="57" spans="1:7" x14ac:dyDescent="0.25">
      <c r="A57" s="36">
        <v>42679</v>
      </c>
      <c r="B57" s="46">
        <f t="shared" si="9"/>
        <v>30</v>
      </c>
      <c r="C57" s="207">
        <f t="shared" si="13"/>
        <v>35430004</v>
      </c>
      <c r="D57" s="48">
        <f t="shared" si="7"/>
        <v>30032076.140000001</v>
      </c>
      <c r="E57" s="207">
        <f t="shared" si="14"/>
        <v>5397927.8600000003</v>
      </c>
      <c r="F57" s="47">
        <f t="shared" si="12"/>
        <v>323875671.72000003</v>
      </c>
      <c r="G57" s="47">
        <f t="shared" si="8"/>
        <v>293843595.58000004</v>
      </c>
    </row>
    <row r="58" spans="1:7" x14ac:dyDescent="0.25">
      <c r="A58" s="36">
        <v>42709</v>
      </c>
      <c r="B58" s="46">
        <f t="shared" si="9"/>
        <v>30</v>
      </c>
      <c r="C58" s="207">
        <f t="shared" si="13"/>
        <v>35430004</v>
      </c>
      <c r="D58" s="48">
        <f t="shared" si="7"/>
        <v>30532610.740000002</v>
      </c>
      <c r="E58" s="207">
        <f t="shared" si="14"/>
        <v>4897393.26</v>
      </c>
      <c r="F58" s="47">
        <f t="shared" si="12"/>
        <v>293843595.58000004</v>
      </c>
      <c r="G58" s="47">
        <f t="shared" si="8"/>
        <v>263310984.84000003</v>
      </c>
    </row>
    <row r="59" spans="1:7" x14ac:dyDescent="0.25">
      <c r="A59" s="36">
        <v>42740</v>
      </c>
      <c r="B59" s="46">
        <f t="shared" si="9"/>
        <v>30</v>
      </c>
      <c r="C59" s="207">
        <f t="shared" si="13"/>
        <v>35430004</v>
      </c>
      <c r="D59" s="48">
        <f t="shared" si="7"/>
        <v>31041487.59</v>
      </c>
      <c r="E59" s="207">
        <f t="shared" si="14"/>
        <v>4388516.41</v>
      </c>
      <c r="F59" s="47">
        <f t="shared" si="12"/>
        <v>263310984.84000003</v>
      </c>
      <c r="G59" s="47">
        <f t="shared" si="8"/>
        <v>232269497.25000003</v>
      </c>
    </row>
    <row r="60" spans="1:7" x14ac:dyDescent="0.25">
      <c r="A60" s="36">
        <v>42771</v>
      </c>
      <c r="B60" s="46">
        <f t="shared" si="9"/>
        <v>30</v>
      </c>
      <c r="C60" s="207">
        <f>$M$2</f>
        <v>23285088</v>
      </c>
      <c r="D60" s="48">
        <f t="shared" si="7"/>
        <v>19413929.710000001</v>
      </c>
      <c r="E60" s="207">
        <f t="shared" si="14"/>
        <v>3871158.29</v>
      </c>
      <c r="F60" s="47">
        <f t="shared" si="12"/>
        <v>232269497.25000003</v>
      </c>
      <c r="G60" s="47">
        <f t="shared" si="8"/>
        <v>212855567.54000002</v>
      </c>
    </row>
    <row r="61" spans="1:7" x14ac:dyDescent="0.25">
      <c r="A61" s="36">
        <v>42799</v>
      </c>
      <c r="B61" s="46">
        <f t="shared" si="9"/>
        <v>30</v>
      </c>
      <c r="C61" s="207">
        <f t="shared" ref="C61:C70" si="15">$M$2</f>
        <v>23285088</v>
      </c>
      <c r="D61" s="48">
        <f t="shared" si="7"/>
        <v>19737495.210000001</v>
      </c>
      <c r="E61" s="207">
        <f t="shared" si="14"/>
        <v>3547592.79</v>
      </c>
      <c r="F61" s="47">
        <f t="shared" si="12"/>
        <v>212855567.54000002</v>
      </c>
      <c r="G61" s="47">
        <f t="shared" si="8"/>
        <v>193118072.33000001</v>
      </c>
    </row>
    <row r="62" spans="1:7" x14ac:dyDescent="0.25">
      <c r="A62" s="36">
        <v>42830</v>
      </c>
      <c r="B62" s="46">
        <f t="shared" si="9"/>
        <v>30</v>
      </c>
      <c r="C62" s="207">
        <f t="shared" si="15"/>
        <v>23285088</v>
      </c>
      <c r="D62" s="48">
        <f t="shared" si="7"/>
        <v>20066453.460000001</v>
      </c>
      <c r="E62" s="207">
        <f t="shared" si="14"/>
        <v>3218634.54</v>
      </c>
      <c r="F62" s="47">
        <f t="shared" si="12"/>
        <v>193118072.33000001</v>
      </c>
      <c r="G62" s="47">
        <f t="shared" si="8"/>
        <v>173051618.87</v>
      </c>
    </row>
    <row r="63" spans="1:7" x14ac:dyDescent="0.25">
      <c r="A63" s="36">
        <v>42860</v>
      </c>
      <c r="B63" s="46">
        <f t="shared" si="9"/>
        <v>30</v>
      </c>
      <c r="C63" s="207">
        <f t="shared" si="15"/>
        <v>23285088</v>
      </c>
      <c r="D63" s="48">
        <f t="shared" si="7"/>
        <v>20400894.350000001</v>
      </c>
      <c r="E63" s="207">
        <f t="shared" si="14"/>
        <v>2884193.65</v>
      </c>
      <c r="F63" s="47">
        <f t="shared" si="12"/>
        <v>173051618.87</v>
      </c>
      <c r="G63" s="47">
        <f t="shared" si="8"/>
        <v>152650724.52000001</v>
      </c>
    </row>
    <row r="64" spans="1:7" x14ac:dyDescent="0.25">
      <c r="A64" s="36">
        <v>42891</v>
      </c>
      <c r="B64" s="46">
        <f t="shared" si="9"/>
        <v>30</v>
      </c>
      <c r="C64" s="207">
        <f t="shared" si="15"/>
        <v>23285088</v>
      </c>
      <c r="D64" s="48">
        <f t="shared" si="7"/>
        <v>20740909.259999998</v>
      </c>
      <c r="E64" s="207">
        <f t="shared" si="14"/>
        <v>2544178.7400000002</v>
      </c>
      <c r="F64" s="47">
        <f t="shared" si="12"/>
        <v>152650724.52000001</v>
      </c>
      <c r="G64" s="47">
        <f t="shared" si="8"/>
        <v>131909815.26000002</v>
      </c>
    </row>
    <row r="65" spans="1:7" x14ac:dyDescent="0.25">
      <c r="A65" s="36">
        <v>42921</v>
      </c>
      <c r="B65" s="46">
        <f t="shared" si="9"/>
        <v>30</v>
      </c>
      <c r="C65" s="207">
        <f t="shared" si="15"/>
        <v>23285088</v>
      </c>
      <c r="D65" s="48">
        <f t="shared" si="7"/>
        <v>21086591.079999998</v>
      </c>
      <c r="E65" s="207">
        <f t="shared" si="14"/>
        <v>2198496.92</v>
      </c>
      <c r="F65" s="47">
        <f t="shared" si="12"/>
        <v>131909815.26000002</v>
      </c>
      <c r="G65" s="47">
        <f t="shared" si="8"/>
        <v>110823224.18000002</v>
      </c>
    </row>
    <row r="66" spans="1:7" x14ac:dyDescent="0.25">
      <c r="A66" s="36">
        <v>42952</v>
      </c>
      <c r="B66" s="46">
        <f t="shared" si="9"/>
        <v>30</v>
      </c>
      <c r="C66" s="207">
        <f t="shared" si="15"/>
        <v>23285088</v>
      </c>
      <c r="D66" s="48">
        <f t="shared" si="7"/>
        <v>21438034.260000002</v>
      </c>
      <c r="E66" s="207">
        <f t="shared" si="14"/>
        <v>1847053.74</v>
      </c>
      <c r="F66" s="47">
        <f t="shared" si="12"/>
        <v>110823224.18000002</v>
      </c>
      <c r="G66" s="47">
        <f>F66-D66</f>
        <v>89385189.920000017</v>
      </c>
    </row>
    <row r="67" spans="1:7" x14ac:dyDescent="0.25">
      <c r="A67" s="36">
        <v>42983</v>
      </c>
      <c r="B67" s="46">
        <f t="shared" si="9"/>
        <v>30</v>
      </c>
      <c r="C67" s="207">
        <f t="shared" si="15"/>
        <v>23285088</v>
      </c>
      <c r="D67" s="48">
        <f t="shared" si="7"/>
        <v>21795334.829999998</v>
      </c>
      <c r="E67" s="207">
        <f t="shared" si="14"/>
        <v>1489753.17</v>
      </c>
      <c r="F67" s="47">
        <f t="shared" si="12"/>
        <v>89385189.920000017</v>
      </c>
      <c r="G67" s="47">
        <f t="shared" ref="G67:G70" si="16">F67-D67</f>
        <v>67589855.090000018</v>
      </c>
    </row>
    <row r="68" spans="1:7" x14ac:dyDescent="0.25">
      <c r="A68" s="36">
        <v>43013</v>
      </c>
      <c r="B68" s="46">
        <f>DAYS360(A67,A68,TRUE)</f>
        <v>30</v>
      </c>
      <c r="C68" s="207">
        <f t="shared" si="15"/>
        <v>23285088</v>
      </c>
      <c r="D68" s="48">
        <f t="shared" si="7"/>
        <v>22158590.420000002</v>
      </c>
      <c r="E68" s="207">
        <f t="shared" si="14"/>
        <v>1126497.58</v>
      </c>
      <c r="F68" s="47">
        <f t="shared" si="12"/>
        <v>67589855.090000018</v>
      </c>
      <c r="G68" s="47">
        <f t="shared" si="16"/>
        <v>45431264.670000017</v>
      </c>
    </row>
    <row r="69" spans="1:7" x14ac:dyDescent="0.25">
      <c r="A69" s="36">
        <v>43044</v>
      </c>
      <c r="B69" s="46">
        <f t="shared" ref="B69:B70" si="17">DAYS360(A68,A69,TRUE)</f>
        <v>30</v>
      </c>
      <c r="C69" s="207">
        <f t="shared" si="15"/>
        <v>23285088</v>
      </c>
      <c r="D69" s="48">
        <f t="shared" si="7"/>
        <v>22527900.260000002</v>
      </c>
      <c r="E69" s="207">
        <f t="shared" si="14"/>
        <v>757187.74</v>
      </c>
      <c r="F69" s="47">
        <f t="shared" si="12"/>
        <v>45431264.670000017</v>
      </c>
      <c r="G69" s="47">
        <f t="shared" si="16"/>
        <v>22903364.410000015</v>
      </c>
    </row>
    <row r="70" spans="1:7" x14ac:dyDescent="0.25">
      <c r="A70" s="36">
        <v>43074</v>
      </c>
      <c r="B70" s="46">
        <f t="shared" si="17"/>
        <v>30</v>
      </c>
      <c r="C70" s="207">
        <f t="shared" si="15"/>
        <v>23285088</v>
      </c>
      <c r="D70" s="48">
        <f t="shared" si="7"/>
        <v>22903364.410000015</v>
      </c>
      <c r="E70" s="207">
        <v>381723.58999998658</v>
      </c>
      <c r="F70" s="47">
        <f t="shared" si="12"/>
        <v>22903364.410000015</v>
      </c>
      <c r="G70" s="47">
        <f t="shared" si="16"/>
        <v>0</v>
      </c>
    </row>
  </sheetData>
  <pageMargins left="0.7" right="0.7" top="0.75" bottom="0.75" header="0.3" footer="0.3"/>
  <pageSetup orientation="portrait" r:id="rId1"/>
</worksheet>
</file>

<file path=xl/worksheets/sheet1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9482A-2CFC-40C8-9AC6-A2D4583380E7}">
  <dimension ref="A1:X3"/>
  <sheetViews>
    <sheetView workbookViewId="0">
      <selection activeCell="A3" sqref="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4" width="69.42578125" bestFit="1" customWidth="1"/>
  </cols>
  <sheetData>
    <row r="1" spans="1:24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32</v>
      </c>
    </row>
    <row r="2" spans="1:24" x14ac:dyDescent="0.25">
      <c r="A2" s="12" t="s">
        <v>0</v>
      </c>
      <c r="B2" s="7" t="s">
        <v>9</v>
      </c>
      <c r="C2" s="7" t="s">
        <v>39</v>
      </c>
      <c r="D2" s="8" t="s">
        <v>77</v>
      </c>
      <c r="E2" s="8" t="s">
        <v>23</v>
      </c>
      <c r="F2" s="8" t="s">
        <v>41</v>
      </c>
      <c r="G2" s="8" t="s">
        <v>24</v>
      </c>
      <c r="H2" s="8" t="s">
        <v>13</v>
      </c>
      <c r="I2" s="8" t="s">
        <v>29</v>
      </c>
      <c r="J2" s="8" t="s">
        <v>42</v>
      </c>
      <c r="K2" s="8" t="s">
        <v>25</v>
      </c>
      <c r="L2" s="8" t="s">
        <v>26</v>
      </c>
      <c r="M2" s="8" t="s">
        <v>27</v>
      </c>
      <c r="N2" s="7" t="s">
        <v>29</v>
      </c>
      <c r="O2" s="7" t="s">
        <v>435</v>
      </c>
      <c r="P2" s="7" t="s">
        <v>45</v>
      </c>
      <c r="Q2" s="7" t="s">
        <v>46</v>
      </c>
      <c r="R2" s="7" t="s">
        <v>343</v>
      </c>
      <c r="S2" s="7" t="s">
        <v>21</v>
      </c>
      <c r="T2" s="7" t="s">
        <v>79</v>
      </c>
      <c r="U2" s="7" t="s">
        <v>230</v>
      </c>
      <c r="V2" s="7" t="s">
        <v>45</v>
      </c>
      <c r="W2" s="7" t="s">
        <v>46</v>
      </c>
      <c r="X2" s="165" t="s">
        <v>436</v>
      </c>
    </row>
    <row r="3" spans="1:24" x14ac:dyDescent="0.25">
      <c r="A3" s="12" t="s">
        <v>0</v>
      </c>
      <c r="B3" s="7" t="s">
        <v>9</v>
      </c>
      <c r="C3" s="7" t="s">
        <v>39</v>
      </c>
      <c r="D3" s="8" t="s">
        <v>77</v>
      </c>
      <c r="E3" s="8" t="s">
        <v>23</v>
      </c>
      <c r="F3" s="8" t="s">
        <v>41</v>
      </c>
      <c r="G3" s="8" t="s">
        <v>24</v>
      </c>
      <c r="H3" s="8" t="s">
        <v>13</v>
      </c>
      <c r="I3" s="8" t="s">
        <v>29</v>
      </c>
      <c r="J3" s="8" t="s">
        <v>42</v>
      </c>
      <c r="K3" s="8" t="s">
        <v>31</v>
      </c>
      <c r="L3" s="8" t="s">
        <v>26</v>
      </c>
      <c r="M3" s="8" t="s">
        <v>27</v>
      </c>
      <c r="N3" s="7" t="s">
        <v>29</v>
      </c>
      <c r="O3" s="7" t="s">
        <v>435</v>
      </c>
      <c r="P3" s="7" t="s">
        <v>45</v>
      </c>
      <c r="Q3" s="7" t="s">
        <v>46</v>
      </c>
      <c r="R3" s="7" t="s">
        <v>343</v>
      </c>
      <c r="S3" s="7" t="s">
        <v>21</v>
      </c>
      <c r="T3" s="7" t="s">
        <v>79</v>
      </c>
      <c r="U3" s="7" t="s">
        <v>230</v>
      </c>
      <c r="V3" s="7" t="s">
        <v>45</v>
      </c>
      <c r="W3" s="7" t="s">
        <v>46</v>
      </c>
      <c r="X3" s="165" t="s">
        <v>436</v>
      </c>
    </row>
  </sheetData>
  <pageMargins left="0.7" right="0.7" top="0.75" bottom="0.75" header="0.3" footer="0.3"/>
</worksheet>
</file>

<file path=xl/worksheets/sheet1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6CED17-3D52-4283-8CBB-3BF7C714A6C6}">
  <dimension ref="A1:S67"/>
  <sheetViews>
    <sheetView zoomScale="86" zoomScaleNormal="80" workbookViewId="0">
      <pane ySplit="3" topLeftCell="A17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10" width="16.7109375" customWidth="1"/>
    <col min="11" max="11" width="23.7109375" bestFit="1" customWidth="1"/>
    <col min="12" max="12" width="17" customWidth="1"/>
    <col min="13" max="14" width="23" customWidth="1"/>
    <col min="15" max="15" width="26" customWidth="1"/>
    <col min="16" max="16" width="20.42578125" customWidth="1"/>
    <col min="17" max="17" width="26.42578125" customWidth="1"/>
    <col min="18" max="18" width="13.42578125" customWidth="1"/>
  </cols>
  <sheetData>
    <row r="1" spans="1:19" x14ac:dyDescent="0.25">
      <c r="A1" s="17" t="s">
        <v>33</v>
      </c>
      <c r="B1" s="78">
        <v>41856</v>
      </c>
      <c r="C1" s="17" t="s">
        <v>37</v>
      </c>
      <c r="D1" s="79">
        <f>ROUNDUP(34326798.9648496,0)</f>
        <v>34326799</v>
      </c>
      <c r="E1" s="73" t="s">
        <v>106</v>
      </c>
      <c r="F1" s="79">
        <f>ROUNDUP(34082095.7725833,0)</f>
        <v>34082096</v>
      </c>
      <c r="G1" s="83" t="s">
        <v>52</v>
      </c>
      <c r="H1" s="81">
        <v>42140</v>
      </c>
      <c r="I1" s="83" t="s">
        <v>382</v>
      </c>
      <c r="J1" s="83"/>
      <c r="K1" s="73" t="s">
        <v>125</v>
      </c>
      <c r="L1" s="74">
        <v>42416</v>
      </c>
      <c r="M1" s="73" t="s">
        <v>128</v>
      </c>
      <c r="N1" s="73"/>
      <c r="O1" s="209" t="s">
        <v>123</v>
      </c>
      <c r="P1" s="210">
        <v>42736</v>
      </c>
      <c r="Q1" s="209" t="s">
        <v>127</v>
      </c>
      <c r="R1" s="209">
        <v>5600000</v>
      </c>
      <c r="S1" s="211"/>
    </row>
    <row r="2" spans="1:19" x14ac:dyDescent="0.25">
      <c r="A2" s="75" t="s">
        <v>34</v>
      </c>
      <c r="B2" s="76">
        <v>0.15</v>
      </c>
      <c r="G2" s="83" t="s">
        <v>127</v>
      </c>
      <c r="H2" s="83">
        <v>5600000</v>
      </c>
      <c r="I2" s="83">
        <f>_xlfn.DAYS(H1,A12)</f>
        <v>11</v>
      </c>
      <c r="J2" s="212">
        <f>_xlfn.DAYS(A13,H1)</f>
        <v>20</v>
      </c>
      <c r="K2" s="77" t="s">
        <v>126</v>
      </c>
      <c r="L2" s="79">
        <f>ROUNDUP(35326228.8404726,0)</f>
        <v>35326229</v>
      </c>
      <c r="M2" s="82">
        <v>0.2</v>
      </c>
      <c r="N2" s="82"/>
      <c r="O2" s="209" t="s">
        <v>106</v>
      </c>
      <c r="P2" s="213">
        <f>ROUNDUP(34583822.551585,0)</f>
        <v>34583823</v>
      </c>
      <c r="Q2" s="209" t="s">
        <v>382</v>
      </c>
      <c r="R2" s="211">
        <f>_xlfn.DAYS(P1,A31)</f>
        <v>27</v>
      </c>
      <c r="S2" s="211"/>
    </row>
    <row r="3" spans="1:1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J3" s="59"/>
      <c r="K3" s="59"/>
      <c r="L3" s="73" t="s">
        <v>437</v>
      </c>
      <c r="M3" s="73">
        <f>_xlfn.DAYS(L1,A21)</f>
        <v>11</v>
      </c>
      <c r="N3" s="73">
        <f>_xlfn.DAYS(A22,L1)</f>
        <v>18</v>
      </c>
      <c r="O3" s="209"/>
      <c r="P3" s="209"/>
      <c r="Q3" s="211" t="s">
        <v>438</v>
      </c>
      <c r="R3" s="211">
        <f>_xlfn.DAYS(A32,P1)</f>
        <v>4</v>
      </c>
      <c r="S3" s="211"/>
    </row>
    <row r="4" spans="1:19" x14ac:dyDescent="0.25">
      <c r="A4" s="36">
        <v>41887</v>
      </c>
      <c r="B4" s="46">
        <f>A4-B1</f>
        <v>31</v>
      </c>
      <c r="C4" s="47">
        <f>$D$1</f>
        <v>34326799</v>
      </c>
      <c r="D4" s="48">
        <f t="shared" ref="D4:D39" si="0">C4-E4</f>
        <v>21714470.23</v>
      </c>
      <c r="E4" s="68">
        <f>ROUND(F4*$B$2*B4/365,2)</f>
        <v>12612328.77</v>
      </c>
      <c r="F4" s="47">
        <v>990000000</v>
      </c>
      <c r="G4" s="47">
        <f t="shared" ref="G4" si="1">F4-D4</f>
        <v>968285529.76999998</v>
      </c>
    </row>
    <row r="5" spans="1:19" x14ac:dyDescent="0.25">
      <c r="A5" s="36">
        <v>41917</v>
      </c>
      <c r="B5" s="46">
        <f>A5-A4</f>
        <v>30</v>
      </c>
      <c r="C5" s="47">
        <f>$D$1</f>
        <v>34326799</v>
      </c>
      <c r="D5" s="48">
        <f t="shared" si="0"/>
        <v>22389032.189999998</v>
      </c>
      <c r="E5" s="68">
        <f>ROUND(F5*$B$2*B5/365,2)</f>
        <v>11937766.810000001</v>
      </c>
      <c r="F5" s="47">
        <f>G4</f>
        <v>968285529.76999998</v>
      </c>
      <c r="G5" s="47">
        <f>F5-D5</f>
        <v>945896497.57999992</v>
      </c>
    </row>
    <row r="6" spans="1:19" x14ac:dyDescent="0.25">
      <c r="A6" s="36">
        <v>41948</v>
      </c>
      <c r="B6" s="46">
        <f t="shared" ref="B6:B39" si="2">A6-A5</f>
        <v>31</v>
      </c>
      <c r="C6" s="47">
        <f t="shared" ref="C6:C40" si="3">$D$1</f>
        <v>34326799</v>
      </c>
      <c r="D6" s="48">
        <f t="shared" si="0"/>
        <v>22276336.77</v>
      </c>
      <c r="E6" s="68">
        <f t="shared" ref="E6:E38" si="4">ROUND(F6*$B$2*B6/365,2)</f>
        <v>12050462.23</v>
      </c>
      <c r="F6" s="47">
        <f t="shared" ref="F6:F39" si="5">G5</f>
        <v>945896497.57999992</v>
      </c>
      <c r="G6" s="47">
        <f t="shared" ref="G6:G39" si="6">F6-D6</f>
        <v>923620160.80999994</v>
      </c>
    </row>
    <row r="7" spans="1:19" x14ac:dyDescent="0.25">
      <c r="A7" s="36">
        <v>41978</v>
      </c>
      <c r="B7" s="46">
        <f t="shared" si="2"/>
        <v>30</v>
      </c>
      <c r="C7" s="47">
        <f t="shared" si="3"/>
        <v>34326799</v>
      </c>
      <c r="D7" s="48">
        <f t="shared" si="0"/>
        <v>22939701.130000003</v>
      </c>
      <c r="E7" s="68">
        <f t="shared" si="4"/>
        <v>11387097.869999999</v>
      </c>
      <c r="F7" s="47">
        <f t="shared" si="5"/>
        <v>923620160.80999994</v>
      </c>
      <c r="G7" s="47">
        <f t="shared" si="6"/>
        <v>900680459.67999995</v>
      </c>
    </row>
    <row r="8" spans="1:19" x14ac:dyDescent="0.25">
      <c r="A8" s="36">
        <v>42009</v>
      </c>
      <c r="B8" s="46">
        <f t="shared" si="2"/>
        <v>31</v>
      </c>
      <c r="C8" s="47">
        <f t="shared" si="3"/>
        <v>34326799</v>
      </c>
      <c r="D8" s="48">
        <f t="shared" si="0"/>
        <v>22852376.710000001</v>
      </c>
      <c r="E8" s="68">
        <f t="shared" si="4"/>
        <v>11474422.289999999</v>
      </c>
      <c r="F8" s="47">
        <f t="shared" si="5"/>
        <v>900680459.67999995</v>
      </c>
      <c r="G8" s="47">
        <f t="shared" si="6"/>
        <v>877828082.96999991</v>
      </c>
    </row>
    <row r="9" spans="1:19" x14ac:dyDescent="0.25">
      <c r="A9" s="36">
        <v>42040</v>
      </c>
      <c r="B9" s="46">
        <f t="shared" si="2"/>
        <v>31</v>
      </c>
      <c r="C9" s="47">
        <f t="shared" si="3"/>
        <v>34326799</v>
      </c>
      <c r="D9" s="48">
        <f t="shared" si="0"/>
        <v>23143509.719999999</v>
      </c>
      <c r="E9" s="68">
        <f t="shared" si="4"/>
        <v>11183289.279999999</v>
      </c>
      <c r="F9" s="47">
        <f t="shared" si="5"/>
        <v>877828082.96999991</v>
      </c>
      <c r="G9" s="47">
        <f t="shared" si="6"/>
        <v>854684573.24999988</v>
      </c>
    </row>
    <row r="10" spans="1:19" x14ac:dyDescent="0.25">
      <c r="A10" s="36">
        <v>42068</v>
      </c>
      <c r="B10" s="46">
        <f t="shared" si="2"/>
        <v>28</v>
      </c>
      <c r="C10" s="47">
        <f t="shared" si="3"/>
        <v>34326799</v>
      </c>
      <c r="D10" s="48">
        <f t="shared" si="0"/>
        <v>24492072.399999999</v>
      </c>
      <c r="E10" s="68">
        <f t="shared" si="4"/>
        <v>9834726.5999999996</v>
      </c>
      <c r="F10" s="47">
        <f t="shared" si="5"/>
        <v>854684573.24999988</v>
      </c>
      <c r="G10" s="47">
        <f t="shared" si="6"/>
        <v>830192500.8499999</v>
      </c>
    </row>
    <row r="11" spans="1:19" x14ac:dyDescent="0.25">
      <c r="A11" s="36">
        <v>42099</v>
      </c>
      <c r="B11" s="46">
        <f t="shared" si="2"/>
        <v>31</v>
      </c>
      <c r="C11" s="47">
        <f t="shared" si="3"/>
        <v>34326799</v>
      </c>
      <c r="D11" s="48">
        <f t="shared" si="0"/>
        <v>23750373.990000002</v>
      </c>
      <c r="E11" s="68">
        <f t="shared" si="4"/>
        <v>10576425.01</v>
      </c>
      <c r="F11" s="47">
        <f t="shared" si="5"/>
        <v>830192500.8499999</v>
      </c>
      <c r="G11" s="47">
        <f t="shared" si="6"/>
        <v>806442126.8599999</v>
      </c>
    </row>
    <row r="12" spans="1:19" x14ac:dyDescent="0.25">
      <c r="A12" s="36">
        <v>42129</v>
      </c>
      <c r="B12" s="46">
        <f t="shared" si="2"/>
        <v>30</v>
      </c>
      <c r="C12" s="47">
        <f t="shared" si="3"/>
        <v>34326799</v>
      </c>
      <c r="D12" s="48">
        <f t="shared" si="0"/>
        <v>24384361.82</v>
      </c>
      <c r="E12" s="68">
        <f t="shared" si="4"/>
        <v>9942437.1799999997</v>
      </c>
      <c r="F12" s="47">
        <f t="shared" si="5"/>
        <v>806442126.8599999</v>
      </c>
      <c r="G12" s="47">
        <f t="shared" si="6"/>
        <v>782057765.03999984</v>
      </c>
    </row>
    <row r="13" spans="1:19" x14ac:dyDescent="0.25">
      <c r="A13" s="36">
        <v>42160</v>
      </c>
      <c r="B13" s="46">
        <f t="shared" si="2"/>
        <v>31</v>
      </c>
      <c r="C13" s="47">
        <f t="shared" si="3"/>
        <v>34326799</v>
      </c>
      <c r="D13" s="48">
        <f t="shared" si="0"/>
        <v>24363597.34</v>
      </c>
      <c r="E13" s="68">
        <f t="shared" si="4"/>
        <v>9963201.6600000001</v>
      </c>
      <c r="F13" s="47">
        <f t="shared" si="5"/>
        <v>782057765.03999984</v>
      </c>
      <c r="G13" s="47">
        <f t="shared" si="6"/>
        <v>757694167.69999981</v>
      </c>
    </row>
    <row r="14" spans="1:19" x14ac:dyDescent="0.25">
      <c r="A14" s="36">
        <v>42190</v>
      </c>
      <c r="B14" s="46">
        <f t="shared" si="2"/>
        <v>30</v>
      </c>
      <c r="C14" s="47">
        <f t="shared" si="3"/>
        <v>34326799</v>
      </c>
      <c r="D14" s="48">
        <f t="shared" si="0"/>
        <v>24985364.060000002</v>
      </c>
      <c r="E14" s="68">
        <f t="shared" si="4"/>
        <v>9341434.9399999995</v>
      </c>
      <c r="F14" s="47">
        <f t="shared" si="5"/>
        <v>757694167.69999981</v>
      </c>
      <c r="G14" s="47">
        <f t="shared" si="6"/>
        <v>732708803.63999987</v>
      </c>
    </row>
    <row r="15" spans="1:19" x14ac:dyDescent="0.25">
      <c r="A15" s="36">
        <v>42221</v>
      </c>
      <c r="B15" s="46">
        <f t="shared" si="2"/>
        <v>31</v>
      </c>
      <c r="C15" s="47">
        <f t="shared" si="3"/>
        <v>34326799</v>
      </c>
      <c r="D15" s="48">
        <f t="shared" si="0"/>
        <v>24992289.579999998</v>
      </c>
      <c r="E15" s="68">
        <f t="shared" si="4"/>
        <v>9334509.4199999999</v>
      </c>
      <c r="F15" s="47">
        <f t="shared" si="5"/>
        <v>732708803.63999987</v>
      </c>
      <c r="G15" s="47">
        <f t="shared" si="6"/>
        <v>707716514.05999982</v>
      </c>
    </row>
    <row r="16" spans="1:19" x14ac:dyDescent="0.25">
      <c r="A16" s="36">
        <v>42252</v>
      </c>
      <c r="B16" s="46">
        <f t="shared" si="2"/>
        <v>31</v>
      </c>
      <c r="C16" s="47">
        <f t="shared" si="3"/>
        <v>34326799</v>
      </c>
      <c r="D16" s="48">
        <f t="shared" si="0"/>
        <v>25310684.509999998</v>
      </c>
      <c r="E16" s="68">
        <f t="shared" si="4"/>
        <v>9016114.4900000002</v>
      </c>
      <c r="F16" s="47">
        <f t="shared" si="5"/>
        <v>707716514.05999982</v>
      </c>
      <c r="G16" s="47">
        <f t="shared" si="6"/>
        <v>682405829.54999983</v>
      </c>
    </row>
    <row r="17" spans="1:7" x14ac:dyDescent="0.25">
      <c r="A17" s="36">
        <v>42282</v>
      </c>
      <c r="B17" s="46">
        <f t="shared" si="2"/>
        <v>30</v>
      </c>
      <c r="C17" s="47">
        <f t="shared" si="3"/>
        <v>34326799</v>
      </c>
      <c r="D17" s="48">
        <f t="shared" si="0"/>
        <v>25913576.439999998</v>
      </c>
      <c r="E17" s="68">
        <f t="shared" si="4"/>
        <v>8413222.5600000005</v>
      </c>
      <c r="F17" s="47">
        <f t="shared" si="5"/>
        <v>682405829.54999983</v>
      </c>
      <c r="G17" s="47">
        <f t="shared" si="6"/>
        <v>656492253.1099999</v>
      </c>
    </row>
    <row r="18" spans="1:7" x14ac:dyDescent="0.25">
      <c r="A18" s="36">
        <v>42313</v>
      </c>
      <c r="B18" s="46">
        <f t="shared" si="2"/>
        <v>31</v>
      </c>
      <c r="C18" s="47">
        <f t="shared" si="3"/>
        <v>34326799</v>
      </c>
      <c r="D18" s="48">
        <f t="shared" si="0"/>
        <v>25963267.559999999</v>
      </c>
      <c r="E18" s="68">
        <f t="shared" si="4"/>
        <v>8363531.4400000004</v>
      </c>
      <c r="F18" s="47">
        <f t="shared" si="5"/>
        <v>656492253.1099999</v>
      </c>
      <c r="G18" s="47">
        <f t="shared" si="6"/>
        <v>630528985.54999995</v>
      </c>
    </row>
    <row r="19" spans="1:7" x14ac:dyDescent="0.25">
      <c r="A19" s="36">
        <v>42343</v>
      </c>
      <c r="B19" s="46">
        <f t="shared" si="2"/>
        <v>30</v>
      </c>
      <c r="C19" s="47">
        <f t="shared" si="3"/>
        <v>34326799</v>
      </c>
      <c r="D19" s="48">
        <f t="shared" si="0"/>
        <v>26553153.969999999</v>
      </c>
      <c r="E19" s="68">
        <f t="shared" si="4"/>
        <v>7773645.0300000003</v>
      </c>
      <c r="F19" s="47">
        <f t="shared" si="5"/>
        <v>630528985.54999995</v>
      </c>
      <c r="G19" s="47">
        <f t="shared" si="6"/>
        <v>603975831.57999992</v>
      </c>
    </row>
    <row r="20" spans="1:7" x14ac:dyDescent="0.25">
      <c r="A20" s="36">
        <v>42374</v>
      </c>
      <c r="B20" s="46">
        <f t="shared" si="2"/>
        <v>31</v>
      </c>
      <c r="C20" s="47">
        <f t="shared" si="3"/>
        <v>34326799</v>
      </c>
      <c r="D20" s="48">
        <f t="shared" si="0"/>
        <v>26632312.379999999</v>
      </c>
      <c r="E20" s="68">
        <f t="shared" si="4"/>
        <v>7694486.6200000001</v>
      </c>
      <c r="F20" s="47">
        <f t="shared" si="5"/>
        <v>603975831.57999992</v>
      </c>
      <c r="G20" s="47">
        <f t="shared" si="6"/>
        <v>577343519.19999993</v>
      </c>
    </row>
    <row r="21" spans="1:7" x14ac:dyDescent="0.25">
      <c r="A21" s="36">
        <v>42405</v>
      </c>
      <c r="B21" s="46">
        <f t="shared" si="2"/>
        <v>31</v>
      </c>
      <c r="C21" s="47">
        <f t="shared" si="3"/>
        <v>34326799</v>
      </c>
      <c r="D21" s="48">
        <f t="shared" si="0"/>
        <v>26971600.740000002</v>
      </c>
      <c r="E21" s="68">
        <f t="shared" si="4"/>
        <v>7355198.2599999998</v>
      </c>
      <c r="F21" s="47">
        <f t="shared" si="5"/>
        <v>577343519.19999993</v>
      </c>
      <c r="G21" s="47">
        <f t="shared" si="6"/>
        <v>550371918.45999992</v>
      </c>
    </row>
    <row r="22" spans="1:7" x14ac:dyDescent="0.25">
      <c r="A22" s="36">
        <v>42434</v>
      </c>
      <c r="B22" s="46">
        <f t="shared" si="2"/>
        <v>29</v>
      </c>
      <c r="C22" s="47">
        <f t="shared" si="3"/>
        <v>34326799</v>
      </c>
      <c r="D22" s="48">
        <f t="shared" si="0"/>
        <v>27767572.030000001</v>
      </c>
      <c r="E22" s="68">
        <f t="shared" si="4"/>
        <v>6559226.9699999997</v>
      </c>
      <c r="F22" s="47">
        <f t="shared" si="5"/>
        <v>550371918.45999992</v>
      </c>
      <c r="G22" s="47">
        <f t="shared" si="6"/>
        <v>522604346.42999995</v>
      </c>
    </row>
    <row r="23" spans="1:7" x14ac:dyDescent="0.25">
      <c r="A23" s="36">
        <v>42465</v>
      </c>
      <c r="B23" s="46">
        <f t="shared" si="2"/>
        <v>31</v>
      </c>
      <c r="C23" s="47">
        <f t="shared" si="3"/>
        <v>34326799</v>
      </c>
      <c r="D23" s="48">
        <f t="shared" si="0"/>
        <v>27668962.809999999</v>
      </c>
      <c r="E23" s="68">
        <f t="shared" si="4"/>
        <v>6657836.1900000004</v>
      </c>
      <c r="F23" s="47">
        <f t="shared" si="5"/>
        <v>522604346.42999995</v>
      </c>
      <c r="G23" s="47">
        <f t="shared" si="6"/>
        <v>494935383.61999995</v>
      </c>
    </row>
    <row r="24" spans="1:7" x14ac:dyDescent="0.25">
      <c r="A24" s="36">
        <v>42495</v>
      </c>
      <c r="B24" s="46">
        <f t="shared" si="2"/>
        <v>30</v>
      </c>
      <c r="C24" s="47">
        <f t="shared" si="3"/>
        <v>34326799</v>
      </c>
      <c r="D24" s="48">
        <f t="shared" si="0"/>
        <v>28224855.91</v>
      </c>
      <c r="E24" s="68">
        <f t="shared" si="4"/>
        <v>6101943.0899999999</v>
      </c>
      <c r="F24" s="47">
        <f t="shared" si="5"/>
        <v>494935383.61999995</v>
      </c>
      <c r="G24" s="47">
        <f t="shared" si="6"/>
        <v>466710527.70999992</v>
      </c>
    </row>
    <row r="25" spans="1:7" x14ac:dyDescent="0.25">
      <c r="A25" s="36">
        <v>42526</v>
      </c>
      <c r="B25" s="46">
        <f t="shared" si="2"/>
        <v>31</v>
      </c>
      <c r="C25" s="47">
        <f t="shared" si="3"/>
        <v>34326799</v>
      </c>
      <c r="D25" s="48">
        <f t="shared" si="0"/>
        <v>28381034.740000002</v>
      </c>
      <c r="E25" s="68">
        <f t="shared" si="4"/>
        <v>5945764.2599999998</v>
      </c>
      <c r="F25" s="47">
        <f t="shared" si="5"/>
        <v>466710527.70999992</v>
      </c>
      <c r="G25" s="47">
        <f t="shared" si="6"/>
        <v>438329492.96999991</v>
      </c>
    </row>
    <row r="26" spans="1:7" x14ac:dyDescent="0.25">
      <c r="A26" s="36">
        <v>42556</v>
      </c>
      <c r="B26" s="46">
        <f t="shared" si="2"/>
        <v>30</v>
      </c>
      <c r="C26" s="47">
        <f t="shared" si="3"/>
        <v>34326799</v>
      </c>
      <c r="D26" s="48">
        <f t="shared" si="0"/>
        <v>28922736.759999998</v>
      </c>
      <c r="E26" s="68">
        <f t="shared" si="4"/>
        <v>5404062.2400000002</v>
      </c>
      <c r="F26" s="47">
        <f t="shared" si="5"/>
        <v>438329492.96999991</v>
      </c>
      <c r="G26" s="47">
        <f t="shared" si="6"/>
        <v>409406756.20999992</v>
      </c>
    </row>
    <row r="27" spans="1:7" x14ac:dyDescent="0.25">
      <c r="A27" s="36">
        <v>42587</v>
      </c>
      <c r="B27" s="46">
        <f t="shared" si="2"/>
        <v>31</v>
      </c>
      <c r="C27" s="47">
        <f t="shared" si="3"/>
        <v>34326799</v>
      </c>
      <c r="D27" s="48">
        <f t="shared" si="0"/>
        <v>29111069.09</v>
      </c>
      <c r="E27" s="68">
        <f t="shared" si="4"/>
        <v>5215729.91</v>
      </c>
      <c r="F27" s="47">
        <f t="shared" si="5"/>
        <v>409406756.20999992</v>
      </c>
      <c r="G27" s="47">
        <f t="shared" si="6"/>
        <v>380295687.11999995</v>
      </c>
    </row>
    <row r="28" spans="1:7" x14ac:dyDescent="0.25">
      <c r="A28" s="36">
        <v>42618</v>
      </c>
      <c r="B28" s="46">
        <f t="shared" si="2"/>
        <v>31</v>
      </c>
      <c r="C28" s="47">
        <f t="shared" si="3"/>
        <v>34326799</v>
      </c>
      <c r="D28" s="48">
        <f t="shared" si="0"/>
        <v>29481936.140000001</v>
      </c>
      <c r="E28" s="68">
        <f t="shared" si="4"/>
        <v>4844862.8600000003</v>
      </c>
      <c r="F28" s="47">
        <f t="shared" si="5"/>
        <v>380295687.11999995</v>
      </c>
      <c r="G28" s="47">
        <f t="shared" si="6"/>
        <v>350813750.97999996</v>
      </c>
    </row>
    <row r="29" spans="1:7" x14ac:dyDescent="0.25">
      <c r="A29" s="36">
        <v>42648</v>
      </c>
      <c r="B29" s="46">
        <f t="shared" si="2"/>
        <v>30</v>
      </c>
      <c r="C29" s="47">
        <f t="shared" si="3"/>
        <v>34326799</v>
      </c>
      <c r="D29" s="48">
        <f t="shared" si="0"/>
        <v>30001697.960000001</v>
      </c>
      <c r="E29" s="68">
        <f t="shared" si="4"/>
        <v>4325101.04</v>
      </c>
      <c r="F29" s="47">
        <f t="shared" si="5"/>
        <v>350813750.97999996</v>
      </c>
      <c r="G29" s="47">
        <f t="shared" si="6"/>
        <v>320812053.01999998</v>
      </c>
    </row>
    <row r="30" spans="1:7" x14ac:dyDescent="0.25">
      <c r="A30" s="36">
        <v>42679</v>
      </c>
      <c r="B30" s="46">
        <f t="shared" si="2"/>
        <v>31</v>
      </c>
      <c r="C30" s="47">
        <f t="shared" si="3"/>
        <v>34326799</v>
      </c>
      <c r="D30" s="48">
        <f t="shared" si="0"/>
        <v>30239741.34</v>
      </c>
      <c r="E30" s="68">
        <f t="shared" si="4"/>
        <v>4087057.66</v>
      </c>
      <c r="F30" s="47">
        <f t="shared" si="5"/>
        <v>320812053.01999998</v>
      </c>
      <c r="G30" s="47">
        <f t="shared" si="6"/>
        <v>290572311.68000001</v>
      </c>
    </row>
    <row r="31" spans="1:7" x14ac:dyDescent="0.25">
      <c r="A31" s="36">
        <v>42709</v>
      </c>
      <c r="B31" s="46">
        <f t="shared" si="2"/>
        <v>30</v>
      </c>
      <c r="C31" s="47">
        <f t="shared" si="3"/>
        <v>34326799</v>
      </c>
      <c r="D31" s="48">
        <f t="shared" si="0"/>
        <v>30744400.640000001</v>
      </c>
      <c r="E31" s="68">
        <f t="shared" si="4"/>
        <v>3582398.36</v>
      </c>
      <c r="F31" s="47">
        <f t="shared" si="5"/>
        <v>290572311.68000001</v>
      </c>
      <c r="G31" s="47">
        <f t="shared" si="6"/>
        <v>259827911.04000002</v>
      </c>
    </row>
    <row r="32" spans="1:7" x14ac:dyDescent="0.25">
      <c r="A32" s="36">
        <v>42740</v>
      </c>
      <c r="B32" s="46">
        <f t="shared" si="2"/>
        <v>31</v>
      </c>
      <c r="C32" s="47">
        <f t="shared" si="3"/>
        <v>34326799</v>
      </c>
      <c r="D32" s="48">
        <f t="shared" si="0"/>
        <v>31016662.600000001</v>
      </c>
      <c r="E32" s="68">
        <f t="shared" si="4"/>
        <v>3310136.4</v>
      </c>
      <c r="F32" s="47">
        <f t="shared" si="5"/>
        <v>259827911.04000002</v>
      </c>
      <c r="G32" s="47">
        <f t="shared" si="6"/>
        <v>228811248.44000003</v>
      </c>
    </row>
    <row r="33" spans="1:7" x14ac:dyDescent="0.25">
      <c r="A33" s="36">
        <v>42771</v>
      </c>
      <c r="B33" s="46">
        <f t="shared" si="2"/>
        <v>31</v>
      </c>
      <c r="C33" s="47">
        <f t="shared" si="3"/>
        <v>34326799</v>
      </c>
      <c r="D33" s="48">
        <f t="shared" si="0"/>
        <v>31411806.379999999</v>
      </c>
      <c r="E33" s="68">
        <f t="shared" si="4"/>
        <v>2914992.62</v>
      </c>
      <c r="F33" s="47">
        <f t="shared" si="5"/>
        <v>228811248.44000003</v>
      </c>
      <c r="G33" s="47">
        <f t="shared" si="6"/>
        <v>197399442.06000003</v>
      </c>
    </row>
    <row r="34" spans="1:7" x14ac:dyDescent="0.25">
      <c r="A34" s="36">
        <v>42799</v>
      </c>
      <c r="B34" s="46">
        <f t="shared" si="2"/>
        <v>28</v>
      </c>
      <c r="C34" s="47">
        <f t="shared" si="3"/>
        <v>34326799</v>
      </c>
      <c r="D34" s="48">
        <f t="shared" si="0"/>
        <v>32055353.370000001</v>
      </c>
      <c r="E34" s="68">
        <f t="shared" si="4"/>
        <v>2271445.63</v>
      </c>
      <c r="F34" s="47">
        <f t="shared" si="5"/>
        <v>197399442.06000003</v>
      </c>
      <c r="G34" s="47">
        <f t="shared" si="6"/>
        <v>165344088.69000003</v>
      </c>
    </row>
    <row r="35" spans="1:7" x14ac:dyDescent="0.25">
      <c r="A35" s="36">
        <v>42830</v>
      </c>
      <c r="B35" s="46">
        <f t="shared" si="2"/>
        <v>31</v>
      </c>
      <c r="C35" s="47">
        <f t="shared" si="3"/>
        <v>34326799</v>
      </c>
      <c r="D35" s="48">
        <f t="shared" si="0"/>
        <v>32220360.609999999</v>
      </c>
      <c r="E35" s="68">
        <f t="shared" si="4"/>
        <v>2106438.39</v>
      </c>
      <c r="F35" s="47">
        <f t="shared" si="5"/>
        <v>165344088.69000003</v>
      </c>
      <c r="G35" s="47">
        <f t="shared" si="6"/>
        <v>133123728.08000003</v>
      </c>
    </row>
    <row r="36" spans="1:7" x14ac:dyDescent="0.25">
      <c r="A36" s="36">
        <v>42860</v>
      </c>
      <c r="B36" s="46">
        <f t="shared" si="2"/>
        <v>30</v>
      </c>
      <c r="C36" s="47">
        <f t="shared" si="3"/>
        <v>34326799</v>
      </c>
      <c r="D36" s="48">
        <f t="shared" si="0"/>
        <v>32685547.559999999</v>
      </c>
      <c r="E36" s="68">
        <f t="shared" si="4"/>
        <v>1641251.44</v>
      </c>
      <c r="F36" s="47">
        <f t="shared" si="5"/>
        <v>133123728.08000003</v>
      </c>
      <c r="G36" s="47">
        <f t="shared" si="6"/>
        <v>100438180.52000003</v>
      </c>
    </row>
    <row r="37" spans="1:7" x14ac:dyDescent="0.25">
      <c r="A37" s="36">
        <v>42891</v>
      </c>
      <c r="B37" s="46">
        <f t="shared" si="2"/>
        <v>31</v>
      </c>
      <c r="C37" s="47">
        <f t="shared" si="3"/>
        <v>34326799</v>
      </c>
      <c r="D37" s="48">
        <f t="shared" si="0"/>
        <v>33047244.100000001</v>
      </c>
      <c r="E37" s="68">
        <f t="shared" si="4"/>
        <v>1279554.8999999999</v>
      </c>
      <c r="F37" s="47">
        <f t="shared" si="5"/>
        <v>100438180.52000003</v>
      </c>
      <c r="G37" s="47">
        <f t="shared" si="6"/>
        <v>67390936.420000017</v>
      </c>
    </row>
    <row r="38" spans="1:7" x14ac:dyDescent="0.25">
      <c r="A38" s="36">
        <v>42921</v>
      </c>
      <c r="B38" s="46">
        <f t="shared" si="2"/>
        <v>30</v>
      </c>
      <c r="C38" s="47">
        <f t="shared" si="3"/>
        <v>34326799</v>
      </c>
      <c r="D38" s="48">
        <f t="shared" si="0"/>
        <v>33495951.84</v>
      </c>
      <c r="E38" s="68">
        <f t="shared" si="4"/>
        <v>830847.16</v>
      </c>
      <c r="F38" s="47">
        <f t="shared" si="5"/>
        <v>67390936.420000017</v>
      </c>
      <c r="G38" s="47">
        <f t="shared" si="6"/>
        <v>33894984.580000013</v>
      </c>
    </row>
    <row r="39" spans="1:7" x14ac:dyDescent="0.25">
      <c r="A39" s="36">
        <v>42952</v>
      </c>
      <c r="B39" s="46">
        <f t="shared" si="2"/>
        <v>31</v>
      </c>
      <c r="C39" s="47">
        <f t="shared" si="3"/>
        <v>34326799</v>
      </c>
      <c r="D39" s="48">
        <f t="shared" si="0"/>
        <v>33894984.580000013</v>
      </c>
      <c r="E39" s="68">
        <v>431814.4199999866</v>
      </c>
      <c r="F39" s="47">
        <f t="shared" si="5"/>
        <v>33894984.580000013</v>
      </c>
      <c r="G39" s="47">
        <f t="shared" si="6"/>
        <v>0</v>
      </c>
    </row>
    <row r="40" spans="1:7" x14ac:dyDescent="0.25">
      <c r="A40" s="214">
        <v>42129</v>
      </c>
      <c r="B40" s="215">
        <f>A40-A11</f>
        <v>30</v>
      </c>
      <c r="C40" s="216">
        <f t="shared" si="3"/>
        <v>34326799</v>
      </c>
      <c r="D40" s="217">
        <f>C12-E12</f>
        <v>24384361.82</v>
      </c>
      <c r="E40" s="216">
        <f>E12</f>
        <v>9942437.1799999997</v>
      </c>
      <c r="F40" s="216">
        <f>F12</f>
        <v>806442126.8599999</v>
      </c>
      <c r="G40" s="216">
        <f>G12</f>
        <v>782057765.03999984</v>
      </c>
    </row>
    <row r="41" spans="1:7" x14ac:dyDescent="0.25">
      <c r="A41" s="36">
        <v>42160</v>
      </c>
      <c r="B41" s="168">
        <f>A41-A40</f>
        <v>31</v>
      </c>
      <c r="C41" s="172">
        <f>$F$1</f>
        <v>34082096</v>
      </c>
      <c r="D41" s="173">
        <f t="shared" ref="D41:D67" si="7">C41-E41</f>
        <v>24164921.73</v>
      </c>
      <c r="E41" s="172">
        <f>ROUND((G40*$B$2*I2/365)+(F41*$B$2*J2/365),2)</f>
        <v>9917174.2699999996</v>
      </c>
      <c r="F41" s="172">
        <f>G40-H2</f>
        <v>776457765.03999984</v>
      </c>
      <c r="G41" s="172">
        <f t="shared" ref="G41:G67" si="8">F41-D41</f>
        <v>752292843.30999982</v>
      </c>
    </row>
    <row r="42" spans="1:7" x14ac:dyDescent="0.25">
      <c r="A42" s="29">
        <v>42190</v>
      </c>
      <c r="B42" s="168">
        <f>A42-A41</f>
        <v>30</v>
      </c>
      <c r="C42" s="172">
        <f t="shared" ref="C42:C49" si="9">$F$1</f>
        <v>34082096</v>
      </c>
      <c r="D42" s="173">
        <f t="shared" si="7"/>
        <v>24807252.73</v>
      </c>
      <c r="E42" s="172">
        <f t="shared" ref="E42:E49" si="10">ROUND(F42*$B$2*B42/365,2)</f>
        <v>9274843.2699999996</v>
      </c>
      <c r="F42" s="47">
        <f t="shared" ref="F42:F67" si="11">G41</f>
        <v>752292843.30999982</v>
      </c>
      <c r="G42" s="172">
        <f t="shared" si="8"/>
        <v>727485590.5799998</v>
      </c>
    </row>
    <row r="43" spans="1:7" x14ac:dyDescent="0.25">
      <c r="A43" s="36">
        <v>42221</v>
      </c>
      <c r="B43" s="46">
        <f t="shared" ref="B43:B67" si="12">A43-A42</f>
        <v>31</v>
      </c>
      <c r="C43" s="172">
        <f t="shared" si="9"/>
        <v>34082096</v>
      </c>
      <c r="D43" s="48">
        <f t="shared" si="7"/>
        <v>24814128.890000001</v>
      </c>
      <c r="E43" s="68">
        <f t="shared" si="10"/>
        <v>9267967.1099999994</v>
      </c>
      <c r="F43" s="47">
        <f t="shared" si="11"/>
        <v>727485590.5799998</v>
      </c>
      <c r="G43" s="47">
        <f t="shared" si="8"/>
        <v>702671461.68999982</v>
      </c>
    </row>
    <row r="44" spans="1:7" x14ac:dyDescent="0.25">
      <c r="A44" s="36">
        <v>42252</v>
      </c>
      <c r="B44" s="46">
        <f t="shared" si="12"/>
        <v>31</v>
      </c>
      <c r="C44" s="172">
        <f t="shared" si="9"/>
        <v>34082096</v>
      </c>
      <c r="D44" s="48">
        <f t="shared" si="7"/>
        <v>25130254.09</v>
      </c>
      <c r="E44" s="68">
        <f t="shared" si="10"/>
        <v>8951841.9100000001</v>
      </c>
      <c r="F44" s="47">
        <f t="shared" si="11"/>
        <v>702671461.68999982</v>
      </c>
      <c r="G44" s="47">
        <f t="shared" si="8"/>
        <v>677541207.59999979</v>
      </c>
    </row>
    <row r="45" spans="1:7" x14ac:dyDescent="0.25">
      <c r="A45" s="36">
        <v>42282</v>
      </c>
      <c r="B45" s="46">
        <f t="shared" si="12"/>
        <v>30</v>
      </c>
      <c r="C45" s="172">
        <f t="shared" si="9"/>
        <v>34082096</v>
      </c>
      <c r="D45" s="48">
        <f t="shared" si="7"/>
        <v>25728848.240000002</v>
      </c>
      <c r="E45" s="68">
        <f t="shared" si="10"/>
        <v>8353247.7599999998</v>
      </c>
      <c r="F45" s="47">
        <f t="shared" si="11"/>
        <v>677541207.59999979</v>
      </c>
      <c r="G45" s="47">
        <f t="shared" si="8"/>
        <v>651812359.35999978</v>
      </c>
    </row>
    <row r="46" spans="1:7" x14ac:dyDescent="0.25">
      <c r="A46" s="36">
        <v>42313</v>
      </c>
      <c r="B46" s="46">
        <f t="shared" si="12"/>
        <v>31</v>
      </c>
      <c r="C46" s="172">
        <f t="shared" si="9"/>
        <v>34082096</v>
      </c>
      <c r="D46" s="48">
        <f t="shared" si="7"/>
        <v>25778185.120000001</v>
      </c>
      <c r="E46" s="68">
        <f t="shared" si="10"/>
        <v>8303910.8799999999</v>
      </c>
      <c r="F46" s="47">
        <f t="shared" si="11"/>
        <v>651812359.35999978</v>
      </c>
      <c r="G46" s="47">
        <f t="shared" si="8"/>
        <v>626034174.23999977</v>
      </c>
    </row>
    <row r="47" spans="1:7" x14ac:dyDescent="0.25">
      <c r="A47" s="36">
        <v>42343</v>
      </c>
      <c r="B47" s="46">
        <f t="shared" si="12"/>
        <v>30</v>
      </c>
      <c r="C47" s="172">
        <f t="shared" si="9"/>
        <v>34082096</v>
      </c>
      <c r="D47" s="48">
        <f t="shared" si="7"/>
        <v>26363866.449999999</v>
      </c>
      <c r="E47" s="68">
        <f t="shared" si="10"/>
        <v>7718229.5499999998</v>
      </c>
      <c r="F47" s="47">
        <f t="shared" si="11"/>
        <v>626034174.23999977</v>
      </c>
      <c r="G47" s="47">
        <f t="shared" si="8"/>
        <v>599670307.78999972</v>
      </c>
    </row>
    <row r="48" spans="1:7" x14ac:dyDescent="0.25">
      <c r="A48" s="36">
        <v>42374</v>
      </c>
      <c r="B48" s="46">
        <f t="shared" si="12"/>
        <v>31</v>
      </c>
      <c r="C48" s="172">
        <f t="shared" si="9"/>
        <v>34082096</v>
      </c>
      <c r="D48" s="48">
        <f t="shared" si="7"/>
        <v>26442460.57</v>
      </c>
      <c r="E48" s="68">
        <f t="shared" si="10"/>
        <v>7639635.4299999997</v>
      </c>
      <c r="F48" s="47">
        <f t="shared" si="11"/>
        <v>599670307.78999972</v>
      </c>
      <c r="G48" s="47">
        <f t="shared" si="8"/>
        <v>573227847.21999967</v>
      </c>
    </row>
    <row r="49" spans="1:7" x14ac:dyDescent="0.25">
      <c r="A49" s="36">
        <v>42405</v>
      </c>
      <c r="B49" s="46">
        <f t="shared" si="12"/>
        <v>31</v>
      </c>
      <c r="C49" s="172">
        <f t="shared" si="9"/>
        <v>34082096</v>
      </c>
      <c r="D49" s="48">
        <f t="shared" si="7"/>
        <v>26779330.280000001</v>
      </c>
      <c r="E49" s="68">
        <f t="shared" si="10"/>
        <v>7302765.7199999997</v>
      </c>
      <c r="F49" s="47">
        <f t="shared" si="11"/>
        <v>573227847.21999967</v>
      </c>
      <c r="G49" s="47">
        <f t="shared" si="8"/>
        <v>546448516.9399997</v>
      </c>
    </row>
    <row r="50" spans="1:7" x14ac:dyDescent="0.25">
      <c r="A50" s="179">
        <v>42434</v>
      </c>
      <c r="B50" s="169">
        <f t="shared" si="12"/>
        <v>29</v>
      </c>
      <c r="C50" s="170">
        <f>$L$2</f>
        <v>35326229</v>
      </c>
      <c r="D50" s="171">
        <f t="shared" si="7"/>
        <v>27466353.07</v>
      </c>
      <c r="E50" s="170">
        <f>ROUND((F50*$B$2*M3/365)+(F50*$M$2*N3/365),2)</f>
        <v>7859875.9299999997</v>
      </c>
      <c r="F50" s="170">
        <f t="shared" si="11"/>
        <v>546448516.9399997</v>
      </c>
      <c r="G50" s="170">
        <f t="shared" si="8"/>
        <v>518982163.86999971</v>
      </c>
    </row>
    <row r="51" spans="1:7" x14ac:dyDescent="0.25">
      <c r="A51" s="36">
        <v>42465</v>
      </c>
      <c r="B51" s="46">
        <f t="shared" si="12"/>
        <v>31</v>
      </c>
      <c r="C51" s="172">
        <f t="shared" ref="C51:C59" si="13">$L$2</f>
        <v>35326229</v>
      </c>
      <c r="D51" s="48">
        <f t="shared" si="7"/>
        <v>26510641.560000002</v>
      </c>
      <c r="E51" s="68">
        <f t="shared" ref="E51:E66" si="14">ROUND(F51*$M$2*B51/365,2)</f>
        <v>8815587.4399999995</v>
      </c>
      <c r="F51" s="47">
        <f t="shared" si="11"/>
        <v>518982163.86999971</v>
      </c>
      <c r="G51" s="47">
        <f t="shared" si="8"/>
        <v>492471522.3099997</v>
      </c>
    </row>
    <row r="52" spans="1:7" x14ac:dyDescent="0.25">
      <c r="A52" s="36">
        <v>42495</v>
      </c>
      <c r="B52" s="46">
        <f t="shared" si="12"/>
        <v>30</v>
      </c>
      <c r="C52" s="172">
        <f t="shared" si="13"/>
        <v>35326229</v>
      </c>
      <c r="D52" s="48">
        <f t="shared" si="7"/>
        <v>27230806.719999999</v>
      </c>
      <c r="E52" s="68">
        <f t="shared" si="14"/>
        <v>8095422.2800000003</v>
      </c>
      <c r="F52" s="47">
        <f t="shared" si="11"/>
        <v>492471522.3099997</v>
      </c>
      <c r="G52" s="47">
        <f t="shared" si="8"/>
        <v>465240715.58999968</v>
      </c>
    </row>
    <row r="53" spans="1:7" x14ac:dyDescent="0.25">
      <c r="A53" s="36">
        <v>42526</v>
      </c>
      <c r="B53" s="46">
        <f t="shared" si="12"/>
        <v>31</v>
      </c>
      <c r="C53" s="172">
        <f t="shared" si="13"/>
        <v>35326229</v>
      </c>
      <c r="D53" s="48">
        <f t="shared" si="7"/>
        <v>27423510</v>
      </c>
      <c r="E53" s="68">
        <f t="shared" si="14"/>
        <v>7902719</v>
      </c>
      <c r="F53" s="47">
        <f t="shared" si="11"/>
        <v>465240715.58999968</v>
      </c>
      <c r="G53" s="47">
        <f t="shared" si="8"/>
        <v>437817205.58999968</v>
      </c>
    </row>
    <row r="54" spans="1:7" x14ac:dyDescent="0.25">
      <c r="A54" s="36">
        <v>42556</v>
      </c>
      <c r="B54" s="46">
        <f t="shared" si="12"/>
        <v>30</v>
      </c>
      <c r="C54" s="172">
        <f t="shared" si="13"/>
        <v>35326229</v>
      </c>
      <c r="D54" s="48">
        <f t="shared" si="7"/>
        <v>28129233.84</v>
      </c>
      <c r="E54" s="68">
        <f t="shared" si="14"/>
        <v>7196995.1600000001</v>
      </c>
      <c r="F54" s="47">
        <f t="shared" si="11"/>
        <v>437817205.58999968</v>
      </c>
      <c r="G54" s="47">
        <f t="shared" si="8"/>
        <v>409687971.7499997</v>
      </c>
    </row>
    <row r="55" spans="1:7" x14ac:dyDescent="0.25">
      <c r="A55" s="36">
        <v>42587</v>
      </c>
      <c r="B55" s="46">
        <f t="shared" si="12"/>
        <v>31</v>
      </c>
      <c r="C55" s="172">
        <f t="shared" si="13"/>
        <v>35326229</v>
      </c>
      <c r="D55" s="48">
        <f t="shared" si="7"/>
        <v>28367145.640000001</v>
      </c>
      <c r="E55" s="68">
        <f t="shared" si="14"/>
        <v>6959083.3600000003</v>
      </c>
      <c r="F55" s="47">
        <f t="shared" si="11"/>
        <v>409687971.7499997</v>
      </c>
      <c r="G55" s="47">
        <f t="shared" si="8"/>
        <v>381320826.10999972</v>
      </c>
    </row>
    <row r="56" spans="1:7" x14ac:dyDescent="0.25">
      <c r="A56" s="36">
        <v>42618</v>
      </c>
      <c r="B56" s="46">
        <f t="shared" si="12"/>
        <v>31</v>
      </c>
      <c r="C56" s="172">
        <f t="shared" si="13"/>
        <v>35326229</v>
      </c>
      <c r="D56" s="48">
        <f t="shared" si="7"/>
        <v>28848998.530000001</v>
      </c>
      <c r="E56" s="68">
        <f t="shared" si="14"/>
        <v>6477230.4699999997</v>
      </c>
      <c r="F56" s="47">
        <f t="shared" si="11"/>
        <v>381320826.10999972</v>
      </c>
      <c r="G56" s="47">
        <f t="shared" si="8"/>
        <v>352471827.57999969</v>
      </c>
    </row>
    <row r="57" spans="1:7" x14ac:dyDescent="0.25">
      <c r="A57" s="36">
        <v>42648</v>
      </c>
      <c r="B57" s="46">
        <f t="shared" si="12"/>
        <v>30</v>
      </c>
      <c r="C57" s="172">
        <f t="shared" si="13"/>
        <v>35326229</v>
      </c>
      <c r="D57" s="48">
        <f t="shared" si="7"/>
        <v>29532171.559999999</v>
      </c>
      <c r="E57" s="68">
        <f t="shared" si="14"/>
        <v>5794057.4400000004</v>
      </c>
      <c r="F57" s="47">
        <f t="shared" si="11"/>
        <v>352471827.57999969</v>
      </c>
      <c r="G57" s="47">
        <f t="shared" si="8"/>
        <v>322939656.01999968</v>
      </c>
    </row>
    <row r="58" spans="1:7" x14ac:dyDescent="0.25">
      <c r="A58" s="36">
        <v>42679</v>
      </c>
      <c r="B58" s="46">
        <f t="shared" si="12"/>
        <v>31</v>
      </c>
      <c r="C58" s="172">
        <f t="shared" si="13"/>
        <v>35326229</v>
      </c>
      <c r="D58" s="48">
        <f t="shared" si="7"/>
        <v>29840678.68</v>
      </c>
      <c r="E58" s="68">
        <f t="shared" si="14"/>
        <v>5485550.3200000003</v>
      </c>
      <c r="F58" s="47">
        <f t="shared" si="11"/>
        <v>322939656.01999968</v>
      </c>
      <c r="G58" s="47">
        <f t="shared" si="8"/>
        <v>293098977.33999968</v>
      </c>
    </row>
    <row r="59" spans="1:7" x14ac:dyDescent="0.25">
      <c r="A59" s="36">
        <v>42709</v>
      </c>
      <c r="B59" s="46">
        <f t="shared" si="12"/>
        <v>30</v>
      </c>
      <c r="C59" s="172">
        <f t="shared" si="13"/>
        <v>35326229</v>
      </c>
      <c r="D59" s="48">
        <f t="shared" si="7"/>
        <v>30508163.620000001</v>
      </c>
      <c r="E59" s="68">
        <f t="shared" si="14"/>
        <v>4818065.38</v>
      </c>
      <c r="F59" s="47">
        <f t="shared" si="11"/>
        <v>293098977.33999968</v>
      </c>
      <c r="G59" s="47">
        <f t="shared" si="8"/>
        <v>262590813.71999967</v>
      </c>
    </row>
    <row r="60" spans="1:7" x14ac:dyDescent="0.25">
      <c r="A60" s="179">
        <v>42740</v>
      </c>
      <c r="B60" s="169">
        <f t="shared" si="12"/>
        <v>31</v>
      </c>
      <c r="C60" s="170">
        <f>$P$2</f>
        <v>34583823</v>
      </c>
      <c r="D60" s="171">
        <f t="shared" si="7"/>
        <v>30135650.27</v>
      </c>
      <c r="E60" s="170">
        <f>ROUND((G59*$M$2*R2/365)+(F60*$M$2*R3/365),2)</f>
        <v>4448172.7300000004</v>
      </c>
      <c r="F60" s="170">
        <f>G59-R1</f>
        <v>256990813.71999967</v>
      </c>
      <c r="G60" s="170">
        <f t="shared" si="8"/>
        <v>226855163.44999966</v>
      </c>
    </row>
    <row r="61" spans="1:7" x14ac:dyDescent="0.25">
      <c r="A61" s="36">
        <v>42771</v>
      </c>
      <c r="B61" s="46">
        <f t="shared" si="12"/>
        <v>31</v>
      </c>
      <c r="C61" s="172">
        <f t="shared" ref="C61:C67" si="15">$P$2</f>
        <v>34583823</v>
      </c>
      <c r="D61" s="48">
        <f t="shared" si="7"/>
        <v>30730392.829999998</v>
      </c>
      <c r="E61" s="68">
        <f t="shared" si="14"/>
        <v>3853430.17</v>
      </c>
      <c r="F61" s="47">
        <f t="shared" si="11"/>
        <v>226855163.44999966</v>
      </c>
      <c r="G61" s="47">
        <f t="shared" si="8"/>
        <v>196124770.61999965</v>
      </c>
    </row>
    <row r="62" spans="1:7" x14ac:dyDescent="0.25">
      <c r="A62" s="29">
        <v>42799</v>
      </c>
      <c r="B62" s="168">
        <f t="shared" si="12"/>
        <v>28</v>
      </c>
      <c r="C62" s="172">
        <f t="shared" si="15"/>
        <v>34583823</v>
      </c>
      <c r="D62" s="173">
        <f t="shared" si="7"/>
        <v>31574785.420000002</v>
      </c>
      <c r="E62" s="172">
        <f t="shared" si="14"/>
        <v>3009037.58</v>
      </c>
      <c r="F62" s="172">
        <f t="shared" si="11"/>
        <v>196124770.61999965</v>
      </c>
      <c r="G62" s="172">
        <f t="shared" si="8"/>
        <v>164549985.19999963</v>
      </c>
    </row>
    <row r="63" spans="1:7" x14ac:dyDescent="0.25">
      <c r="A63" s="36">
        <v>42830</v>
      </c>
      <c r="B63" s="46">
        <f t="shared" si="12"/>
        <v>31</v>
      </c>
      <c r="C63" s="172">
        <f t="shared" si="15"/>
        <v>34583823</v>
      </c>
      <c r="D63" s="48">
        <f t="shared" si="7"/>
        <v>31788727.359999999</v>
      </c>
      <c r="E63" s="68">
        <f t="shared" si="14"/>
        <v>2795095.64</v>
      </c>
      <c r="F63" s="47">
        <f t="shared" si="11"/>
        <v>164549985.19999963</v>
      </c>
      <c r="G63" s="47">
        <f t="shared" si="8"/>
        <v>132761257.83999963</v>
      </c>
    </row>
    <row r="64" spans="1:7" x14ac:dyDescent="0.25">
      <c r="A64" s="36">
        <v>42860</v>
      </c>
      <c r="B64" s="46">
        <f t="shared" si="12"/>
        <v>30</v>
      </c>
      <c r="C64" s="172">
        <f t="shared" si="15"/>
        <v>34583823</v>
      </c>
      <c r="D64" s="48">
        <f t="shared" si="7"/>
        <v>32401446.16</v>
      </c>
      <c r="E64" s="68">
        <f t="shared" si="14"/>
        <v>2182376.84</v>
      </c>
      <c r="F64" s="47">
        <f t="shared" si="11"/>
        <v>132761257.83999963</v>
      </c>
      <c r="G64" s="47">
        <f t="shared" si="8"/>
        <v>100359811.67999963</v>
      </c>
    </row>
    <row r="65" spans="1:7" x14ac:dyDescent="0.25">
      <c r="A65" s="36">
        <v>42891</v>
      </c>
      <c r="B65" s="46">
        <f t="shared" si="12"/>
        <v>31</v>
      </c>
      <c r="C65" s="172">
        <f t="shared" si="15"/>
        <v>34583823</v>
      </c>
      <c r="D65" s="48">
        <f t="shared" si="7"/>
        <v>32879080.989999998</v>
      </c>
      <c r="E65" s="68">
        <f t="shared" si="14"/>
        <v>1704742.01</v>
      </c>
      <c r="F65" s="47">
        <f t="shared" si="11"/>
        <v>100359811.67999963</v>
      </c>
      <c r="G65" s="47">
        <f t="shared" si="8"/>
        <v>67480730.68999964</v>
      </c>
    </row>
    <row r="66" spans="1:7" x14ac:dyDescent="0.25">
      <c r="A66" s="36">
        <v>42921</v>
      </c>
      <c r="B66" s="46">
        <f t="shared" si="12"/>
        <v>30</v>
      </c>
      <c r="C66" s="172">
        <f t="shared" si="15"/>
        <v>34583823</v>
      </c>
      <c r="D66" s="48">
        <f t="shared" si="7"/>
        <v>33474550.710000001</v>
      </c>
      <c r="E66" s="68">
        <f t="shared" si="14"/>
        <v>1109272.29</v>
      </c>
      <c r="F66" s="47">
        <f t="shared" si="11"/>
        <v>67480730.68999964</v>
      </c>
      <c r="G66" s="47">
        <f t="shared" si="8"/>
        <v>34006179.979999639</v>
      </c>
    </row>
    <row r="67" spans="1:7" x14ac:dyDescent="0.25">
      <c r="A67" s="36">
        <v>42952</v>
      </c>
      <c r="B67" s="46">
        <f t="shared" si="12"/>
        <v>31</v>
      </c>
      <c r="C67" s="172">
        <f t="shared" si="15"/>
        <v>34583823</v>
      </c>
      <c r="D67" s="48">
        <f t="shared" si="7"/>
        <v>34006179.979999639</v>
      </c>
      <c r="E67" s="68">
        <v>577643.02000036207</v>
      </c>
      <c r="F67" s="47">
        <f t="shared" si="11"/>
        <v>34006179.979999639</v>
      </c>
      <c r="G67" s="47">
        <f t="shared" si="8"/>
        <v>0</v>
      </c>
    </row>
  </sheetData>
  <pageMargins left="0.7" right="0.7" top="0.75" bottom="0.75" header="0.3" footer="0.3"/>
  <pageSetup orientation="portrait" r:id="rId1"/>
</worksheet>
</file>

<file path=xl/worksheets/sheet1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2BEB7-B4FE-4648-BD5A-6BF735F1C647}">
  <dimension ref="A1:S67"/>
  <sheetViews>
    <sheetView zoomScale="86" zoomScaleNormal="80" workbookViewId="0">
      <pane ySplit="3" topLeftCell="A48" activePane="bottomLeft" state="frozen"/>
      <selection activeCell="A3" sqref="A3"/>
      <selection pane="bottomLeft" activeCell="A3" sqref="A3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10" width="16.7109375" customWidth="1"/>
    <col min="11" max="11" width="23.7109375" bestFit="1" customWidth="1"/>
    <col min="12" max="12" width="17" customWidth="1"/>
    <col min="13" max="14" width="23" customWidth="1"/>
    <col min="15" max="15" width="26" customWidth="1"/>
    <col min="16" max="16" width="20.42578125" customWidth="1"/>
    <col min="17" max="17" width="26.42578125" customWidth="1"/>
    <col min="18" max="18" width="13.42578125" customWidth="1"/>
  </cols>
  <sheetData>
    <row r="1" spans="1:19" x14ac:dyDescent="0.25">
      <c r="A1" s="17" t="s">
        <v>33</v>
      </c>
      <c r="B1" s="78">
        <v>41856</v>
      </c>
      <c r="C1" s="17" t="s">
        <v>37</v>
      </c>
      <c r="D1" s="79">
        <f>ROUNDUP(34318675.2186324,0)</f>
        <v>34318676</v>
      </c>
      <c r="E1" s="73" t="s">
        <v>106</v>
      </c>
      <c r="F1" s="79">
        <f>ROUNDUP(34074133,0)</f>
        <v>34074133</v>
      </c>
      <c r="G1" s="83" t="s">
        <v>52</v>
      </c>
      <c r="H1" s="81">
        <v>42140</v>
      </c>
      <c r="I1" s="83" t="s">
        <v>382</v>
      </c>
      <c r="J1" s="83"/>
      <c r="K1" s="73" t="s">
        <v>125</v>
      </c>
      <c r="L1" s="74">
        <v>42416</v>
      </c>
      <c r="M1" s="73" t="s">
        <v>128</v>
      </c>
      <c r="N1" s="73"/>
      <c r="O1" s="209" t="s">
        <v>123</v>
      </c>
      <c r="P1" s="210">
        <v>42736</v>
      </c>
      <c r="Q1" s="209" t="s">
        <v>127</v>
      </c>
      <c r="R1" s="209">
        <v>5600000</v>
      </c>
      <c r="S1" s="211"/>
    </row>
    <row r="2" spans="1:19" x14ac:dyDescent="0.25">
      <c r="A2" s="75" t="s">
        <v>34</v>
      </c>
      <c r="B2" s="76">
        <v>0.15</v>
      </c>
      <c r="G2" s="83" t="s">
        <v>127</v>
      </c>
      <c r="H2" s="83">
        <v>5600000</v>
      </c>
      <c r="I2" s="83">
        <f>DAYS360(A12,H1,TRUE)</f>
        <v>11</v>
      </c>
      <c r="J2" s="212">
        <f>DAYS360(H1,A13,TRUE)</f>
        <v>19</v>
      </c>
      <c r="K2" s="77" t="s">
        <v>126</v>
      </c>
      <c r="L2" s="79">
        <v>35353921.208888903</v>
      </c>
      <c r="M2" s="82">
        <v>0.2</v>
      </c>
      <c r="N2" s="82"/>
      <c r="O2" s="209" t="s">
        <v>106</v>
      </c>
      <c r="P2" s="213">
        <v>34620962.289916903</v>
      </c>
      <c r="Q2" s="209" t="s">
        <v>382</v>
      </c>
      <c r="R2" s="211">
        <f>DAYS360(A31,P1,TRUE)</f>
        <v>26</v>
      </c>
      <c r="S2" s="211"/>
    </row>
    <row r="3" spans="1:19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J3" s="59"/>
      <c r="K3" s="59"/>
      <c r="L3" s="73" t="s">
        <v>437</v>
      </c>
      <c r="M3" s="73">
        <f>DAYS360(A21,L1,TRUE)</f>
        <v>11</v>
      </c>
      <c r="N3" s="73">
        <f>DAYS360(L1,A22,TRUE)</f>
        <v>19</v>
      </c>
      <c r="O3" s="209"/>
      <c r="P3" s="209"/>
      <c r="Q3" s="211" t="s">
        <v>438</v>
      </c>
      <c r="R3" s="211">
        <f>DAYS360(P1,A32,TRUE)</f>
        <v>4</v>
      </c>
      <c r="S3" s="211"/>
    </row>
    <row r="4" spans="1:19" x14ac:dyDescent="0.25">
      <c r="A4" s="36">
        <v>41887</v>
      </c>
      <c r="B4" s="46">
        <f>DAYS360(B1,A4,TRUE)</f>
        <v>30</v>
      </c>
      <c r="C4" s="47">
        <f>$D$1</f>
        <v>34318676</v>
      </c>
      <c r="D4" s="48">
        <f t="shared" ref="D4:D39" si="0">C4-E4</f>
        <v>21943676</v>
      </c>
      <c r="E4" s="68">
        <f>ROUND(F4*$B$2*B4/360,2)</f>
        <v>12375000</v>
      </c>
      <c r="F4" s="47">
        <v>990000000</v>
      </c>
      <c r="G4" s="47">
        <f t="shared" ref="G4" si="1">F4-D4</f>
        <v>968056324</v>
      </c>
    </row>
    <row r="5" spans="1:19" x14ac:dyDescent="0.25">
      <c r="A5" s="36">
        <v>41917</v>
      </c>
      <c r="B5" s="46">
        <f>DAYS360(A4,A5,TRUE)</f>
        <v>30</v>
      </c>
      <c r="C5" s="47">
        <f>$D$1</f>
        <v>34318676</v>
      </c>
      <c r="D5" s="48">
        <f t="shared" si="0"/>
        <v>22217971.949999999</v>
      </c>
      <c r="E5" s="68">
        <f t="shared" ref="E5:E38" si="2">ROUND(F5*$B$2*B5/360,2)</f>
        <v>12100704.050000001</v>
      </c>
      <c r="F5" s="47">
        <f>G4</f>
        <v>968056324</v>
      </c>
      <c r="G5" s="47">
        <f>F5-D5</f>
        <v>945838352.04999995</v>
      </c>
    </row>
    <row r="6" spans="1:19" x14ac:dyDescent="0.25">
      <c r="A6" s="36">
        <v>41948</v>
      </c>
      <c r="B6" s="46">
        <f t="shared" ref="B6:B39" si="3">DAYS360(A5,A6,TRUE)</f>
        <v>30</v>
      </c>
      <c r="C6" s="47">
        <f t="shared" ref="C6:C40" si="4">$D$1</f>
        <v>34318676</v>
      </c>
      <c r="D6" s="48">
        <f t="shared" si="0"/>
        <v>22495696.600000001</v>
      </c>
      <c r="E6" s="68">
        <f t="shared" si="2"/>
        <v>11822979.4</v>
      </c>
      <c r="F6" s="47">
        <f t="shared" ref="F6:F39" si="5">G5</f>
        <v>945838352.04999995</v>
      </c>
      <c r="G6" s="47">
        <f t="shared" ref="G6:G39" si="6">F6-D6</f>
        <v>923342655.44999993</v>
      </c>
    </row>
    <row r="7" spans="1:19" x14ac:dyDescent="0.25">
      <c r="A7" s="36">
        <v>41978</v>
      </c>
      <c r="B7" s="46">
        <f t="shared" si="3"/>
        <v>30</v>
      </c>
      <c r="C7" s="47">
        <f t="shared" si="4"/>
        <v>34318676</v>
      </c>
      <c r="D7" s="48">
        <f t="shared" si="0"/>
        <v>22776892.810000002</v>
      </c>
      <c r="E7" s="68">
        <f t="shared" si="2"/>
        <v>11541783.189999999</v>
      </c>
      <c r="F7" s="47">
        <f t="shared" si="5"/>
        <v>923342655.44999993</v>
      </c>
      <c r="G7" s="47">
        <f t="shared" si="6"/>
        <v>900565762.63999987</v>
      </c>
    </row>
    <row r="8" spans="1:19" x14ac:dyDescent="0.25">
      <c r="A8" s="36">
        <v>42009</v>
      </c>
      <c r="B8" s="46">
        <f t="shared" si="3"/>
        <v>30</v>
      </c>
      <c r="C8" s="47">
        <f t="shared" si="4"/>
        <v>34318676</v>
      </c>
      <c r="D8" s="48">
        <f t="shared" si="0"/>
        <v>23061603.969999999</v>
      </c>
      <c r="E8" s="68">
        <f t="shared" si="2"/>
        <v>11257072.029999999</v>
      </c>
      <c r="F8" s="47">
        <f t="shared" si="5"/>
        <v>900565762.63999987</v>
      </c>
      <c r="G8" s="47">
        <f t="shared" si="6"/>
        <v>877504158.66999984</v>
      </c>
    </row>
    <row r="9" spans="1:19" x14ac:dyDescent="0.25">
      <c r="A9" s="36">
        <v>42040</v>
      </c>
      <c r="B9" s="46">
        <f t="shared" si="3"/>
        <v>30</v>
      </c>
      <c r="C9" s="47">
        <f t="shared" si="4"/>
        <v>34318676</v>
      </c>
      <c r="D9" s="48">
        <f t="shared" si="0"/>
        <v>23349874.02</v>
      </c>
      <c r="E9" s="68">
        <f t="shared" si="2"/>
        <v>10968801.98</v>
      </c>
      <c r="F9" s="47">
        <f t="shared" si="5"/>
        <v>877504158.66999984</v>
      </c>
      <c r="G9" s="47">
        <f t="shared" si="6"/>
        <v>854154284.64999986</v>
      </c>
    </row>
    <row r="10" spans="1:19" x14ac:dyDescent="0.25">
      <c r="A10" s="36">
        <v>42068</v>
      </c>
      <c r="B10" s="46">
        <f t="shared" si="3"/>
        <v>30</v>
      </c>
      <c r="C10" s="47">
        <f t="shared" si="4"/>
        <v>34318676</v>
      </c>
      <c r="D10" s="48">
        <f t="shared" si="0"/>
        <v>23641747.439999998</v>
      </c>
      <c r="E10" s="68">
        <f t="shared" si="2"/>
        <v>10676928.560000001</v>
      </c>
      <c r="F10" s="47">
        <f t="shared" si="5"/>
        <v>854154284.64999986</v>
      </c>
      <c r="G10" s="47">
        <f t="shared" si="6"/>
        <v>830512537.2099998</v>
      </c>
    </row>
    <row r="11" spans="1:19" x14ac:dyDescent="0.25">
      <c r="A11" s="36">
        <v>42099</v>
      </c>
      <c r="B11" s="46">
        <f t="shared" si="3"/>
        <v>30</v>
      </c>
      <c r="C11" s="47">
        <f t="shared" si="4"/>
        <v>34318676</v>
      </c>
      <c r="D11" s="48">
        <f t="shared" si="0"/>
        <v>23937269.280000001</v>
      </c>
      <c r="E11" s="68">
        <f t="shared" si="2"/>
        <v>10381406.720000001</v>
      </c>
      <c r="F11" s="47">
        <f t="shared" si="5"/>
        <v>830512537.2099998</v>
      </c>
      <c r="G11" s="47">
        <f t="shared" si="6"/>
        <v>806575267.92999983</v>
      </c>
    </row>
    <row r="12" spans="1:19" x14ac:dyDescent="0.25">
      <c r="A12" s="36">
        <v>42129</v>
      </c>
      <c r="B12" s="46">
        <f t="shared" si="3"/>
        <v>30</v>
      </c>
      <c r="C12" s="47">
        <f t="shared" si="4"/>
        <v>34318676</v>
      </c>
      <c r="D12" s="48">
        <f t="shared" si="0"/>
        <v>24236485.149999999</v>
      </c>
      <c r="E12" s="68">
        <f t="shared" si="2"/>
        <v>10082190.85</v>
      </c>
      <c r="F12" s="47">
        <f t="shared" si="5"/>
        <v>806575267.92999983</v>
      </c>
      <c r="G12" s="47">
        <f t="shared" si="6"/>
        <v>782338782.77999985</v>
      </c>
    </row>
    <row r="13" spans="1:19" x14ac:dyDescent="0.25">
      <c r="A13" s="36">
        <v>42160</v>
      </c>
      <c r="B13" s="46">
        <f t="shared" si="3"/>
        <v>30</v>
      </c>
      <c r="C13" s="47">
        <f t="shared" si="4"/>
        <v>34318676</v>
      </c>
      <c r="D13" s="48">
        <f t="shared" si="0"/>
        <v>24539441.219999999</v>
      </c>
      <c r="E13" s="68">
        <f t="shared" si="2"/>
        <v>9779234.7799999993</v>
      </c>
      <c r="F13" s="47">
        <f t="shared" si="5"/>
        <v>782338782.77999985</v>
      </c>
      <c r="G13" s="47">
        <f t="shared" si="6"/>
        <v>757799341.55999982</v>
      </c>
    </row>
    <row r="14" spans="1:19" x14ac:dyDescent="0.25">
      <c r="A14" s="36">
        <v>42190</v>
      </c>
      <c r="B14" s="46">
        <f t="shared" si="3"/>
        <v>30</v>
      </c>
      <c r="C14" s="47">
        <f t="shared" si="4"/>
        <v>34318676</v>
      </c>
      <c r="D14" s="48">
        <f t="shared" si="0"/>
        <v>24846184.23</v>
      </c>
      <c r="E14" s="68">
        <f t="shared" si="2"/>
        <v>9472491.7699999996</v>
      </c>
      <c r="F14" s="47">
        <f t="shared" si="5"/>
        <v>757799341.55999982</v>
      </c>
      <c r="G14" s="47">
        <f t="shared" si="6"/>
        <v>732953157.3299998</v>
      </c>
    </row>
    <row r="15" spans="1:19" x14ac:dyDescent="0.25">
      <c r="A15" s="36">
        <v>42221</v>
      </c>
      <c r="B15" s="46">
        <f t="shared" si="3"/>
        <v>30</v>
      </c>
      <c r="C15" s="47">
        <f t="shared" si="4"/>
        <v>34318676</v>
      </c>
      <c r="D15" s="48">
        <f t="shared" si="0"/>
        <v>25156761.530000001</v>
      </c>
      <c r="E15" s="68">
        <f t="shared" si="2"/>
        <v>9161914.4700000007</v>
      </c>
      <c r="F15" s="47">
        <f t="shared" si="5"/>
        <v>732953157.3299998</v>
      </c>
      <c r="G15" s="47">
        <f t="shared" si="6"/>
        <v>707796395.79999983</v>
      </c>
    </row>
    <row r="16" spans="1:19" x14ac:dyDescent="0.25">
      <c r="A16" s="36">
        <v>42252</v>
      </c>
      <c r="B16" s="46">
        <f t="shared" si="3"/>
        <v>30</v>
      </c>
      <c r="C16" s="47">
        <f t="shared" si="4"/>
        <v>34318676</v>
      </c>
      <c r="D16" s="48">
        <f t="shared" si="0"/>
        <v>25471221.050000001</v>
      </c>
      <c r="E16" s="68">
        <f t="shared" si="2"/>
        <v>8847454.9499999993</v>
      </c>
      <c r="F16" s="47">
        <f t="shared" si="5"/>
        <v>707796395.79999983</v>
      </c>
      <c r="G16" s="47">
        <f t="shared" si="6"/>
        <v>682325174.74999988</v>
      </c>
    </row>
    <row r="17" spans="1:7" x14ac:dyDescent="0.25">
      <c r="A17" s="36">
        <v>42282</v>
      </c>
      <c r="B17" s="46">
        <f t="shared" si="3"/>
        <v>30</v>
      </c>
      <c r="C17" s="47">
        <f t="shared" si="4"/>
        <v>34318676</v>
      </c>
      <c r="D17" s="48">
        <f t="shared" si="0"/>
        <v>25789611.32</v>
      </c>
      <c r="E17" s="68">
        <f t="shared" si="2"/>
        <v>8529064.6799999997</v>
      </c>
      <c r="F17" s="47">
        <f t="shared" si="5"/>
        <v>682325174.74999988</v>
      </c>
      <c r="G17" s="47">
        <f t="shared" si="6"/>
        <v>656535563.42999983</v>
      </c>
    </row>
    <row r="18" spans="1:7" x14ac:dyDescent="0.25">
      <c r="A18" s="36">
        <v>42313</v>
      </c>
      <c r="B18" s="46">
        <f t="shared" si="3"/>
        <v>30</v>
      </c>
      <c r="C18" s="47">
        <f t="shared" si="4"/>
        <v>34318676</v>
      </c>
      <c r="D18" s="48">
        <f t="shared" si="0"/>
        <v>26111981.460000001</v>
      </c>
      <c r="E18" s="68">
        <f t="shared" si="2"/>
        <v>8206694.54</v>
      </c>
      <c r="F18" s="47">
        <f t="shared" si="5"/>
        <v>656535563.42999983</v>
      </c>
      <c r="G18" s="47">
        <f t="shared" si="6"/>
        <v>630423581.96999979</v>
      </c>
    </row>
    <row r="19" spans="1:7" x14ac:dyDescent="0.25">
      <c r="A19" s="36">
        <v>42343</v>
      </c>
      <c r="B19" s="46">
        <f t="shared" si="3"/>
        <v>30</v>
      </c>
      <c r="C19" s="47">
        <f t="shared" si="4"/>
        <v>34318676</v>
      </c>
      <c r="D19" s="48">
        <f t="shared" si="0"/>
        <v>26438381.23</v>
      </c>
      <c r="E19" s="68">
        <f t="shared" si="2"/>
        <v>7880294.7699999996</v>
      </c>
      <c r="F19" s="47">
        <f t="shared" si="5"/>
        <v>630423581.96999979</v>
      </c>
      <c r="G19" s="47">
        <f t="shared" si="6"/>
        <v>603985200.73999977</v>
      </c>
    </row>
    <row r="20" spans="1:7" x14ac:dyDescent="0.25">
      <c r="A20" s="36">
        <v>42374</v>
      </c>
      <c r="B20" s="46">
        <f t="shared" si="3"/>
        <v>30</v>
      </c>
      <c r="C20" s="47">
        <f t="shared" si="4"/>
        <v>34318676</v>
      </c>
      <c r="D20" s="48">
        <f t="shared" si="0"/>
        <v>26768860.990000002</v>
      </c>
      <c r="E20" s="68">
        <f t="shared" si="2"/>
        <v>7549815.0099999998</v>
      </c>
      <c r="F20" s="47">
        <f t="shared" si="5"/>
        <v>603985200.73999977</v>
      </c>
      <c r="G20" s="47">
        <f t="shared" si="6"/>
        <v>577216339.74999976</v>
      </c>
    </row>
    <row r="21" spans="1:7" x14ac:dyDescent="0.25">
      <c r="A21" s="36">
        <v>42405</v>
      </c>
      <c r="B21" s="46">
        <f t="shared" si="3"/>
        <v>30</v>
      </c>
      <c r="C21" s="47">
        <f t="shared" si="4"/>
        <v>34318676</v>
      </c>
      <c r="D21" s="48">
        <f t="shared" si="0"/>
        <v>27103471.75</v>
      </c>
      <c r="E21" s="68">
        <f t="shared" si="2"/>
        <v>7215204.25</v>
      </c>
      <c r="F21" s="47">
        <f t="shared" si="5"/>
        <v>577216339.74999976</v>
      </c>
      <c r="G21" s="47">
        <f t="shared" si="6"/>
        <v>550112867.99999976</v>
      </c>
    </row>
    <row r="22" spans="1:7" x14ac:dyDescent="0.25">
      <c r="A22" s="36">
        <v>42434</v>
      </c>
      <c r="B22" s="46">
        <f t="shared" si="3"/>
        <v>30</v>
      </c>
      <c r="C22" s="47">
        <f t="shared" si="4"/>
        <v>34318676</v>
      </c>
      <c r="D22" s="48">
        <f t="shared" si="0"/>
        <v>27442265.149999999</v>
      </c>
      <c r="E22" s="68">
        <f t="shared" si="2"/>
        <v>6876410.8499999996</v>
      </c>
      <c r="F22" s="47">
        <f t="shared" si="5"/>
        <v>550112867.99999976</v>
      </c>
      <c r="G22" s="47">
        <f t="shared" si="6"/>
        <v>522670602.84999979</v>
      </c>
    </row>
    <row r="23" spans="1:7" x14ac:dyDescent="0.25">
      <c r="A23" s="36">
        <v>42465</v>
      </c>
      <c r="B23" s="46">
        <f t="shared" si="3"/>
        <v>30</v>
      </c>
      <c r="C23" s="47">
        <f t="shared" si="4"/>
        <v>34318676</v>
      </c>
      <c r="D23" s="48">
        <f t="shared" si="0"/>
        <v>27785293.460000001</v>
      </c>
      <c r="E23" s="68">
        <f t="shared" si="2"/>
        <v>6533382.54</v>
      </c>
      <c r="F23" s="47">
        <f t="shared" si="5"/>
        <v>522670602.84999979</v>
      </c>
      <c r="G23" s="47">
        <f t="shared" si="6"/>
        <v>494885309.38999981</v>
      </c>
    </row>
    <row r="24" spans="1:7" x14ac:dyDescent="0.25">
      <c r="A24" s="36">
        <v>42495</v>
      </c>
      <c r="B24" s="46">
        <f t="shared" si="3"/>
        <v>30</v>
      </c>
      <c r="C24" s="47">
        <f t="shared" si="4"/>
        <v>34318676</v>
      </c>
      <c r="D24" s="48">
        <f t="shared" si="0"/>
        <v>28132609.629999999</v>
      </c>
      <c r="E24" s="68">
        <f t="shared" si="2"/>
        <v>6186066.3700000001</v>
      </c>
      <c r="F24" s="47">
        <f t="shared" si="5"/>
        <v>494885309.38999981</v>
      </c>
      <c r="G24" s="47">
        <f t="shared" si="6"/>
        <v>466752699.75999981</v>
      </c>
    </row>
    <row r="25" spans="1:7" x14ac:dyDescent="0.25">
      <c r="A25" s="36">
        <v>42526</v>
      </c>
      <c r="B25" s="46">
        <f t="shared" si="3"/>
        <v>30</v>
      </c>
      <c r="C25" s="47">
        <f t="shared" si="4"/>
        <v>34318676</v>
      </c>
      <c r="D25" s="48">
        <f t="shared" si="0"/>
        <v>28484267.25</v>
      </c>
      <c r="E25" s="68">
        <f t="shared" si="2"/>
        <v>5834408.75</v>
      </c>
      <c r="F25" s="47">
        <f t="shared" si="5"/>
        <v>466752699.75999981</v>
      </c>
      <c r="G25" s="47">
        <f t="shared" si="6"/>
        <v>438268432.50999981</v>
      </c>
    </row>
    <row r="26" spans="1:7" x14ac:dyDescent="0.25">
      <c r="A26" s="36">
        <v>42556</v>
      </c>
      <c r="B26" s="46">
        <f t="shared" si="3"/>
        <v>30</v>
      </c>
      <c r="C26" s="47">
        <f t="shared" si="4"/>
        <v>34318676</v>
      </c>
      <c r="D26" s="48">
        <f t="shared" si="0"/>
        <v>28840320.59</v>
      </c>
      <c r="E26" s="68">
        <f t="shared" si="2"/>
        <v>5478355.4100000001</v>
      </c>
      <c r="F26" s="47">
        <f t="shared" si="5"/>
        <v>438268432.50999981</v>
      </c>
      <c r="G26" s="47">
        <f t="shared" si="6"/>
        <v>409428111.91999984</v>
      </c>
    </row>
    <row r="27" spans="1:7" x14ac:dyDescent="0.25">
      <c r="A27" s="36">
        <v>42587</v>
      </c>
      <c r="B27" s="46">
        <f t="shared" si="3"/>
        <v>30</v>
      </c>
      <c r="C27" s="47">
        <f t="shared" si="4"/>
        <v>34318676</v>
      </c>
      <c r="D27" s="48">
        <f t="shared" si="0"/>
        <v>29200824.600000001</v>
      </c>
      <c r="E27" s="68">
        <f t="shared" si="2"/>
        <v>5117851.4000000004</v>
      </c>
      <c r="F27" s="47">
        <f t="shared" si="5"/>
        <v>409428111.91999984</v>
      </c>
      <c r="G27" s="47">
        <f t="shared" si="6"/>
        <v>380227287.31999981</v>
      </c>
    </row>
    <row r="28" spans="1:7" x14ac:dyDescent="0.25">
      <c r="A28" s="36">
        <v>42618</v>
      </c>
      <c r="B28" s="46">
        <f t="shared" si="3"/>
        <v>30</v>
      </c>
      <c r="C28" s="47">
        <f t="shared" si="4"/>
        <v>34318676</v>
      </c>
      <c r="D28" s="48">
        <f t="shared" si="0"/>
        <v>29565834.91</v>
      </c>
      <c r="E28" s="68">
        <f t="shared" si="2"/>
        <v>4752841.09</v>
      </c>
      <c r="F28" s="47">
        <f t="shared" si="5"/>
        <v>380227287.31999981</v>
      </c>
      <c r="G28" s="47">
        <f t="shared" si="6"/>
        <v>350661452.40999979</v>
      </c>
    </row>
    <row r="29" spans="1:7" x14ac:dyDescent="0.25">
      <c r="A29" s="36">
        <v>42648</v>
      </c>
      <c r="B29" s="46">
        <f t="shared" si="3"/>
        <v>30</v>
      </c>
      <c r="C29" s="47">
        <f t="shared" si="4"/>
        <v>34318676</v>
      </c>
      <c r="D29" s="48">
        <f t="shared" si="0"/>
        <v>29935407.84</v>
      </c>
      <c r="E29" s="68">
        <f t="shared" si="2"/>
        <v>4383268.16</v>
      </c>
      <c r="F29" s="47">
        <f t="shared" si="5"/>
        <v>350661452.40999979</v>
      </c>
      <c r="G29" s="47">
        <f t="shared" si="6"/>
        <v>320726044.56999981</v>
      </c>
    </row>
    <row r="30" spans="1:7" x14ac:dyDescent="0.25">
      <c r="A30" s="36">
        <v>42679</v>
      </c>
      <c r="B30" s="46">
        <f t="shared" si="3"/>
        <v>30</v>
      </c>
      <c r="C30" s="47">
        <f t="shared" si="4"/>
        <v>34318676</v>
      </c>
      <c r="D30" s="48">
        <f t="shared" si="0"/>
        <v>30309600.440000001</v>
      </c>
      <c r="E30" s="68">
        <f t="shared" si="2"/>
        <v>4009075.56</v>
      </c>
      <c r="F30" s="47">
        <f t="shared" si="5"/>
        <v>320726044.56999981</v>
      </c>
      <c r="G30" s="47">
        <f t="shared" si="6"/>
        <v>290416444.12999982</v>
      </c>
    </row>
    <row r="31" spans="1:7" x14ac:dyDescent="0.25">
      <c r="A31" s="36">
        <v>42709</v>
      </c>
      <c r="B31" s="46">
        <f t="shared" si="3"/>
        <v>30</v>
      </c>
      <c r="C31" s="47">
        <f t="shared" si="4"/>
        <v>34318676</v>
      </c>
      <c r="D31" s="48">
        <f t="shared" si="0"/>
        <v>30688470.449999999</v>
      </c>
      <c r="E31" s="68">
        <f t="shared" si="2"/>
        <v>3630205.55</v>
      </c>
      <c r="F31" s="47">
        <f t="shared" si="5"/>
        <v>290416444.12999982</v>
      </c>
      <c r="G31" s="47">
        <f t="shared" si="6"/>
        <v>259727973.67999983</v>
      </c>
    </row>
    <row r="32" spans="1:7" x14ac:dyDescent="0.25">
      <c r="A32" s="36">
        <v>42740</v>
      </c>
      <c r="B32" s="46">
        <f t="shared" si="3"/>
        <v>30</v>
      </c>
      <c r="C32" s="47">
        <f t="shared" si="4"/>
        <v>34318676</v>
      </c>
      <c r="D32" s="48">
        <f t="shared" si="0"/>
        <v>31072076.329999998</v>
      </c>
      <c r="E32" s="68">
        <f t="shared" si="2"/>
        <v>3246599.67</v>
      </c>
      <c r="F32" s="47">
        <f t="shared" si="5"/>
        <v>259727973.67999983</v>
      </c>
      <c r="G32" s="47">
        <f t="shared" si="6"/>
        <v>228655897.34999985</v>
      </c>
    </row>
    <row r="33" spans="1:7" x14ac:dyDescent="0.25">
      <c r="A33" s="36">
        <v>42771</v>
      </c>
      <c r="B33" s="46">
        <f t="shared" si="3"/>
        <v>30</v>
      </c>
      <c r="C33" s="47">
        <f t="shared" si="4"/>
        <v>34318676</v>
      </c>
      <c r="D33" s="48">
        <f t="shared" si="0"/>
        <v>31460477.280000001</v>
      </c>
      <c r="E33" s="68">
        <f t="shared" si="2"/>
        <v>2858198.72</v>
      </c>
      <c r="F33" s="47">
        <f t="shared" si="5"/>
        <v>228655897.34999985</v>
      </c>
      <c r="G33" s="47">
        <f t="shared" si="6"/>
        <v>197195420.06999984</v>
      </c>
    </row>
    <row r="34" spans="1:7" x14ac:dyDescent="0.25">
      <c r="A34" s="36">
        <v>42799</v>
      </c>
      <c r="B34" s="46">
        <f t="shared" si="3"/>
        <v>30</v>
      </c>
      <c r="C34" s="47">
        <f t="shared" si="4"/>
        <v>34318676</v>
      </c>
      <c r="D34" s="48">
        <f t="shared" si="0"/>
        <v>31853733.25</v>
      </c>
      <c r="E34" s="68">
        <f t="shared" si="2"/>
        <v>2464942.75</v>
      </c>
      <c r="F34" s="47">
        <f t="shared" si="5"/>
        <v>197195420.06999984</v>
      </c>
      <c r="G34" s="47">
        <f t="shared" si="6"/>
        <v>165341686.81999984</v>
      </c>
    </row>
    <row r="35" spans="1:7" x14ac:dyDescent="0.25">
      <c r="A35" s="36">
        <v>42830</v>
      </c>
      <c r="B35" s="46">
        <f t="shared" si="3"/>
        <v>30</v>
      </c>
      <c r="C35" s="47">
        <f t="shared" si="4"/>
        <v>34318676</v>
      </c>
      <c r="D35" s="48">
        <f t="shared" si="0"/>
        <v>32251904.91</v>
      </c>
      <c r="E35" s="68">
        <f t="shared" si="2"/>
        <v>2066771.09</v>
      </c>
      <c r="F35" s="47">
        <f t="shared" si="5"/>
        <v>165341686.81999984</v>
      </c>
      <c r="G35" s="47">
        <f t="shared" si="6"/>
        <v>133089781.90999985</v>
      </c>
    </row>
    <row r="36" spans="1:7" x14ac:dyDescent="0.25">
      <c r="A36" s="36">
        <v>42860</v>
      </c>
      <c r="B36" s="46">
        <f t="shared" si="3"/>
        <v>30</v>
      </c>
      <c r="C36" s="47">
        <f t="shared" si="4"/>
        <v>34318676</v>
      </c>
      <c r="D36" s="48">
        <f t="shared" si="0"/>
        <v>32655053.73</v>
      </c>
      <c r="E36" s="68">
        <f t="shared" si="2"/>
        <v>1663622.27</v>
      </c>
      <c r="F36" s="47">
        <f t="shared" si="5"/>
        <v>133089781.90999985</v>
      </c>
      <c r="G36" s="47">
        <f t="shared" si="6"/>
        <v>100434728.17999984</v>
      </c>
    </row>
    <row r="37" spans="1:7" x14ac:dyDescent="0.25">
      <c r="A37" s="36">
        <v>42891</v>
      </c>
      <c r="B37" s="46">
        <f t="shared" si="3"/>
        <v>30</v>
      </c>
      <c r="C37" s="47">
        <f t="shared" si="4"/>
        <v>34318676</v>
      </c>
      <c r="D37" s="48">
        <f t="shared" si="0"/>
        <v>33063241.899999999</v>
      </c>
      <c r="E37" s="68">
        <f t="shared" si="2"/>
        <v>1255434.1000000001</v>
      </c>
      <c r="F37" s="47">
        <f t="shared" si="5"/>
        <v>100434728.17999984</v>
      </c>
      <c r="G37" s="47">
        <f t="shared" si="6"/>
        <v>67371486.279999852</v>
      </c>
    </row>
    <row r="38" spans="1:7" x14ac:dyDescent="0.25">
      <c r="A38" s="36">
        <v>42921</v>
      </c>
      <c r="B38" s="46">
        <f t="shared" si="3"/>
        <v>30</v>
      </c>
      <c r="C38" s="47">
        <f t="shared" si="4"/>
        <v>34318676</v>
      </c>
      <c r="D38" s="48">
        <f t="shared" si="0"/>
        <v>33476532.420000002</v>
      </c>
      <c r="E38" s="68">
        <f t="shared" si="2"/>
        <v>842143.58</v>
      </c>
      <c r="F38" s="47">
        <f t="shared" si="5"/>
        <v>67371486.279999852</v>
      </c>
      <c r="G38" s="47">
        <f t="shared" si="6"/>
        <v>33894953.85999985</v>
      </c>
    </row>
    <row r="39" spans="1:7" x14ac:dyDescent="0.25">
      <c r="A39" s="36">
        <v>42952</v>
      </c>
      <c r="B39" s="46">
        <f t="shared" si="3"/>
        <v>30</v>
      </c>
      <c r="C39" s="47">
        <f t="shared" si="4"/>
        <v>34318676</v>
      </c>
      <c r="D39" s="48">
        <f t="shared" si="0"/>
        <v>33894953.85999985</v>
      </c>
      <c r="E39" s="68">
        <v>423722.1400001478</v>
      </c>
      <c r="F39" s="47">
        <f t="shared" si="5"/>
        <v>33894953.85999985</v>
      </c>
      <c r="G39" s="47">
        <f t="shared" si="6"/>
        <v>0</v>
      </c>
    </row>
    <row r="40" spans="1:7" x14ac:dyDescent="0.25">
      <c r="A40" s="214">
        <v>42129</v>
      </c>
      <c r="B40" s="215">
        <f>DAYS360(A11,A40,TRUE)</f>
        <v>30</v>
      </c>
      <c r="C40" s="216">
        <f t="shared" si="4"/>
        <v>34318676</v>
      </c>
      <c r="D40" s="217">
        <f>C12-E12</f>
        <v>24236485.149999999</v>
      </c>
      <c r="E40" s="216">
        <f>E12</f>
        <v>10082190.85</v>
      </c>
      <c r="F40" s="216">
        <f>F12</f>
        <v>806575267.92999983</v>
      </c>
      <c r="G40" s="216">
        <f>G12</f>
        <v>782338782.77999985</v>
      </c>
    </row>
    <row r="41" spans="1:7" x14ac:dyDescent="0.25">
      <c r="A41" s="36">
        <v>42160</v>
      </c>
      <c r="B41" s="168">
        <f>DAYS360(A40,A41,TRUE)</f>
        <v>30</v>
      </c>
      <c r="C41" s="172">
        <f>$F$1</f>
        <v>34074133</v>
      </c>
      <c r="D41" s="173">
        <f t="shared" ref="D41:D67" si="7">C41-E41</f>
        <v>24339231.550000001</v>
      </c>
      <c r="E41" s="172">
        <f>ROUND((G40*$B$2*I2/360)+(F41*$B$2*J2/360),2)</f>
        <v>9734901.4499999993</v>
      </c>
      <c r="F41" s="172">
        <f>G40-H2</f>
        <v>776738782.77999985</v>
      </c>
      <c r="G41" s="172">
        <f t="shared" ref="G41:G67" si="8">F41-D41</f>
        <v>752399551.2299999</v>
      </c>
    </row>
    <row r="42" spans="1:7" x14ac:dyDescent="0.25">
      <c r="A42" s="29">
        <v>42190</v>
      </c>
      <c r="B42" s="168">
        <f t="shared" ref="B42:B67" si="9">DAYS360(A41,A42,TRUE)</f>
        <v>30</v>
      </c>
      <c r="C42" s="172">
        <f t="shared" ref="C42:C67" si="10">$F$1</f>
        <v>34074133</v>
      </c>
      <c r="D42" s="173">
        <f t="shared" si="7"/>
        <v>24669138.609999999</v>
      </c>
      <c r="E42" s="172">
        <f>ROUND(F42*$B$2*B42/360,2)</f>
        <v>9404994.3900000006</v>
      </c>
      <c r="F42" s="47">
        <f t="shared" ref="F42:F67" si="11">G41</f>
        <v>752399551.2299999</v>
      </c>
      <c r="G42" s="172">
        <f t="shared" si="8"/>
        <v>727730412.61999989</v>
      </c>
    </row>
    <row r="43" spans="1:7" x14ac:dyDescent="0.25">
      <c r="A43" s="36">
        <v>42221</v>
      </c>
      <c r="B43" s="168">
        <f t="shared" si="9"/>
        <v>30</v>
      </c>
      <c r="C43" s="172">
        <f t="shared" si="10"/>
        <v>34074133</v>
      </c>
      <c r="D43" s="173">
        <f t="shared" si="7"/>
        <v>24977502.84</v>
      </c>
      <c r="E43" s="172">
        <f t="shared" ref="E43:E67" si="12">ROUND(F43*$B$2*B43/360,2)</f>
        <v>9096630.1600000001</v>
      </c>
      <c r="F43" s="47">
        <f t="shared" si="11"/>
        <v>727730412.61999989</v>
      </c>
      <c r="G43" s="172">
        <f t="shared" si="8"/>
        <v>702752909.77999985</v>
      </c>
    </row>
    <row r="44" spans="1:7" x14ac:dyDescent="0.25">
      <c r="A44" s="36">
        <v>42252</v>
      </c>
      <c r="B44" s="168">
        <f t="shared" si="9"/>
        <v>30</v>
      </c>
      <c r="C44" s="172">
        <f t="shared" si="10"/>
        <v>34074133</v>
      </c>
      <c r="D44" s="173">
        <f t="shared" si="7"/>
        <v>25289721.630000003</v>
      </c>
      <c r="E44" s="172">
        <f t="shared" si="12"/>
        <v>8784411.3699999992</v>
      </c>
      <c r="F44" s="47">
        <f t="shared" si="11"/>
        <v>702752909.77999985</v>
      </c>
      <c r="G44" s="172">
        <f t="shared" si="8"/>
        <v>677463188.14999986</v>
      </c>
    </row>
    <row r="45" spans="1:7" x14ac:dyDescent="0.25">
      <c r="A45" s="36">
        <v>42282</v>
      </c>
      <c r="B45" s="168">
        <f t="shared" si="9"/>
        <v>30</v>
      </c>
      <c r="C45" s="172">
        <f t="shared" si="10"/>
        <v>34074133</v>
      </c>
      <c r="D45" s="173">
        <f t="shared" si="7"/>
        <v>25605843.149999999</v>
      </c>
      <c r="E45" s="172">
        <f t="shared" si="12"/>
        <v>8468289.8499999996</v>
      </c>
      <c r="F45" s="47">
        <f t="shared" si="11"/>
        <v>677463188.14999986</v>
      </c>
      <c r="G45" s="172">
        <f t="shared" si="8"/>
        <v>651857344.99999988</v>
      </c>
    </row>
    <row r="46" spans="1:7" x14ac:dyDescent="0.25">
      <c r="A46" s="36">
        <v>42313</v>
      </c>
      <c r="B46" s="168">
        <f t="shared" si="9"/>
        <v>30</v>
      </c>
      <c r="C46" s="172">
        <f t="shared" si="10"/>
        <v>34074133</v>
      </c>
      <c r="D46" s="173">
        <f t="shared" si="7"/>
        <v>25925916.190000001</v>
      </c>
      <c r="E46" s="172">
        <f t="shared" si="12"/>
        <v>8148216.8099999996</v>
      </c>
      <c r="F46" s="47">
        <f t="shared" si="11"/>
        <v>651857344.99999988</v>
      </c>
      <c r="G46" s="172">
        <f t="shared" si="8"/>
        <v>625931428.80999982</v>
      </c>
    </row>
    <row r="47" spans="1:7" x14ac:dyDescent="0.25">
      <c r="A47" s="36">
        <v>42343</v>
      </c>
      <c r="B47" s="168">
        <f t="shared" si="9"/>
        <v>30</v>
      </c>
      <c r="C47" s="172">
        <f t="shared" si="10"/>
        <v>34074133</v>
      </c>
      <c r="D47" s="173">
        <f t="shared" si="7"/>
        <v>26249990.140000001</v>
      </c>
      <c r="E47" s="172">
        <f t="shared" si="12"/>
        <v>7824142.8600000003</v>
      </c>
      <c r="F47" s="47">
        <f t="shared" si="11"/>
        <v>625931428.80999982</v>
      </c>
      <c r="G47" s="172">
        <f t="shared" si="8"/>
        <v>599681438.66999984</v>
      </c>
    </row>
    <row r="48" spans="1:7" x14ac:dyDescent="0.25">
      <c r="A48" s="36">
        <v>42374</v>
      </c>
      <c r="B48" s="168">
        <f t="shared" si="9"/>
        <v>30</v>
      </c>
      <c r="C48" s="172">
        <f t="shared" si="10"/>
        <v>34074133</v>
      </c>
      <c r="D48" s="173">
        <f t="shared" si="7"/>
        <v>26578115.02</v>
      </c>
      <c r="E48" s="172">
        <f t="shared" si="12"/>
        <v>7496017.9800000004</v>
      </c>
      <c r="F48" s="47">
        <f t="shared" si="11"/>
        <v>599681438.66999984</v>
      </c>
      <c r="G48" s="172">
        <f t="shared" si="8"/>
        <v>573103323.64999986</v>
      </c>
    </row>
    <row r="49" spans="1:7" x14ac:dyDescent="0.25">
      <c r="A49" s="36">
        <v>42405</v>
      </c>
      <c r="B49" s="168">
        <f t="shared" si="9"/>
        <v>30</v>
      </c>
      <c r="C49" s="172">
        <f t="shared" si="10"/>
        <v>34074133</v>
      </c>
      <c r="D49" s="173">
        <f t="shared" si="7"/>
        <v>26910341.449999999</v>
      </c>
      <c r="E49" s="172">
        <f t="shared" si="12"/>
        <v>7163791.5499999998</v>
      </c>
      <c r="F49" s="47">
        <f t="shared" si="11"/>
        <v>573103323.64999986</v>
      </c>
      <c r="G49" s="172">
        <f t="shared" si="8"/>
        <v>546192982.19999981</v>
      </c>
    </row>
    <row r="50" spans="1:7" x14ac:dyDescent="0.25">
      <c r="A50" s="179">
        <v>42434</v>
      </c>
      <c r="B50" s="168">
        <f t="shared" si="9"/>
        <v>30</v>
      </c>
      <c r="C50" s="172">
        <f t="shared" si="10"/>
        <v>34074133</v>
      </c>
      <c r="D50" s="173">
        <f t="shared" si="7"/>
        <v>27246720.719999999</v>
      </c>
      <c r="E50" s="172">
        <f t="shared" si="12"/>
        <v>6827412.2800000003</v>
      </c>
      <c r="F50" s="47">
        <f t="shared" si="11"/>
        <v>546192982.19999981</v>
      </c>
      <c r="G50" s="172">
        <f t="shared" si="8"/>
        <v>518946261.47999978</v>
      </c>
    </row>
    <row r="51" spans="1:7" x14ac:dyDescent="0.25">
      <c r="A51" s="36">
        <v>42465</v>
      </c>
      <c r="B51" s="168">
        <f t="shared" si="9"/>
        <v>30</v>
      </c>
      <c r="C51" s="172">
        <f t="shared" si="10"/>
        <v>34074133</v>
      </c>
      <c r="D51" s="173">
        <f t="shared" si="7"/>
        <v>27587304.73</v>
      </c>
      <c r="E51" s="172">
        <f t="shared" si="12"/>
        <v>6486828.2699999996</v>
      </c>
      <c r="F51" s="47">
        <f t="shared" si="11"/>
        <v>518946261.47999978</v>
      </c>
      <c r="G51" s="172">
        <f t="shared" si="8"/>
        <v>491358956.74999976</v>
      </c>
    </row>
    <row r="52" spans="1:7" x14ac:dyDescent="0.25">
      <c r="A52" s="36">
        <v>42495</v>
      </c>
      <c r="B52" s="168">
        <f t="shared" si="9"/>
        <v>30</v>
      </c>
      <c r="C52" s="172">
        <f t="shared" si="10"/>
        <v>34074133</v>
      </c>
      <c r="D52" s="173">
        <f t="shared" si="7"/>
        <v>27932146.039999999</v>
      </c>
      <c r="E52" s="172">
        <f t="shared" si="12"/>
        <v>6141986.96</v>
      </c>
      <c r="F52" s="47">
        <f t="shared" si="11"/>
        <v>491358956.74999976</v>
      </c>
      <c r="G52" s="172">
        <f t="shared" si="8"/>
        <v>463426810.70999974</v>
      </c>
    </row>
    <row r="53" spans="1:7" x14ac:dyDescent="0.25">
      <c r="A53" s="36">
        <v>42526</v>
      </c>
      <c r="B53" s="168">
        <f t="shared" si="9"/>
        <v>30</v>
      </c>
      <c r="C53" s="172">
        <f t="shared" si="10"/>
        <v>34074133</v>
      </c>
      <c r="D53" s="173">
        <f t="shared" si="7"/>
        <v>28281297.870000001</v>
      </c>
      <c r="E53" s="172">
        <f t="shared" si="12"/>
        <v>5792835.1299999999</v>
      </c>
      <c r="F53" s="47">
        <f t="shared" si="11"/>
        <v>463426810.70999974</v>
      </c>
      <c r="G53" s="172">
        <f t="shared" si="8"/>
        <v>435145512.83999974</v>
      </c>
    </row>
    <row r="54" spans="1:7" x14ac:dyDescent="0.25">
      <c r="A54" s="36">
        <v>42556</v>
      </c>
      <c r="B54" s="168">
        <f t="shared" si="9"/>
        <v>30</v>
      </c>
      <c r="C54" s="172">
        <f t="shared" si="10"/>
        <v>34074133</v>
      </c>
      <c r="D54" s="173">
        <f t="shared" si="7"/>
        <v>28634814.09</v>
      </c>
      <c r="E54" s="172">
        <f t="shared" si="12"/>
        <v>5439318.9100000001</v>
      </c>
      <c r="F54" s="47">
        <f t="shared" si="11"/>
        <v>435145512.83999974</v>
      </c>
      <c r="G54" s="172">
        <f t="shared" si="8"/>
        <v>406510698.74999976</v>
      </c>
    </row>
    <row r="55" spans="1:7" x14ac:dyDescent="0.25">
      <c r="A55" s="36">
        <v>42587</v>
      </c>
      <c r="B55" s="168">
        <f t="shared" si="9"/>
        <v>30</v>
      </c>
      <c r="C55" s="172">
        <f t="shared" si="10"/>
        <v>34074133</v>
      </c>
      <c r="D55" s="173">
        <f t="shared" si="7"/>
        <v>28992749.27</v>
      </c>
      <c r="E55" s="172">
        <f t="shared" si="12"/>
        <v>5081383.7300000004</v>
      </c>
      <c r="F55" s="47">
        <f t="shared" si="11"/>
        <v>406510698.74999976</v>
      </c>
      <c r="G55" s="172">
        <f t="shared" si="8"/>
        <v>377517949.47999978</v>
      </c>
    </row>
    <row r="56" spans="1:7" x14ac:dyDescent="0.25">
      <c r="A56" s="36">
        <v>42618</v>
      </c>
      <c r="B56" s="168">
        <f t="shared" si="9"/>
        <v>30</v>
      </c>
      <c r="C56" s="172">
        <f t="shared" si="10"/>
        <v>34074133</v>
      </c>
      <c r="D56" s="173">
        <f t="shared" si="7"/>
        <v>29355158.629999999</v>
      </c>
      <c r="E56" s="172">
        <f t="shared" si="12"/>
        <v>4718974.37</v>
      </c>
      <c r="F56" s="47">
        <f t="shared" si="11"/>
        <v>377517949.47999978</v>
      </c>
      <c r="G56" s="172">
        <f t="shared" si="8"/>
        <v>348162790.84999979</v>
      </c>
    </row>
    <row r="57" spans="1:7" x14ac:dyDescent="0.25">
      <c r="A57" s="36">
        <v>42648</v>
      </c>
      <c r="B57" s="168">
        <f t="shared" si="9"/>
        <v>30</v>
      </c>
      <c r="C57" s="172">
        <f t="shared" si="10"/>
        <v>34074133</v>
      </c>
      <c r="D57" s="173">
        <f t="shared" si="7"/>
        <v>29722098.109999999</v>
      </c>
      <c r="E57" s="172">
        <f t="shared" si="12"/>
        <v>4352034.8899999997</v>
      </c>
      <c r="F57" s="47">
        <f t="shared" si="11"/>
        <v>348162790.84999979</v>
      </c>
      <c r="G57" s="172">
        <f t="shared" si="8"/>
        <v>318440692.73999977</v>
      </c>
    </row>
    <row r="58" spans="1:7" x14ac:dyDescent="0.25">
      <c r="A58" s="36">
        <v>42679</v>
      </c>
      <c r="B58" s="168">
        <f t="shared" si="9"/>
        <v>30</v>
      </c>
      <c r="C58" s="172">
        <f t="shared" si="10"/>
        <v>34074133</v>
      </c>
      <c r="D58" s="173">
        <f t="shared" si="7"/>
        <v>30093624.34</v>
      </c>
      <c r="E58" s="172">
        <f t="shared" si="12"/>
        <v>3980508.66</v>
      </c>
      <c r="F58" s="47">
        <f t="shared" si="11"/>
        <v>318440692.73999977</v>
      </c>
      <c r="G58" s="172">
        <f t="shared" si="8"/>
        <v>288347068.3999998</v>
      </c>
    </row>
    <row r="59" spans="1:7" x14ac:dyDescent="0.25">
      <c r="A59" s="36">
        <v>42709</v>
      </c>
      <c r="B59" s="168">
        <f t="shared" si="9"/>
        <v>30</v>
      </c>
      <c r="C59" s="172">
        <f t="shared" si="10"/>
        <v>34074133</v>
      </c>
      <c r="D59" s="173">
        <f t="shared" si="7"/>
        <v>30469794.640000001</v>
      </c>
      <c r="E59" s="172">
        <f t="shared" si="12"/>
        <v>3604338.36</v>
      </c>
      <c r="F59" s="47">
        <f t="shared" si="11"/>
        <v>288347068.3999998</v>
      </c>
      <c r="G59" s="172">
        <f t="shared" si="8"/>
        <v>257877273.75999981</v>
      </c>
    </row>
    <row r="60" spans="1:7" x14ac:dyDescent="0.25">
      <c r="A60" s="179">
        <v>42740</v>
      </c>
      <c r="B60" s="168">
        <f t="shared" si="9"/>
        <v>30</v>
      </c>
      <c r="C60" s="172">
        <f t="shared" si="10"/>
        <v>34074133</v>
      </c>
      <c r="D60" s="173">
        <f t="shared" si="7"/>
        <v>30850667.079999998</v>
      </c>
      <c r="E60" s="172">
        <f t="shared" si="12"/>
        <v>3223465.92</v>
      </c>
      <c r="F60" s="47">
        <f t="shared" si="11"/>
        <v>257877273.75999981</v>
      </c>
      <c r="G60" s="172">
        <f t="shared" si="8"/>
        <v>227026606.67999983</v>
      </c>
    </row>
    <row r="61" spans="1:7" x14ac:dyDescent="0.25">
      <c r="A61" s="36">
        <v>42771</v>
      </c>
      <c r="B61" s="168">
        <f t="shared" si="9"/>
        <v>30</v>
      </c>
      <c r="C61" s="172">
        <f t="shared" si="10"/>
        <v>34074133</v>
      </c>
      <c r="D61" s="173">
        <f t="shared" si="7"/>
        <v>31236300.420000002</v>
      </c>
      <c r="E61" s="172">
        <f t="shared" si="12"/>
        <v>2837832.58</v>
      </c>
      <c r="F61" s="47">
        <f t="shared" si="11"/>
        <v>227026606.67999983</v>
      </c>
      <c r="G61" s="172">
        <f t="shared" si="8"/>
        <v>195790306.25999981</v>
      </c>
    </row>
    <row r="62" spans="1:7" x14ac:dyDescent="0.25">
      <c r="A62" s="29">
        <v>42799</v>
      </c>
      <c r="B62" s="168">
        <f t="shared" si="9"/>
        <v>30</v>
      </c>
      <c r="C62" s="172">
        <f t="shared" si="10"/>
        <v>34074133</v>
      </c>
      <c r="D62" s="173">
        <f t="shared" si="7"/>
        <v>31626754.170000002</v>
      </c>
      <c r="E62" s="172">
        <f t="shared" si="12"/>
        <v>2447378.83</v>
      </c>
      <c r="F62" s="47">
        <f t="shared" si="11"/>
        <v>195790306.25999981</v>
      </c>
      <c r="G62" s="172">
        <f t="shared" si="8"/>
        <v>164163552.08999979</v>
      </c>
    </row>
    <row r="63" spans="1:7" x14ac:dyDescent="0.25">
      <c r="A63" s="36">
        <v>42830</v>
      </c>
      <c r="B63" s="168">
        <f t="shared" si="9"/>
        <v>30</v>
      </c>
      <c r="C63" s="172">
        <f t="shared" si="10"/>
        <v>34074133</v>
      </c>
      <c r="D63" s="173">
        <f t="shared" si="7"/>
        <v>32022088.600000001</v>
      </c>
      <c r="E63" s="172">
        <f t="shared" si="12"/>
        <v>2052044.4</v>
      </c>
      <c r="F63" s="47">
        <f t="shared" si="11"/>
        <v>164163552.08999979</v>
      </c>
      <c r="G63" s="172">
        <f t="shared" si="8"/>
        <v>132141463.4899998</v>
      </c>
    </row>
    <row r="64" spans="1:7" x14ac:dyDescent="0.25">
      <c r="A64" s="36">
        <v>42860</v>
      </c>
      <c r="B64" s="168">
        <f t="shared" si="9"/>
        <v>30</v>
      </c>
      <c r="C64" s="172">
        <f t="shared" si="10"/>
        <v>34074133</v>
      </c>
      <c r="D64" s="173">
        <f t="shared" si="7"/>
        <v>32422364.710000001</v>
      </c>
      <c r="E64" s="172">
        <f t="shared" si="12"/>
        <v>1651768.29</v>
      </c>
      <c r="F64" s="47">
        <f t="shared" si="11"/>
        <v>132141463.4899998</v>
      </c>
      <c r="G64" s="172">
        <f t="shared" si="8"/>
        <v>99719098.779999793</v>
      </c>
    </row>
    <row r="65" spans="1:7" x14ac:dyDescent="0.25">
      <c r="A65" s="36">
        <v>42891</v>
      </c>
      <c r="B65" s="168">
        <f t="shared" si="9"/>
        <v>30</v>
      </c>
      <c r="C65" s="172">
        <f t="shared" si="10"/>
        <v>34074133</v>
      </c>
      <c r="D65" s="173">
        <f t="shared" si="7"/>
        <v>32827644.27</v>
      </c>
      <c r="E65" s="172">
        <f t="shared" si="12"/>
        <v>1246488.73</v>
      </c>
      <c r="F65" s="47">
        <f t="shared" si="11"/>
        <v>99719098.779999793</v>
      </c>
      <c r="G65" s="172">
        <f t="shared" si="8"/>
        <v>66891454.509999797</v>
      </c>
    </row>
    <row r="66" spans="1:7" x14ac:dyDescent="0.25">
      <c r="A66" s="36">
        <v>42921</v>
      </c>
      <c r="B66" s="168">
        <f t="shared" si="9"/>
        <v>30</v>
      </c>
      <c r="C66" s="172">
        <f t="shared" si="10"/>
        <v>34074133</v>
      </c>
      <c r="D66" s="173">
        <f t="shared" si="7"/>
        <v>33237989.82</v>
      </c>
      <c r="E66" s="172">
        <f t="shared" si="12"/>
        <v>836143.18</v>
      </c>
      <c r="F66" s="47">
        <f t="shared" si="11"/>
        <v>66891454.509999797</v>
      </c>
      <c r="G66" s="172">
        <f t="shared" si="8"/>
        <v>33653464.689999796</v>
      </c>
    </row>
    <row r="67" spans="1:7" x14ac:dyDescent="0.25">
      <c r="A67" s="36">
        <v>42952</v>
      </c>
      <c r="B67" s="168">
        <f t="shared" si="9"/>
        <v>30</v>
      </c>
      <c r="C67" s="172">
        <f t="shared" si="10"/>
        <v>34074133</v>
      </c>
      <c r="D67" s="173">
        <f t="shared" si="7"/>
        <v>33653464.689999998</v>
      </c>
      <c r="E67" s="172">
        <f t="shared" si="12"/>
        <v>420668.31</v>
      </c>
      <c r="F67" s="47">
        <f t="shared" si="11"/>
        <v>33653464.689999796</v>
      </c>
      <c r="G67" s="172">
        <f t="shared" si="8"/>
        <v>-2.0116567611694336E-7</v>
      </c>
    </row>
  </sheetData>
  <pageMargins left="0.7" right="0.7" top="0.75" bottom="0.75" header="0.3" footer="0.3"/>
  <pageSetup orientation="portrait" r:id="rId1"/>
</worksheet>
</file>

<file path=xl/worksheets/sheet1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7A8EF8-B8D1-404F-A591-2C7451BC3CE7}">
  <dimension ref="A1:U4"/>
  <sheetViews>
    <sheetView workbookViewId="0">
      <selection activeCell="A2" sqref="A2:A4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7" customWidth="1"/>
    <col min="21" max="21" width="116.28515625" bestFit="1" customWidth="1"/>
  </cols>
  <sheetData>
    <row r="1" spans="1:21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32</v>
      </c>
    </row>
    <row r="2" spans="1:21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0</v>
      </c>
      <c r="J2" s="8" t="s">
        <v>42</v>
      </c>
      <c r="K2" s="8" t="s">
        <v>25</v>
      </c>
      <c r="L2" s="8" t="s">
        <v>326</v>
      </c>
      <c r="M2" s="8" t="s">
        <v>27</v>
      </c>
      <c r="N2" s="7" t="s">
        <v>29</v>
      </c>
      <c r="O2" s="7" t="s">
        <v>439</v>
      </c>
      <c r="P2" s="7" t="s">
        <v>45</v>
      </c>
      <c r="Q2" s="7" t="s">
        <v>46</v>
      </c>
      <c r="R2" s="7" t="s">
        <v>205</v>
      </c>
      <c r="S2" s="7" t="s">
        <v>45</v>
      </c>
      <c r="T2" s="7" t="s">
        <v>46</v>
      </c>
      <c r="U2" s="165" t="s">
        <v>440</v>
      </c>
    </row>
    <row r="3" spans="1:21" x14ac:dyDescent="0.25">
      <c r="A3" s="12" t="s">
        <v>0</v>
      </c>
      <c r="B3" s="7" t="s">
        <v>9</v>
      </c>
      <c r="C3" s="7" t="s">
        <v>76</v>
      </c>
      <c r="D3" s="8" t="s">
        <v>77</v>
      </c>
      <c r="E3" s="8" t="s">
        <v>23</v>
      </c>
      <c r="F3" s="8" t="s">
        <v>41</v>
      </c>
      <c r="G3" s="8" t="s">
        <v>24</v>
      </c>
      <c r="H3" s="8" t="s">
        <v>325</v>
      </c>
      <c r="I3" s="8" t="s">
        <v>0</v>
      </c>
      <c r="J3" s="8" t="s">
        <v>42</v>
      </c>
      <c r="K3" s="8" t="s">
        <v>25</v>
      </c>
      <c r="L3" s="8" t="s">
        <v>326</v>
      </c>
      <c r="M3" s="8" t="s">
        <v>27</v>
      </c>
      <c r="N3" s="7" t="s">
        <v>29</v>
      </c>
      <c r="O3" s="7" t="s">
        <v>441</v>
      </c>
      <c r="P3" s="7" t="s">
        <v>21</v>
      </c>
      <c r="Q3" s="7" t="s">
        <v>79</v>
      </c>
      <c r="R3" s="7" t="s">
        <v>206</v>
      </c>
      <c r="S3" s="7" t="s">
        <v>21</v>
      </c>
      <c r="T3" s="7" t="s">
        <v>24</v>
      </c>
      <c r="U3" s="165" t="s">
        <v>442</v>
      </c>
    </row>
    <row r="4" spans="1:21" x14ac:dyDescent="0.25">
      <c r="A4" s="12" t="s">
        <v>0</v>
      </c>
      <c r="B4" s="7" t="s">
        <v>9</v>
      </c>
      <c r="C4" s="7" t="s">
        <v>76</v>
      </c>
      <c r="D4" s="8" t="s">
        <v>77</v>
      </c>
      <c r="E4" s="8" t="s">
        <v>23</v>
      </c>
      <c r="F4" s="8" t="s">
        <v>41</v>
      </c>
      <c r="G4" s="8" t="s">
        <v>24</v>
      </c>
      <c r="H4" s="8" t="s">
        <v>325</v>
      </c>
      <c r="I4" s="8" t="s">
        <v>0</v>
      </c>
      <c r="J4" s="8" t="s">
        <v>42</v>
      </c>
      <c r="K4" s="8" t="s">
        <v>25</v>
      </c>
      <c r="L4" s="8" t="s">
        <v>326</v>
      </c>
      <c r="M4" s="8" t="s">
        <v>27</v>
      </c>
      <c r="N4" s="7" t="s">
        <v>29</v>
      </c>
      <c r="O4" s="7" t="s">
        <v>443</v>
      </c>
      <c r="P4" s="7" t="s">
        <v>104</v>
      </c>
      <c r="Q4" s="7" t="s">
        <v>13</v>
      </c>
      <c r="R4" s="7" t="s">
        <v>206</v>
      </c>
      <c r="S4" s="7" t="s">
        <v>104</v>
      </c>
      <c r="T4" s="7" t="s">
        <v>444</v>
      </c>
      <c r="U4" s="165" t="s">
        <v>445</v>
      </c>
    </row>
  </sheetData>
  <pageMargins left="0.7" right="0.7" top="0.75" bottom="0.75" header="0.3" footer="0.3"/>
</worksheet>
</file>

<file path=xl/worksheets/sheet1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7EF7B6-4678-4E5B-970C-88D65D5ED7C6}">
  <dimension ref="A1:L88"/>
  <sheetViews>
    <sheetView zoomScale="86" zoomScaleNormal="80" workbookViewId="0">
      <pane ySplit="3" topLeftCell="A35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3.7109375" bestFit="1" customWidth="1"/>
    <col min="10" max="10" width="17" customWidth="1"/>
    <col min="11" max="11" width="18.28515625" customWidth="1"/>
    <col min="12" max="12" width="15" customWidth="1"/>
  </cols>
  <sheetData>
    <row r="1" spans="1:12" x14ac:dyDescent="0.25">
      <c r="A1" s="17" t="s">
        <v>33</v>
      </c>
      <c r="B1" s="78">
        <v>41855</v>
      </c>
      <c r="C1" s="17" t="s">
        <v>37</v>
      </c>
      <c r="D1" s="79">
        <f>ROUNDUP(23780281.4126192,0)</f>
        <v>23780282</v>
      </c>
      <c r="E1" s="83" t="s">
        <v>106</v>
      </c>
      <c r="F1" s="166">
        <f>ROUNDUP(23598445.7971135,0)</f>
        <v>23598446</v>
      </c>
      <c r="G1" s="83" t="s">
        <v>52</v>
      </c>
      <c r="H1" s="81">
        <v>41867</v>
      </c>
      <c r="I1" s="73" t="s">
        <v>125</v>
      </c>
      <c r="J1" s="74">
        <v>41883</v>
      </c>
      <c r="K1" s="77" t="s">
        <v>127</v>
      </c>
      <c r="L1" s="79">
        <v>5600000</v>
      </c>
    </row>
    <row r="2" spans="1:12" x14ac:dyDescent="0.25">
      <c r="A2" s="75" t="s">
        <v>34</v>
      </c>
      <c r="B2" s="76">
        <v>0.15</v>
      </c>
      <c r="C2" s="167">
        <v>990000000</v>
      </c>
      <c r="G2" s="83" t="s">
        <v>127</v>
      </c>
      <c r="H2" s="83">
        <v>5600000</v>
      </c>
      <c r="I2" s="77" t="s">
        <v>126</v>
      </c>
      <c r="J2" s="79">
        <f>ROUNDUP(23223883.6720112,0)</f>
        <v>23223884</v>
      </c>
    </row>
    <row r="3" spans="1:12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2" x14ac:dyDescent="0.25">
      <c r="A4" s="36">
        <v>41856</v>
      </c>
      <c r="B4" s="46">
        <f>A4-B1</f>
        <v>1</v>
      </c>
      <c r="C4" s="47">
        <v>0</v>
      </c>
      <c r="D4" s="48">
        <v>0</v>
      </c>
      <c r="E4" s="68">
        <v>0</v>
      </c>
      <c r="F4" s="47">
        <v>0</v>
      </c>
      <c r="G4" s="47">
        <v>0</v>
      </c>
    </row>
    <row r="5" spans="1:12" x14ac:dyDescent="0.25">
      <c r="A5" s="36">
        <v>41857</v>
      </c>
      <c r="B5" s="46">
        <f>A5-A4</f>
        <v>1</v>
      </c>
      <c r="C5" s="47">
        <f>$D$1</f>
        <v>23780282</v>
      </c>
      <c r="D5" s="48">
        <f t="shared" ref="D5:D56" si="0">C5-E5</f>
        <v>23373432.68</v>
      </c>
      <c r="E5" s="68">
        <f>ROUND(F5*$B$2*B5/365,2)</f>
        <v>406849.32</v>
      </c>
      <c r="F5" s="47">
        <f>C2</f>
        <v>990000000</v>
      </c>
      <c r="G5" s="47">
        <f>F5-D5</f>
        <v>966626567.32000005</v>
      </c>
    </row>
    <row r="6" spans="1:12" x14ac:dyDescent="0.25">
      <c r="A6" s="36">
        <v>41858</v>
      </c>
      <c r="B6" s="46">
        <f t="shared" ref="B6:B46" si="1">A6-A5</f>
        <v>1</v>
      </c>
      <c r="C6" s="47">
        <f t="shared" ref="C6:C56" si="2">$D$1</f>
        <v>23780282</v>
      </c>
      <c r="D6" s="48">
        <f t="shared" si="0"/>
        <v>23383038.210000001</v>
      </c>
      <c r="E6" s="68">
        <f t="shared" ref="E6:E45" si="3">ROUND(F6*$B$2*B6/365,2)</f>
        <v>397243.79</v>
      </c>
      <c r="F6" s="47">
        <f t="shared" ref="F6:F46" si="4">G5</f>
        <v>966626567.32000005</v>
      </c>
      <c r="G6" s="47">
        <f t="shared" ref="G6:G46" si="5">F6-D6</f>
        <v>943243529.11000001</v>
      </c>
    </row>
    <row r="7" spans="1:12" x14ac:dyDescent="0.25">
      <c r="A7" s="36">
        <v>41859</v>
      </c>
      <c r="B7" s="46">
        <f t="shared" si="1"/>
        <v>1</v>
      </c>
      <c r="C7" s="47">
        <f t="shared" si="2"/>
        <v>23780282</v>
      </c>
      <c r="D7" s="48">
        <f t="shared" si="0"/>
        <v>23392647.670000002</v>
      </c>
      <c r="E7" s="68">
        <f t="shared" si="3"/>
        <v>387634.33</v>
      </c>
      <c r="F7" s="47">
        <f t="shared" si="4"/>
        <v>943243529.11000001</v>
      </c>
      <c r="G7" s="47">
        <f t="shared" si="5"/>
        <v>919850881.44000006</v>
      </c>
    </row>
    <row r="8" spans="1:12" x14ac:dyDescent="0.25">
      <c r="A8" s="36">
        <v>41860</v>
      </c>
      <c r="B8" s="46">
        <f t="shared" si="1"/>
        <v>1</v>
      </c>
      <c r="C8" s="47">
        <f t="shared" si="2"/>
        <v>23780282</v>
      </c>
      <c r="D8" s="48">
        <f t="shared" si="0"/>
        <v>23402261.09</v>
      </c>
      <c r="E8" s="68">
        <f t="shared" si="3"/>
        <v>378020.91</v>
      </c>
      <c r="F8" s="47">
        <f t="shared" si="4"/>
        <v>919850881.44000006</v>
      </c>
      <c r="G8" s="47">
        <f t="shared" si="5"/>
        <v>896448620.35000002</v>
      </c>
    </row>
    <row r="9" spans="1:12" x14ac:dyDescent="0.25">
      <c r="A9" s="36">
        <v>41861</v>
      </c>
      <c r="B9" s="46">
        <f t="shared" si="1"/>
        <v>1</v>
      </c>
      <c r="C9" s="47">
        <f t="shared" si="2"/>
        <v>23780282</v>
      </c>
      <c r="D9" s="48">
        <f t="shared" si="0"/>
        <v>23411878.460000001</v>
      </c>
      <c r="E9" s="68">
        <f t="shared" si="3"/>
        <v>368403.54</v>
      </c>
      <c r="F9" s="47">
        <f t="shared" si="4"/>
        <v>896448620.35000002</v>
      </c>
      <c r="G9" s="47">
        <f t="shared" si="5"/>
        <v>873036741.88999999</v>
      </c>
    </row>
    <row r="10" spans="1:12" x14ac:dyDescent="0.25">
      <c r="A10" s="36">
        <v>41862</v>
      </c>
      <c r="B10" s="46">
        <f t="shared" si="1"/>
        <v>1</v>
      </c>
      <c r="C10" s="47">
        <f t="shared" si="2"/>
        <v>23780282</v>
      </c>
      <c r="D10" s="48">
        <f t="shared" si="0"/>
        <v>23421499.780000001</v>
      </c>
      <c r="E10" s="68">
        <f t="shared" si="3"/>
        <v>358782.22</v>
      </c>
      <c r="F10" s="47">
        <f t="shared" si="4"/>
        <v>873036741.88999999</v>
      </c>
      <c r="G10" s="47">
        <f t="shared" si="5"/>
        <v>849615242.11000001</v>
      </c>
    </row>
    <row r="11" spans="1:12" x14ac:dyDescent="0.25">
      <c r="A11" s="36">
        <v>41863</v>
      </c>
      <c r="B11" s="46">
        <f t="shared" si="1"/>
        <v>1</v>
      </c>
      <c r="C11" s="47">
        <f t="shared" si="2"/>
        <v>23780282</v>
      </c>
      <c r="D11" s="48">
        <f t="shared" si="0"/>
        <v>23431125.050000001</v>
      </c>
      <c r="E11" s="68">
        <f t="shared" si="3"/>
        <v>349156.95</v>
      </c>
      <c r="F11" s="47">
        <f t="shared" si="4"/>
        <v>849615242.11000001</v>
      </c>
      <c r="G11" s="47">
        <f t="shared" si="5"/>
        <v>826184117.06000006</v>
      </c>
    </row>
    <row r="12" spans="1:12" x14ac:dyDescent="0.25">
      <c r="A12" s="36">
        <v>41864</v>
      </c>
      <c r="B12" s="46">
        <f t="shared" si="1"/>
        <v>1</v>
      </c>
      <c r="C12" s="47">
        <f t="shared" si="2"/>
        <v>23780282</v>
      </c>
      <c r="D12" s="48">
        <f t="shared" si="0"/>
        <v>23440754.280000001</v>
      </c>
      <c r="E12" s="68">
        <f t="shared" si="3"/>
        <v>339527.72</v>
      </c>
      <c r="F12" s="47">
        <f t="shared" si="4"/>
        <v>826184117.06000006</v>
      </c>
      <c r="G12" s="47">
        <f t="shared" si="5"/>
        <v>802743362.78000009</v>
      </c>
    </row>
    <row r="13" spans="1:12" x14ac:dyDescent="0.25">
      <c r="A13" s="36">
        <v>41865</v>
      </c>
      <c r="B13" s="46">
        <f t="shared" si="1"/>
        <v>1</v>
      </c>
      <c r="C13" s="47">
        <f t="shared" si="2"/>
        <v>23780282</v>
      </c>
      <c r="D13" s="48">
        <f t="shared" si="0"/>
        <v>23450387.469999999</v>
      </c>
      <c r="E13" s="68">
        <f t="shared" si="3"/>
        <v>329894.53000000003</v>
      </c>
      <c r="F13" s="47">
        <f t="shared" si="4"/>
        <v>802743362.78000009</v>
      </c>
      <c r="G13" s="47">
        <f t="shared" si="5"/>
        <v>779292975.31000006</v>
      </c>
    </row>
    <row r="14" spans="1:12" x14ac:dyDescent="0.25">
      <c r="A14" s="36">
        <v>41866</v>
      </c>
      <c r="B14" s="46">
        <f t="shared" si="1"/>
        <v>1</v>
      </c>
      <c r="C14" s="47">
        <f t="shared" si="2"/>
        <v>23780282</v>
      </c>
      <c r="D14" s="48">
        <f t="shared" si="0"/>
        <v>23460024.609999999</v>
      </c>
      <c r="E14" s="68">
        <f t="shared" si="3"/>
        <v>320257.39</v>
      </c>
      <c r="F14" s="47">
        <f t="shared" si="4"/>
        <v>779292975.31000006</v>
      </c>
      <c r="G14" s="47">
        <f t="shared" si="5"/>
        <v>755832950.70000005</v>
      </c>
    </row>
    <row r="15" spans="1:12" x14ac:dyDescent="0.25">
      <c r="A15" s="36">
        <v>41867</v>
      </c>
      <c r="B15" s="46">
        <f t="shared" si="1"/>
        <v>1</v>
      </c>
      <c r="C15" s="47">
        <f t="shared" si="2"/>
        <v>23780282</v>
      </c>
      <c r="D15" s="48">
        <f t="shared" si="0"/>
        <v>23469665.719999999</v>
      </c>
      <c r="E15" s="68">
        <f t="shared" si="3"/>
        <v>310616.28000000003</v>
      </c>
      <c r="F15" s="47">
        <f t="shared" si="4"/>
        <v>755832950.70000005</v>
      </c>
      <c r="G15" s="47">
        <f t="shared" si="5"/>
        <v>732363284.98000002</v>
      </c>
    </row>
    <row r="16" spans="1:12" x14ac:dyDescent="0.25">
      <c r="A16" s="36">
        <v>41868</v>
      </c>
      <c r="B16" s="46">
        <f t="shared" si="1"/>
        <v>1</v>
      </c>
      <c r="C16" s="47">
        <f t="shared" si="2"/>
        <v>23780282</v>
      </c>
      <c r="D16" s="48">
        <f t="shared" si="0"/>
        <v>23479310.789999999</v>
      </c>
      <c r="E16" s="68">
        <f t="shared" si="3"/>
        <v>300971.21000000002</v>
      </c>
      <c r="F16" s="47">
        <f t="shared" si="4"/>
        <v>732363284.98000002</v>
      </c>
      <c r="G16" s="47">
        <f t="shared" si="5"/>
        <v>708883974.19000006</v>
      </c>
    </row>
    <row r="17" spans="1:7" x14ac:dyDescent="0.25">
      <c r="A17" s="36">
        <v>41869</v>
      </c>
      <c r="B17" s="46">
        <f t="shared" si="1"/>
        <v>1</v>
      </c>
      <c r="C17" s="47">
        <f t="shared" si="2"/>
        <v>23780282</v>
      </c>
      <c r="D17" s="48">
        <f t="shared" si="0"/>
        <v>23488959.82</v>
      </c>
      <c r="E17" s="68">
        <f t="shared" si="3"/>
        <v>291322.18</v>
      </c>
      <c r="F17" s="47">
        <f t="shared" si="4"/>
        <v>708883974.19000006</v>
      </c>
      <c r="G17" s="47">
        <f t="shared" si="5"/>
        <v>685395014.37</v>
      </c>
    </row>
    <row r="18" spans="1:7" x14ac:dyDescent="0.25">
      <c r="A18" s="36">
        <v>41870</v>
      </c>
      <c r="B18" s="46">
        <f t="shared" si="1"/>
        <v>1</v>
      </c>
      <c r="C18" s="47">
        <f t="shared" si="2"/>
        <v>23780282</v>
      </c>
      <c r="D18" s="48">
        <f t="shared" si="0"/>
        <v>23498612.82</v>
      </c>
      <c r="E18" s="68">
        <f t="shared" si="3"/>
        <v>281669.18</v>
      </c>
      <c r="F18" s="47">
        <f t="shared" si="4"/>
        <v>685395014.37</v>
      </c>
      <c r="G18" s="47">
        <f t="shared" si="5"/>
        <v>661896401.54999995</v>
      </c>
    </row>
    <row r="19" spans="1:7" x14ac:dyDescent="0.25">
      <c r="A19" s="36">
        <v>41871</v>
      </c>
      <c r="B19" s="46">
        <f t="shared" si="1"/>
        <v>1</v>
      </c>
      <c r="C19" s="47">
        <f t="shared" si="2"/>
        <v>23780282</v>
      </c>
      <c r="D19" s="48">
        <f t="shared" si="0"/>
        <v>23508269.780000001</v>
      </c>
      <c r="E19" s="68">
        <f t="shared" si="3"/>
        <v>272012.21999999997</v>
      </c>
      <c r="F19" s="47">
        <f t="shared" si="4"/>
        <v>661896401.54999995</v>
      </c>
      <c r="G19" s="47">
        <f t="shared" si="5"/>
        <v>638388131.76999998</v>
      </c>
    </row>
    <row r="20" spans="1:7" x14ac:dyDescent="0.25">
      <c r="A20" s="36">
        <v>41872</v>
      </c>
      <c r="B20" s="46">
        <f t="shared" si="1"/>
        <v>1</v>
      </c>
      <c r="C20" s="47">
        <f t="shared" si="2"/>
        <v>23780282</v>
      </c>
      <c r="D20" s="48">
        <f t="shared" si="0"/>
        <v>23517930.710000001</v>
      </c>
      <c r="E20" s="68">
        <f t="shared" si="3"/>
        <v>262351.28999999998</v>
      </c>
      <c r="F20" s="47">
        <f t="shared" si="4"/>
        <v>638388131.76999998</v>
      </c>
      <c r="G20" s="47">
        <f t="shared" si="5"/>
        <v>614870201.05999994</v>
      </c>
    </row>
    <row r="21" spans="1:7" x14ac:dyDescent="0.25">
      <c r="A21" s="36">
        <v>41873</v>
      </c>
      <c r="B21" s="46">
        <f t="shared" si="1"/>
        <v>1</v>
      </c>
      <c r="C21" s="47">
        <f t="shared" si="2"/>
        <v>23780282</v>
      </c>
      <c r="D21" s="48">
        <f t="shared" si="0"/>
        <v>23527595.620000001</v>
      </c>
      <c r="E21" s="68">
        <f t="shared" si="3"/>
        <v>252686.38</v>
      </c>
      <c r="F21" s="47">
        <f t="shared" si="4"/>
        <v>614870201.05999994</v>
      </c>
      <c r="G21" s="47">
        <f t="shared" si="5"/>
        <v>591342605.43999994</v>
      </c>
    </row>
    <row r="22" spans="1:7" x14ac:dyDescent="0.25">
      <c r="A22" s="36">
        <v>41874</v>
      </c>
      <c r="B22" s="46">
        <f t="shared" si="1"/>
        <v>1</v>
      </c>
      <c r="C22" s="47">
        <f t="shared" si="2"/>
        <v>23780282</v>
      </c>
      <c r="D22" s="48">
        <f t="shared" si="0"/>
        <v>23537264.489999998</v>
      </c>
      <c r="E22" s="68">
        <f t="shared" si="3"/>
        <v>243017.51</v>
      </c>
      <c r="F22" s="47">
        <f t="shared" si="4"/>
        <v>591342605.43999994</v>
      </c>
      <c r="G22" s="47">
        <f t="shared" si="5"/>
        <v>567805340.94999993</v>
      </c>
    </row>
    <row r="23" spans="1:7" x14ac:dyDescent="0.25">
      <c r="A23" s="36">
        <v>41875</v>
      </c>
      <c r="B23" s="46">
        <f t="shared" si="1"/>
        <v>1</v>
      </c>
      <c r="C23" s="47">
        <f t="shared" si="2"/>
        <v>23780282</v>
      </c>
      <c r="D23" s="48">
        <f t="shared" si="0"/>
        <v>23546937.34</v>
      </c>
      <c r="E23" s="68">
        <f t="shared" si="3"/>
        <v>233344.66</v>
      </c>
      <c r="F23" s="47">
        <f t="shared" si="4"/>
        <v>567805340.94999993</v>
      </c>
      <c r="G23" s="47">
        <f t="shared" si="5"/>
        <v>544258403.6099999</v>
      </c>
    </row>
    <row r="24" spans="1:7" x14ac:dyDescent="0.25">
      <c r="A24" s="36">
        <v>41876</v>
      </c>
      <c r="B24" s="46">
        <f t="shared" si="1"/>
        <v>1</v>
      </c>
      <c r="C24" s="47">
        <f t="shared" si="2"/>
        <v>23780282</v>
      </c>
      <c r="D24" s="48">
        <f t="shared" si="0"/>
        <v>23556614.16</v>
      </c>
      <c r="E24" s="68">
        <f t="shared" si="3"/>
        <v>223667.84</v>
      </c>
      <c r="F24" s="47">
        <f t="shared" si="4"/>
        <v>544258403.6099999</v>
      </c>
      <c r="G24" s="47">
        <f t="shared" si="5"/>
        <v>520701789.44999987</v>
      </c>
    </row>
    <row r="25" spans="1:7" x14ac:dyDescent="0.25">
      <c r="A25" s="36">
        <v>41877</v>
      </c>
      <c r="B25" s="46">
        <f t="shared" si="1"/>
        <v>1</v>
      </c>
      <c r="C25" s="47">
        <f t="shared" si="2"/>
        <v>23780282</v>
      </c>
      <c r="D25" s="48">
        <f t="shared" si="0"/>
        <v>23566294.960000001</v>
      </c>
      <c r="E25" s="68">
        <f t="shared" si="3"/>
        <v>213987.04</v>
      </c>
      <c r="F25" s="47">
        <f t="shared" si="4"/>
        <v>520701789.44999987</v>
      </c>
      <c r="G25" s="47">
        <f t="shared" si="5"/>
        <v>497135494.48999989</v>
      </c>
    </row>
    <row r="26" spans="1:7" x14ac:dyDescent="0.25">
      <c r="A26" s="36">
        <v>41878</v>
      </c>
      <c r="B26" s="46">
        <f t="shared" si="1"/>
        <v>1</v>
      </c>
      <c r="C26" s="47">
        <f t="shared" si="2"/>
        <v>23780282</v>
      </c>
      <c r="D26" s="48">
        <f t="shared" si="0"/>
        <v>23575979.739999998</v>
      </c>
      <c r="E26" s="68">
        <f t="shared" si="3"/>
        <v>204302.26</v>
      </c>
      <c r="F26" s="47">
        <f t="shared" si="4"/>
        <v>497135494.48999989</v>
      </c>
      <c r="G26" s="47">
        <f t="shared" si="5"/>
        <v>473559514.74999988</v>
      </c>
    </row>
    <row r="27" spans="1:7" x14ac:dyDescent="0.25">
      <c r="A27" s="36">
        <v>41879</v>
      </c>
      <c r="B27" s="46">
        <f t="shared" si="1"/>
        <v>1</v>
      </c>
      <c r="C27" s="47">
        <f t="shared" si="2"/>
        <v>23780282</v>
      </c>
      <c r="D27" s="48">
        <f t="shared" si="0"/>
        <v>23585668.5</v>
      </c>
      <c r="E27" s="68">
        <f t="shared" si="3"/>
        <v>194613.5</v>
      </c>
      <c r="F27" s="47">
        <f t="shared" si="4"/>
        <v>473559514.74999988</v>
      </c>
      <c r="G27" s="47">
        <f t="shared" si="5"/>
        <v>449973846.24999988</v>
      </c>
    </row>
    <row r="28" spans="1:7" x14ac:dyDescent="0.25">
      <c r="A28" s="36">
        <v>41880</v>
      </c>
      <c r="B28" s="46">
        <f t="shared" si="1"/>
        <v>1</v>
      </c>
      <c r="C28" s="47">
        <f t="shared" si="2"/>
        <v>23780282</v>
      </c>
      <c r="D28" s="48">
        <f t="shared" si="0"/>
        <v>23595361.239999998</v>
      </c>
      <c r="E28" s="68">
        <f t="shared" si="3"/>
        <v>184920.76</v>
      </c>
      <c r="F28" s="47">
        <f t="shared" si="4"/>
        <v>449973846.24999988</v>
      </c>
      <c r="G28" s="47">
        <f t="shared" si="5"/>
        <v>426378485.00999987</v>
      </c>
    </row>
    <row r="29" spans="1:7" x14ac:dyDescent="0.25">
      <c r="A29" s="36">
        <v>41881</v>
      </c>
      <c r="B29" s="46">
        <f t="shared" si="1"/>
        <v>1</v>
      </c>
      <c r="C29" s="47">
        <f t="shared" si="2"/>
        <v>23780282</v>
      </c>
      <c r="D29" s="48">
        <f t="shared" si="0"/>
        <v>23605057.969999999</v>
      </c>
      <c r="E29" s="68">
        <f t="shared" si="3"/>
        <v>175224.03</v>
      </c>
      <c r="F29" s="47">
        <f t="shared" si="4"/>
        <v>426378485.00999987</v>
      </c>
      <c r="G29" s="47">
        <f t="shared" si="5"/>
        <v>402773427.03999984</v>
      </c>
    </row>
    <row r="30" spans="1:7" x14ac:dyDescent="0.25">
      <c r="A30" s="36">
        <v>41882</v>
      </c>
      <c r="B30" s="46">
        <f t="shared" si="1"/>
        <v>1</v>
      </c>
      <c r="C30" s="47">
        <f t="shared" si="2"/>
        <v>23780282</v>
      </c>
      <c r="D30" s="48">
        <f t="shared" si="0"/>
        <v>23614758.670000002</v>
      </c>
      <c r="E30" s="68">
        <f t="shared" si="3"/>
        <v>165523.32999999999</v>
      </c>
      <c r="F30" s="47">
        <f t="shared" si="4"/>
        <v>402773427.03999984</v>
      </c>
      <c r="G30" s="47">
        <f t="shared" si="5"/>
        <v>379158668.36999983</v>
      </c>
    </row>
    <row r="31" spans="1:7" x14ac:dyDescent="0.25">
      <c r="A31" s="36">
        <v>41883</v>
      </c>
      <c r="B31" s="46">
        <f t="shared" si="1"/>
        <v>1</v>
      </c>
      <c r="C31" s="47">
        <f t="shared" si="2"/>
        <v>23780282</v>
      </c>
      <c r="D31" s="48">
        <f t="shared" si="0"/>
        <v>23624463.370000001</v>
      </c>
      <c r="E31" s="68">
        <f t="shared" si="3"/>
        <v>155818.63</v>
      </c>
      <c r="F31" s="47">
        <f t="shared" si="4"/>
        <v>379158668.36999983</v>
      </c>
      <c r="G31" s="47">
        <f t="shared" si="5"/>
        <v>355534204.99999982</v>
      </c>
    </row>
    <row r="32" spans="1:7" x14ac:dyDescent="0.25">
      <c r="A32" s="36">
        <v>41884</v>
      </c>
      <c r="B32" s="46">
        <f t="shared" si="1"/>
        <v>1</v>
      </c>
      <c r="C32" s="47">
        <f t="shared" si="2"/>
        <v>23780282</v>
      </c>
      <c r="D32" s="48">
        <f t="shared" si="0"/>
        <v>23634172.050000001</v>
      </c>
      <c r="E32" s="68">
        <f t="shared" si="3"/>
        <v>146109.95000000001</v>
      </c>
      <c r="F32" s="47">
        <f t="shared" si="4"/>
        <v>355534204.99999982</v>
      </c>
      <c r="G32" s="47">
        <f t="shared" si="5"/>
        <v>331900032.94999981</v>
      </c>
    </row>
    <row r="33" spans="1:7" x14ac:dyDescent="0.25">
      <c r="A33" s="36">
        <v>41885</v>
      </c>
      <c r="B33" s="46">
        <f t="shared" si="1"/>
        <v>1</v>
      </c>
      <c r="C33" s="47">
        <f t="shared" si="2"/>
        <v>23780282</v>
      </c>
      <c r="D33" s="48">
        <f t="shared" si="0"/>
        <v>23643884.73</v>
      </c>
      <c r="E33" s="68">
        <f t="shared" si="3"/>
        <v>136397.26999999999</v>
      </c>
      <c r="F33" s="47">
        <f t="shared" si="4"/>
        <v>331900032.94999981</v>
      </c>
      <c r="G33" s="47">
        <f t="shared" si="5"/>
        <v>308256148.21999979</v>
      </c>
    </row>
    <row r="34" spans="1:7" x14ac:dyDescent="0.25">
      <c r="A34" s="36">
        <v>41886</v>
      </c>
      <c r="B34" s="46">
        <f t="shared" si="1"/>
        <v>1</v>
      </c>
      <c r="C34" s="47">
        <f t="shared" si="2"/>
        <v>23780282</v>
      </c>
      <c r="D34" s="48">
        <f t="shared" si="0"/>
        <v>23653601.390000001</v>
      </c>
      <c r="E34" s="68">
        <f t="shared" si="3"/>
        <v>126680.61</v>
      </c>
      <c r="F34" s="47">
        <f t="shared" si="4"/>
        <v>308256148.21999979</v>
      </c>
      <c r="G34" s="47">
        <f t="shared" si="5"/>
        <v>284602546.8299998</v>
      </c>
    </row>
    <row r="35" spans="1:7" x14ac:dyDescent="0.25">
      <c r="A35" s="36">
        <v>41887</v>
      </c>
      <c r="B35" s="46">
        <f t="shared" si="1"/>
        <v>1</v>
      </c>
      <c r="C35" s="47">
        <f t="shared" si="2"/>
        <v>23780282</v>
      </c>
      <c r="D35" s="48">
        <f t="shared" si="0"/>
        <v>23663322.050000001</v>
      </c>
      <c r="E35" s="68">
        <f t="shared" si="3"/>
        <v>116959.95</v>
      </c>
      <c r="F35" s="47">
        <f t="shared" si="4"/>
        <v>284602546.8299998</v>
      </c>
      <c r="G35" s="47">
        <f t="shared" si="5"/>
        <v>260939224.77999979</v>
      </c>
    </row>
    <row r="36" spans="1:7" x14ac:dyDescent="0.25">
      <c r="A36" s="36">
        <v>41888</v>
      </c>
      <c r="B36" s="46">
        <f t="shared" si="1"/>
        <v>1</v>
      </c>
      <c r="C36" s="47">
        <f t="shared" si="2"/>
        <v>23780282</v>
      </c>
      <c r="D36" s="48">
        <f t="shared" si="0"/>
        <v>23673046.699999999</v>
      </c>
      <c r="E36" s="68">
        <f t="shared" si="3"/>
        <v>107235.3</v>
      </c>
      <c r="F36" s="47">
        <f t="shared" si="4"/>
        <v>260939224.77999979</v>
      </c>
      <c r="G36" s="47">
        <f t="shared" si="5"/>
        <v>237266178.0799998</v>
      </c>
    </row>
    <row r="37" spans="1:7" x14ac:dyDescent="0.25">
      <c r="A37" s="36">
        <v>41889</v>
      </c>
      <c r="B37" s="46">
        <f t="shared" si="1"/>
        <v>1</v>
      </c>
      <c r="C37" s="47">
        <f t="shared" si="2"/>
        <v>23780282</v>
      </c>
      <c r="D37" s="48">
        <f t="shared" si="0"/>
        <v>23682775.350000001</v>
      </c>
      <c r="E37" s="68">
        <f t="shared" si="3"/>
        <v>97506.65</v>
      </c>
      <c r="F37" s="47">
        <f t="shared" si="4"/>
        <v>237266178.0799998</v>
      </c>
      <c r="G37" s="47">
        <f t="shared" si="5"/>
        <v>213583402.72999981</v>
      </c>
    </row>
    <row r="38" spans="1:7" x14ac:dyDescent="0.25">
      <c r="A38" s="36">
        <v>41890</v>
      </c>
      <c r="B38" s="46">
        <f t="shared" si="1"/>
        <v>1</v>
      </c>
      <c r="C38" s="47">
        <f t="shared" si="2"/>
        <v>23780282</v>
      </c>
      <c r="D38" s="48">
        <f t="shared" si="0"/>
        <v>23692508</v>
      </c>
      <c r="E38" s="68">
        <f t="shared" si="3"/>
        <v>87774</v>
      </c>
      <c r="F38" s="47">
        <f t="shared" si="4"/>
        <v>213583402.72999981</v>
      </c>
      <c r="G38" s="47">
        <f t="shared" si="5"/>
        <v>189890894.72999981</v>
      </c>
    </row>
    <row r="39" spans="1:7" x14ac:dyDescent="0.25">
      <c r="A39" s="36">
        <v>41891</v>
      </c>
      <c r="B39" s="46">
        <f t="shared" si="1"/>
        <v>1</v>
      </c>
      <c r="C39" s="47">
        <f t="shared" si="2"/>
        <v>23780282</v>
      </c>
      <c r="D39" s="48">
        <f t="shared" si="0"/>
        <v>23702244.649999999</v>
      </c>
      <c r="E39" s="68">
        <f t="shared" si="3"/>
        <v>78037.350000000006</v>
      </c>
      <c r="F39" s="47">
        <f t="shared" si="4"/>
        <v>189890894.72999981</v>
      </c>
      <c r="G39" s="47">
        <f t="shared" si="5"/>
        <v>166188650.0799998</v>
      </c>
    </row>
    <row r="40" spans="1:7" x14ac:dyDescent="0.25">
      <c r="A40" s="36">
        <v>41892</v>
      </c>
      <c r="B40" s="46">
        <f t="shared" si="1"/>
        <v>1</v>
      </c>
      <c r="C40" s="47">
        <f t="shared" si="2"/>
        <v>23780282</v>
      </c>
      <c r="D40" s="48">
        <f t="shared" si="0"/>
        <v>23711985.289999999</v>
      </c>
      <c r="E40" s="68">
        <f t="shared" si="3"/>
        <v>68296.710000000006</v>
      </c>
      <c r="F40" s="47">
        <f t="shared" si="4"/>
        <v>166188650.0799998</v>
      </c>
      <c r="G40" s="47">
        <f t="shared" si="5"/>
        <v>142476664.78999981</v>
      </c>
    </row>
    <row r="41" spans="1:7" x14ac:dyDescent="0.25">
      <c r="A41" s="36">
        <v>41893</v>
      </c>
      <c r="B41" s="46">
        <f t="shared" si="1"/>
        <v>1</v>
      </c>
      <c r="C41" s="47">
        <f t="shared" si="2"/>
        <v>23780282</v>
      </c>
      <c r="D41" s="48">
        <f t="shared" si="0"/>
        <v>23721729.949999999</v>
      </c>
      <c r="E41" s="68">
        <f t="shared" si="3"/>
        <v>58552.05</v>
      </c>
      <c r="F41" s="47">
        <f t="shared" si="4"/>
        <v>142476664.78999981</v>
      </c>
      <c r="G41" s="47">
        <f t="shared" si="5"/>
        <v>118754934.83999981</v>
      </c>
    </row>
    <row r="42" spans="1:7" x14ac:dyDescent="0.25">
      <c r="A42" s="36">
        <v>41894</v>
      </c>
      <c r="B42" s="46">
        <f t="shared" si="1"/>
        <v>1</v>
      </c>
      <c r="C42" s="47">
        <f t="shared" si="2"/>
        <v>23780282</v>
      </c>
      <c r="D42" s="48">
        <f t="shared" si="0"/>
        <v>23731478.600000001</v>
      </c>
      <c r="E42" s="68">
        <f t="shared" si="3"/>
        <v>48803.4</v>
      </c>
      <c r="F42" s="47">
        <f t="shared" si="4"/>
        <v>118754934.83999981</v>
      </c>
      <c r="G42" s="47">
        <f t="shared" si="5"/>
        <v>95023456.239999801</v>
      </c>
    </row>
    <row r="43" spans="1:7" x14ac:dyDescent="0.25">
      <c r="A43" s="36">
        <v>41895</v>
      </c>
      <c r="B43" s="46">
        <f t="shared" si="1"/>
        <v>1</v>
      </c>
      <c r="C43" s="47">
        <f t="shared" si="2"/>
        <v>23780282</v>
      </c>
      <c r="D43" s="48">
        <f t="shared" si="0"/>
        <v>23741231.260000002</v>
      </c>
      <c r="E43" s="68">
        <f t="shared" si="3"/>
        <v>39050.74</v>
      </c>
      <c r="F43" s="47">
        <f t="shared" si="4"/>
        <v>95023456.239999801</v>
      </c>
      <c r="G43" s="47">
        <f t="shared" si="5"/>
        <v>71282224.979999796</v>
      </c>
    </row>
    <row r="44" spans="1:7" x14ac:dyDescent="0.25">
      <c r="A44" s="36">
        <v>41896</v>
      </c>
      <c r="B44" s="46">
        <f t="shared" si="1"/>
        <v>1</v>
      </c>
      <c r="C44" s="47">
        <f t="shared" si="2"/>
        <v>23780282</v>
      </c>
      <c r="D44" s="48">
        <f t="shared" si="0"/>
        <v>23750987.93</v>
      </c>
      <c r="E44" s="68">
        <f t="shared" si="3"/>
        <v>29294.07</v>
      </c>
      <c r="F44" s="47">
        <f t="shared" si="4"/>
        <v>71282224.979999796</v>
      </c>
      <c r="G44" s="47">
        <f t="shared" si="5"/>
        <v>47531237.049999796</v>
      </c>
    </row>
    <row r="45" spans="1:7" x14ac:dyDescent="0.25">
      <c r="A45" s="36">
        <v>41897</v>
      </c>
      <c r="B45" s="46">
        <f t="shared" si="1"/>
        <v>1</v>
      </c>
      <c r="C45" s="47">
        <f t="shared" si="2"/>
        <v>23780282</v>
      </c>
      <c r="D45" s="48">
        <f t="shared" si="0"/>
        <v>23760748.609999999</v>
      </c>
      <c r="E45" s="68">
        <f t="shared" si="3"/>
        <v>19533.39</v>
      </c>
      <c r="F45" s="47">
        <f t="shared" si="4"/>
        <v>47531237.049999796</v>
      </c>
      <c r="G45" s="47">
        <f t="shared" si="5"/>
        <v>23770488.439999796</v>
      </c>
    </row>
    <row r="46" spans="1:7" x14ac:dyDescent="0.25">
      <c r="A46" s="36">
        <v>41898</v>
      </c>
      <c r="B46" s="46">
        <f t="shared" si="1"/>
        <v>1</v>
      </c>
      <c r="C46" s="47">
        <f t="shared" si="2"/>
        <v>23780282</v>
      </c>
      <c r="D46" s="48">
        <f t="shared" si="0"/>
        <v>23770488.439999796</v>
      </c>
      <c r="E46" s="68">
        <v>9793.5600002022093</v>
      </c>
      <c r="F46" s="47">
        <f t="shared" si="4"/>
        <v>23770488.439999796</v>
      </c>
      <c r="G46" s="47">
        <f t="shared" si="5"/>
        <v>0</v>
      </c>
    </row>
    <row r="47" spans="1:7" x14ac:dyDescent="0.25">
      <c r="A47" s="174">
        <v>41857</v>
      </c>
      <c r="B47" s="175">
        <f t="shared" ref="B47:G47" si="6">B5</f>
        <v>1</v>
      </c>
      <c r="C47" s="176">
        <f t="shared" si="6"/>
        <v>23780282</v>
      </c>
      <c r="D47" s="177">
        <f t="shared" si="6"/>
        <v>23373432.68</v>
      </c>
      <c r="E47" s="176">
        <f t="shared" si="6"/>
        <v>406849.32</v>
      </c>
      <c r="F47" s="176">
        <f t="shared" si="6"/>
        <v>990000000</v>
      </c>
      <c r="G47" s="176">
        <f t="shared" si="6"/>
        <v>966626567.32000005</v>
      </c>
    </row>
    <row r="48" spans="1:7" x14ac:dyDescent="0.25">
      <c r="A48" s="36">
        <v>41858</v>
      </c>
      <c r="B48" s="46">
        <f t="shared" ref="B48:B56" si="7">A48-A47</f>
        <v>1</v>
      </c>
      <c r="C48" s="47">
        <f t="shared" si="2"/>
        <v>23780282</v>
      </c>
      <c r="D48" s="48">
        <f t="shared" si="0"/>
        <v>23383038.210000001</v>
      </c>
      <c r="E48" s="68">
        <f t="shared" ref="E48:E56" si="8">ROUND(F48*$B$2*B48/365,2)</f>
        <v>397243.79</v>
      </c>
      <c r="F48" s="47">
        <f t="shared" ref="F48:F56" si="9">G47</f>
        <v>966626567.32000005</v>
      </c>
      <c r="G48" s="47">
        <f t="shared" ref="G48:G56" si="10">F48-D48</f>
        <v>943243529.11000001</v>
      </c>
    </row>
    <row r="49" spans="1:7" x14ac:dyDescent="0.25">
      <c r="A49" s="36">
        <v>41859</v>
      </c>
      <c r="B49" s="46">
        <f t="shared" si="7"/>
        <v>1</v>
      </c>
      <c r="C49" s="47">
        <f t="shared" si="2"/>
        <v>23780282</v>
      </c>
      <c r="D49" s="48">
        <f t="shared" si="0"/>
        <v>23392647.670000002</v>
      </c>
      <c r="E49" s="68">
        <f t="shared" si="8"/>
        <v>387634.33</v>
      </c>
      <c r="F49" s="47">
        <f t="shared" si="9"/>
        <v>943243529.11000001</v>
      </c>
      <c r="G49" s="47">
        <f t="shared" si="10"/>
        <v>919850881.44000006</v>
      </c>
    </row>
    <row r="50" spans="1:7" x14ac:dyDescent="0.25">
      <c r="A50" s="36">
        <v>41860</v>
      </c>
      <c r="B50" s="46">
        <f t="shared" si="7"/>
        <v>1</v>
      </c>
      <c r="C50" s="47">
        <f t="shared" si="2"/>
        <v>23780282</v>
      </c>
      <c r="D50" s="48">
        <f t="shared" si="0"/>
        <v>23402261.09</v>
      </c>
      <c r="E50" s="68">
        <f t="shared" si="8"/>
        <v>378020.91</v>
      </c>
      <c r="F50" s="47">
        <f t="shared" si="9"/>
        <v>919850881.44000006</v>
      </c>
      <c r="G50" s="47">
        <f t="shared" si="10"/>
        <v>896448620.35000002</v>
      </c>
    </row>
    <row r="51" spans="1:7" x14ac:dyDescent="0.25">
      <c r="A51" s="36">
        <v>41861</v>
      </c>
      <c r="B51" s="46">
        <f t="shared" si="7"/>
        <v>1</v>
      </c>
      <c r="C51" s="47">
        <f t="shared" si="2"/>
        <v>23780282</v>
      </c>
      <c r="D51" s="48">
        <f t="shared" si="0"/>
        <v>23411878.460000001</v>
      </c>
      <c r="E51" s="68">
        <f t="shared" si="8"/>
        <v>368403.54</v>
      </c>
      <c r="F51" s="47">
        <f t="shared" si="9"/>
        <v>896448620.35000002</v>
      </c>
      <c r="G51" s="47">
        <f t="shared" si="10"/>
        <v>873036741.88999999</v>
      </c>
    </row>
    <row r="52" spans="1:7" x14ac:dyDescent="0.25">
      <c r="A52" s="36">
        <v>41862</v>
      </c>
      <c r="B52" s="46">
        <f t="shared" si="7"/>
        <v>1</v>
      </c>
      <c r="C52" s="47">
        <f t="shared" si="2"/>
        <v>23780282</v>
      </c>
      <c r="D52" s="48">
        <f t="shared" si="0"/>
        <v>23421499.780000001</v>
      </c>
      <c r="E52" s="68">
        <f t="shared" si="8"/>
        <v>358782.22</v>
      </c>
      <c r="F52" s="47">
        <f t="shared" si="9"/>
        <v>873036741.88999999</v>
      </c>
      <c r="G52" s="47">
        <f t="shared" si="10"/>
        <v>849615242.11000001</v>
      </c>
    </row>
    <row r="53" spans="1:7" x14ac:dyDescent="0.25">
      <c r="A53" s="36">
        <v>41863</v>
      </c>
      <c r="B53" s="46">
        <f t="shared" si="7"/>
        <v>1</v>
      </c>
      <c r="C53" s="47">
        <f t="shared" si="2"/>
        <v>23780282</v>
      </c>
      <c r="D53" s="48">
        <f t="shared" si="0"/>
        <v>23431125.050000001</v>
      </c>
      <c r="E53" s="68">
        <f t="shared" si="8"/>
        <v>349156.95</v>
      </c>
      <c r="F53" s="47">
        <f t="shared" si="9"/>
        <v>849615242.11000001</v>
      </c>
      <c r="G53" s="47">
        <f t="shared" si="10"/>
        <v>826184117.06000006</v>
      </c>
    </row>
    <row r="54" spans="1:7" x14ac:dyDescent="0.25">
      <c r="A54" s="36">
        <v>41864</v>
      </c>
      <c r="B54" s="46">
        <f t="shared" si="7"/>
        <v>1</v>
      </c>
      <c r="C54" s="47">
        <f t="shared" si="2"/>
        <v>23780282</v>
      </c>
      <c r="D54" s="48">
        <f t="shared" si="0"/>
        <v>23440754.280000001</v>
      </c>
      <c r="E54" s="68">
        <f t="shared" si="8"/>
        <v>339527.72</v>
      </c>
      <c r="F54" s="47">
        <f t="shared" si="9"/>
        <v>826184117.06000006</v>
      </c>
      <c r="G54" s="47">
        <f t="shared" si="10"/>
        <v>802743362.78000009</v>
      </c>
    </row>
    <row r="55" spans="1:7" x14ac:dyDescent="0.25">
      <c r="A55" s="36">
        <v>41865</v>
      </c>
      <c r="B55" s="46">
        <f t="shared" si="7"/>
        <v>1</v>
      </c>
      <c r="C55" s="47">
        <f t="shared" si="2"/>
        <v>23780282</v>
      </c>
      <c r="D55" s="48">
        <f t="shared" si="0"/>
        <v>23450387.469999999</v>
      </c>
      <c r="E55" s="68">
        <f t="shared" si="8"/>
        <v>329894.53000000003</v>
      </c>
      <c r="F55" s="47">
        <f t="shared" si="9"/>
        <v>802743362.78000009</v>
      </c>
      <c r="G55" s="47">
        <f t="shared" si="10"/>
        <v>779292975.31000006</v>
      </c>
    </row>
    <row r="56" spans="1:7" x14ac:dyDescent="0.25">
      <c r="A56" s="36">
        <v>41866</v>
      </c>
      <c r="B56" s="46">
        <f t="shared" si="7"/>
        <v>1</v>
      </c>
      <c r="C56" s="47">
        <f t="shared" si="2"/>
        <v>23780282</v>
      </c>
      <c r="D56" s="48">
        <f t="shared" si="0"/>
        <v>23460024.609999999</v>
      </c>
      <c r="E56" s="68">
        <f t="shared" si="8"/>
        <v>320257.39</v>
      </c>
      <c r="F56" s="47">
        <f t="shared" si="9"/>
        <v>779292975.31000006</v>
      </c>
      <c r="G56" s="47">
        <f t="shared" si="10"/>
        <v>755832950.70000005</v>
      </c>
    </row>
    <row r="57" spans="1:7" x14ac:dyDescent="0.25">
      <c r="A57" s="36">
        <v>41867</v>
      </c>
      <c r="B57" s="46">
        <f t="shared" ref="B57:G57" si="11">B15</f>
        <v>1</v>
      </c>
      <c r="C57" s="47">
        <f t="shared" si="11"/>
        <v>23780282</v>
      </c>
      <c r="D57" s="48">
        <f t="shared" si="11"/>
        <v>23469665.719999999</v>
      </c>
      <c r="E57" s="68">
        <f t="shared" si="11"/>
        <v>310616.28000000003</v>
      </c>
      <c r="F57" s="47">
        <f t="shared" si="11"/>
        <v>755832950.70000005</v>
      </c>
      <c r="G57" s="47">
        <f t="shared" si="11"/>
        <v>732363284.98000002</v>
      </c>
    </row>
    <row r="58" spans="1:7" x14ac:dyDescent="0.25">
      <c r="A58" s="179">
        <v>41868</v>
      </c>
      <c r="B58" s="169">
        <f t="shared" ref="B58:B88" si="12">A58-A57</f>
        <v>1</v>
      </c>
      <c r="C58" s="170">
        <f t="shared" ref="C58:C73" si="13">$F$1</f>
        <v>23598446</v>
      </c>
      <c r="D58" s="171">
        <f t="shared" ref="D58:D88" si="14">C58-E58</f>
        <v>23299776.16</v>
      </c>
      <c r="E58" s="170">
        <f>ROUND(F58*$B$2*B58/365,2)</f>
        <v>298669.84000000003</v>
      </c>
      <c r="F58" s="170">
        <f>G57-H2</f>
        <v>726763284.98000002</v>
      </c>
      <c r="G58" s="170">
        <f t="shared" ref="G58:G88" si="15">F58-D58</f>
        <v>703463508.82000005</v>
      </c>
    </row>
    <row r="59" spans="1:7" x14ac:dyDescent="0.25">
      <c r="A59" s="36">
        <v>41869</v>
      </c>
      <c r="B59" s="46">
        <f t="shared" si="12"/>
        <v>1</v>
      </c>
      <c r="C59" s="172">
        <f t="shared" si="13"/>
        <v>23598446</v>
      </c>
      <c r="D59" s="48">
        <f t="shared" si="14"/>
        <v>23309351.41</v>
      </c>
      <c r="E59" s="68">
        <f t="shared" ref="E59:E87" si="16">ROUND(F59*$B$2*B59/365,2)</f>
        <v>289094.59000000003</v>
      </c>
      <c r="F59" s="47">
        <f t="shared" ref="F59:F88" si="17">G58</f>
        <v>703463508.82000005</v>
      </c>
      <c r="G59" s="47">
        <f t="shared" si="15"/>
        <v>680154157.41000009</v>
      </c>
    </row>
    <row r="60" spans="1:7" x14ac:dyDescent="0.25">
      <c r="A60" s="36">
        <v>41870</v>
      </c>
      <c r="B60" s="168">
        <f t="shared" si="12"/>
        <v>1</v>
      </c>
      <c r="C60" s="172">
        <f t="shared" si="13"/>
        <v>23598446</v>
      </c>
      <c r="D60" s="173">
        <f t="shared" si="14"/>
        <v>23318930.59</v>
      </c>
      <c r="E60" s="172">
        <f t="shared" si="16"/>
        <v>279515.40999999997</v>
      </c>
      <c r="F60" s="172">
        <f t="shared" si="17"/>
        <v>680154157.41000009</v>
      </c>
      <c r="G60" s="172">
        <f t="shared" si="15"/>
        <v>656835226.82000005</v>
      </c>
    </row>
    <row r="61" spans="1:7" x14ac:dyDescent="0.25">
      <c r="A61" s="36">
        <v>41871</v>
      </c>
      <c r="B61" s="168">
        <f t="shared" si="12"/>
        <v>1</v>
      </c>
      <c r="C61" s="172">
        <f t="shared" si="13"/>
        <v>23598446</v>
      </c>
      <c r="D61" s="173">
        <f t="shared" si="14"/>
        <v>23328513.719999999</v>
      </c>
      <c r="E61" s="172">
        <f t="shared" si="16"/>
        <v>269932.28000000003</v>
      </c>
      <c r="F61" s="172">
        <f t="shared" si="17"/>
        <v>656835226.82000005</v>
      </c>
      <c r="G61" s="172">
        <f t="shared" si="15"/>
        <v>633506713.10000002</v>
      </c>
    </row>
    <row r="62" spans="1:7" x14ac:dyDescent="0.25">
      <c r="A62" s="36">
        <v>41872</v>
      </c>
      <c r="B62" s="168">
        <f t="shared" si="12"/>
        <v>1</v>
      </c>
      <c r="C62" s="172">
        <f t="shared" si="13"/>
        <v>23598446</v>
      </c>
      <c r="D62" s="173">
        <f t="shared" si="14"/>
        <v>23338100.780000001</v>
      </c>
      <c r="E62" s="172">
        <f t="shared" si="16"/>
        <v>260345.22</v>
      </c>
      <c r="F62" s="172">
        <f t="shared" si="17"/>
        <v>633506713.10000002</v>
      </c>
      <c r="G62" s="172">
        <f t="shared" si="15"/>
        <v>610168612.32000005</v>
      </c>
    </row>
    <row r="63" spans="1:7" x14ac:dyDescent="0.25">
      <c r="A63" s="36">
        <v>41873</v>
      </c>
      <c r="B63" s="168">
        <f t="shared" si="12"/>
        <v>1</v>
      </c>
      <c r="C63" s="172">
        <f t="shared" si="13"/>
        <v>23598446</v>
      </c>
      <c r="D63" s="173">
        <f t="shared" si="14"/>
        <v>23347691.780000001</v>
      </c>
      <c r="E63" s="172">
        <f t="shared" si="16"/>
        <v>250754.22</v>
      </c>
      <c r="F63" s="172">
        <f t="shared" si="17"/>
        <v>610168612.32000005</v>
      </c>
      <c r="G63" s="172">
        <f t="shared" si="15"/>
        <v>586820920.54000008</v>
      </c>
    </row>
    <row r="64" spans="1:7" x14ac:dyDescent="0.25">
      <c r="A64" s="36">
        <v>41874</v>
      </c>
      <c r="B64" s="168">
        <f t="shared" si="12"/>
        <v>1</v>
      </c>
      <c r="C64" s="172">
        <f t="shared" si="13"/>
        <v>23598446</v>
      </c>
      <c r="D64" s="173">
        <f t="shared" si="14"/>
        <v>23357286.719999999</v>
      </c>
      <c r="E64" s="172">
        <f t="shared" si="16"/>
        <v>241159.28</v>
      </c>
      <c r="F64" s="172">
        <f t="shared" si="17"/>
        <v>586820920.54000008</v>
      </c>
      <c r="G64" s="172">
        <f t="shared" si="15"/>
        <v>563463633.82000005</v>
      </c>
    </row>
    <row r="65" spans="1:7" x14ac:dyDescent="0.25">
      <c r="A65" s="36">
        <v>41875</v>
      </c>
      <c r="B65" s="168">
        <f t="shared" si="12"/>
        <v>1</v>
      </c>
      <c r="C65" s="172">
        <f t="shared" si="13"/>
        <v>23598446</v>
      </c>
      <c r="D65" s="173">
        <f t="shared" si="14"/>
        <v>23366885.600000001</v>
      </c>
      <c r="E65" s="172">
        <f t="shared" si="16"/>
        <v>231560.4</v>
      </c>
      <c r="F65" s="172">
        <f t="shared" si="17"/>
        <v>563463633.82000005</v>
      </c>
      <c r="G65" s="172">
        <f t="shared" si="15"/>
        <v>540096748.22000003</v>
      </c>
    </row>
    <row r="66" spans="1:7" x14ac:dyDescent="0.25">
      <c r="A66" s="36">
        <v>41876</v>
      </c>
      <c r="B66" s="168">
        <f t="shared" si="12"/>
        <v>1</v>
      </c>
      <c r="C66" s="172">
        <f t="shared" si="13"/>
        <v>23598446</v>
      </c>
      <c r="D66" s="173">
        <f t="shared" si="14"/>
        <v>23376488.43</v>
      </c>
      <c r="E66" s="172">
        <f t="shared" si="16"/>
        <v>221957.57</v>
      </c>
      <c r="F66" s="172">
        <f t="shared" si="17"/>
        <v>540096748.22000003</v>
      </c>
      <c r="G66" s="172">
        <f t="shared" si="15"/>
        <v>516720259.79000002</v>
      </c>
    </row>
    <row r="67" spans="1:7" x14ac:dyDescent="0.25">
      <c r="A67" s="36">
        <v>41877</v>
      </c>
      <c r="B67" s="168">
        <f t="shared" si="12"/>
        <v>1</v>
      </c>
      <c r="C67" s="172">
        <f t="shared" si="13"/>
        <v>23598446</v>
      </c>
      <c r="D67" s="173">
        <f t="shared" si="14"/>
        <v>23386095.210000001</v>
      </c>
      <c r="E67" s="172">
        <f t="shared" si="16"/>
        <v>212350.79</v>
      </c>
      <c r="F67" s="172">
        <f t="shared" si="17"/>
        <v>516720259.79000002</v>
      </c>
      <c r="G67" s="172">
        <f t="shared" si="15"/>
        <v>493334164.58000004</v>
      </c>
    </row>
    <row r="68" spans="1:7" x14ac:dyDescent="0.25">
      <c r="A68" s="36">
        <v>41878</v>
      </c>
      <c r="B68" s="168">
        <f t="shared" si="12"/>
        <v>1</v>
      </c>
      <c r="C68" s="172">
        <f t="shared" si="13"/>
        <v>23598446</v>
      </c>
      <c r="D68" s="173">
        <f t="shared" si="14"/>
        <v>23395705.93</v>
      </c>
      <c r="E68" s="172">
        <f t="shared" si="16"/>
        <v>202740.07</v>
      </c>
      <c r="F68" s="172">
        <f t="shared" si="17"/>
        <v>493334164.58000004</v>
      </c>
      <c r="G68" s="172">
        <f t="shared" si="15"/>
        <v>469938458.65000004</v>
      </c>
    </row>
    <row r="69" spans="1:7" x14ac:dyDescent="0.25">
      <c r="A69" s="36">
        <v>41879</v>
      </c>
      <c r="B69" s="168">
        <f t="shared" si="12"/>
        <v>1</v>
      </c>
      <c r="C69" s="172">
        <f t="shared" si="13"/>
        <v>23598446</v>
      </c>
      <c r="D69" s="173">
        <f t="shared" si="14"/>
        <v>23405320.609999999</v>
      </c>
      <c r="E69" s="172">
        <f t="shared" si="16"/>
        <v>193125.39</v>
      </c>
      <c r="F69" s="172">
        <f t="shared" si="17"/>
        <v>469938458.65000004</v>
      </c>
      <c r="G69" s="172">
        <f t="shared" si="15"/>
        <v>446533138.04000002</v>
      </c>
    </row>
    <row r="70" spans="1:7" x14ac:dyDescent="0.25">
      <c r="A70" s="36">
        <v>41880</v>
      </c>
      <c r="B70" s="168">
        <f t="shared" si="12"/>
        <v>1</v>
      </c>
      <c r="C70" s="172">
        <f t="shared" si="13"/>
        <v>23598446</v>
      </c>
      <c r="D70" s="173">
        <f t="shared" si="14"/>
        <v>23414939.23</v>
      </c>
      <c r="E70" s="172">
        <f t="shared" si="16"/>
        <v>183506.77</v>
      </c>
      <c r="F70" s="172">
        <f t="shared" si="17"/>
        <v>446533138.04000002</v>
      </c>
      <c r="G70" s="172">
        <f t="shared" si="15"/>
        <v>423118198.81</v>
      </c>
    </row>
    <row r="71" spans="1:7" x14ac:dyDescent="0.25">
      <c r="A71" s="36">
        <v>41881</v>
      </c>
      <c r="B71" s="168">
        <f t="shared" si="12"/>
        <v>1</v>
      </c>
      <c r="C71" s="172">
        <f t="shared" si="13"/>
        <v>23598446</v>
      </c>
      <c r="D71" s="173">
        <f t="shared" si="14"/>
        <v>23424561.809999999</v>
      </c>
      <c r="E71" s="172">
        <f t="shared" si="16"/>
        <v>173884.19</v>
      </c>
      <c r="F71" s="172">
        <f t="shared" si="17"/>
        <v>423118198.81</v>
      </c>
      <c r="G71" s="172">
        <f t="shared" si="15"/>
        <v>399693637</v>
      </c>
    </row>
    <row r="72" spans="1:7" x14ac:dyDescent="0.25">
      <c r="A72" s="36">
        <v>41882</v>
      </c>
      <c r="B72" s="168">
        <f t="shared" si="12"/>
        <v>1</v>
      </c>
      <c r="C72" s="172">
        <f t="shared" si="13"/>
        <v>23598446</v>
      </c>
      <c r="D72" s="48">
        <f t="shared" si="14"/>
        <v>23434188.34</v>
      </c>
      <c r="E72" s="68">
        <f t="shared" si="16"/>
        <v>164257.66</v>
      </c>
      <c r="F72" s="47">
        <f t="shared" si="17"/>
        <v>399693637</v>
      </c>
      <c r="G72" s="172">
        <f t="shared" si="15"/>
        <v>376259448.66000003</v>
      </c>
    </row>
    <row r="73" spans="1:7" x14ac:dyDescent="0.25">
      <c r="A73" s="36">
        <v>41883</v>
      </c>
      <c r="B73" s="168">
        <f t="shared" si="12"/>
        <v>1</v>
      </c>
      <c r="C73" s="172">
        <f t="shared" si="13"/>
        <v>23598446</v>
      </c>
      <c r="D73" s="48">
        <f t="shared" si="14"/>
        <v>23443818.829999998</v>
      </c>
      <c r="E73" s="68">
        <f t="shared" si="16"/>
        <v>154627.17000000001</v>
      </c>
      <c r="F73" s="47">
        <f t="shared" si="17"/>
        <v>376259448.66000003</v>
      </c>
      <c r="G73" s="172">
        <f t="shared" si="15"/>
        <v>352815629.83000004</v>
      </c>
    </row>
    <row r="74" spans="1:7" x14ac:dyDescent="0.25">
      <c r="A74" s="179">
        <v>41884</v>
      </c>
      <c r="B74" s="169">
        <f t="shared" si="12"/>
        <v>1</v>
      </c>
      <c r="C74" s="170">
        <f>$J$2</f>
        <v>23223884</v>
      </c>
      <c r="D74" s="171">
        <f t="shared" si="14"/>
        <v>23081192.649999999</v>
      </c>
      <c r="E74" s="170">
        <f t="shared" si="16"/>
        <v>142691.35</v>
      </c>
      <c r="F74" s="170">
        <f>G73-L1</f>
        <v>347215629.83000004</v>
      </c>
      <c r="G74" s="170">
        <f t="shared" si="15"/>
        <v>324134437.18000007</v>
      </c>
    </row>
    <row r="75" spans="1:7" x14ac:dyDescent="0.25">
      <c r="A75" s="36">
        <v>41885</v>
      </c>
      <c r="B75" s="168">
        <f t="shared" si="12"/>
        <v>1</v>
      </c>
      <c r="C75" s="172">
        <f t="shared" ref="C75:C88" si="18">$J$2</f>
        <v>23223884</v>
      </c>
      <c r="D75" s="48">
        <f t="shared" si="14"/>
        <v>23090678.07</v>
      </c>
      <c r="E75" s="68">
        <f t="shared" si="16"/>
        <v>133205.93</v>
      </c>
      <c r="F75" s="47">
        <f t="shared" si="17"/>
        <v>324134437.18000007</v>
      </c>
      <c r="G75" s="172">
        <f t="shared" si="15"/>
        <v>301043759.11000007</v>
      </c>
    </row>
    <row r="76" spans="1:7" x14ac:dyDescent="0.25">
      <c r="A76" s="36">
        <v>41886</v>
      </c>
      <c r="B76" s="168">
        <f t="shared" si="12"/>
        <v>1</v>
      </c>
      <c r="C76" s="172">
        <f t="shared" si="18"/>
        <v>23223884</v>
      </c>
      <c r="D76" s="48">
        <f t="shared" si="14"/>
        <v>23100167.390000001</v>
      </c>
      <c r="E76" s="68">
        <f t="shared" si="16"/>
        <v>123716.61</v>
      </c>
      <c r="F76" s="47">
        <f t="shared" si="17"/>
        <v>301043759.11000007</v>
      </c>
      <c r="G76" s="172">
        <f t="shared" si="15"/>
        <v>277943591.72000009</v>
      </c>
    </row>
    <row r="77" spans="1:7" x14ac:dyDescent="0.25">
      <c r="A77" s="36">
        <v>41887</v>
      </c>
      <c r="B77" s="168">
        <f t="shared" si="12"/>
        <v>1</v>
      </c>
      <c r="C77" s="172">
        <f t="shared" si="18"/>
        <v>23223884</v>
      </c>
      <c r="D77" s="48">
        <f t="shared" si="14"/>
        <v>23109660.609999999</v>
      </c>
      <c r="E77" s="68">
        <f t="shared" si="16"/>
        <v>114223.39</v>
      </c>
      <c r="F77" s="47">
        <f t="shared" si="17"/>
        <v>277943591.72000009</v>
      </c>
      <c r="G77" s="172">
        <f t="shared" si="15"/>
        <v>254833931.11000007</v>
      </c>
    </row>
    <row r="78" spans="1:7" x14ac:dyDescent="0.25">
      <c r="A78" s="36">
        <v>41888</v>
      </c>
      <c r="B78" s="168">
        <f t="shared" si="12"/>
        <v>1</v>
      </c>
      <c r="C78" s="172">
        <f t="shared" si="18"/>
        <v>23223884</v>
      </c>
      <c r="D78" s="48">
        <f t="shared" si="14"/>
        <v>23119157.73</v>
      </c>
      <c r="E78" s="68">
        <f t="shared" si="16"/>
        <v>104726.27</v>
      </c>
      <c r="F78" s="47">
        <f t="shared" si="17"/>
        <v>254833931.11000007</v>
      </c>
      <c r="G78" s="172">
        <f t="shared" si="15"/>
        <v>231714773.38000008</v>
      </c>
    </row>
    <row r="79" spans="1:7" x14ac:dyDescent="0.25">
      <c r="A79" s="36">
        <v>41889</v>
      </c>
      <c r="B79" s="168">
        <f t="shared" si="12"/>
        <v>1</v>
      </c>
      <c r="C79" s="172">
        <f t="shared" si="18"/>
        <v>23223884</v>
      </c>
      <c r="D79" s="48">
        <f t="shared" si="14"/>
        <v>23128658.75</v>
      </c>
      <c r="E79" s="68">
        <f t="shared" si="16"/>
        <v>95225.25</v>
      </c>
      <c r="F79" s="47">
        <f t="shared" si="17"/>
        <v>231714773.38000008</v>
      </c>
      <c r="G79" s="172">
        <f t="shared" si="15"/>
        <v>208586114.63000008</v>
      </c>
    </row>
    <row r="80" spans="1:7" x14ac:dyDescent="0.25">
      <c r="A80" s="36">
        <v>41890</v>
      </c>
      <c r="B80" s="168">
        <f t="shared" si="12"/>
        <v>1</v>
      </c>
      <c r="C80" s="172">
        <f t="shared" si="18"/>
        <v>23223884</v>
      </c>
      <c r="D80" s="48">
        <f t="shared" si="14"/>
        <v>23138163.68</v>
      </c>
      <c r="E80" s="68">
        <f t="shared" si="16"/>
        <v>85720.320000000007</v>
      </c>
      <c r="F80" s="47">
        <f t="shared" si="17"/>
        <v>208586114.63000008</v>
      </c>
      <c r="G80" s="172">
        <f t="shared" si="15"/>
        <v>185447950.95000008</v>
      </c>
    </row>
    <row r="81" spans="1:7" x14ac:dyDescent="0.25">
      <c r="A81" s="36">
        <v>41891</v>
      </c>
      <c r="B81" s="168">
        <f t="shared" si="12"/>
        <v>1</v>
      </c>
      <c r="C81" s="172">
        <f t="shared" si="18"/>
        <v>23223884</v>
      </c>
      <c r="D81" s="48">
        <f t="shared" si="14"/>
        <v>23147672.510000002</v>
      </c>
      <c r="E81" s="68">
        <f t="shared" si="16"/>
        <v>76211.490000000005</v>
      </c>
      <c r="F81" s="47">
        <f t="shared" si="17"/>
        <v>185447950.95000008</v>
      </c>
      <c r="G81" s="172">
        <f t="shared" si="15"/>
        <v>162300278.44000009</v>
      </c>
    </row>
    <row r="82" spans="1:7" x14ac:dyDescent="0.25">
      <c r="A82" s="36">
        <v>41892</v>
      </c>
      <c r="B82" s="168">
        <f t="shared" si="12"/>
        <v>1</v>
      </c>
      <c r="C82" s="172">
        <f t="shared" si="18"/>
        <v>23223884</v>
      </c>
      <c r="D82" s="48">
        <f t="shared" si="14"/>
        <v>23157185.260000002</v>
      </c>
      <c r="E82" s="68">
        <f t="shared" si="16"/>
        <v>66698.740000000005</v>
      </c>
      <c r="F82" s="47">
        <f t="shared" si="17"/>
        <v>162300278.44000009</v>
      </c>
      <c r="G82" s="172">
        <f t="shared" si="15"/>
        <v>139143093.1800001</v>
      </c>
    </row>
    <row r="83" spans="1:7" x14ac:dyDescent="0.25">
      <c r="A83" s="36">
        <v>41893</v>
      </c>
      <c r="B83" s="168">
        <f t="shared" si="12"/>
        <v>1</v>
      </c>
      <c r="C83" s="172">
        <f t="shared" si="18"/>
        <v>23223884</v>
      </c>
      <c r="D83" s="48">
        <f t="shared" si="14"/>
        <v>23166701.91</v>
      </c>
      <c r="E83" s="68">
        <f t="shared" si="16"/>
        <v>57182.09</v>
      </c>
      <c r="F83" s="47">
        <f t="shared" si="17"/>
        <v>139143093.1800001</v>
      </c>
      <c r="G83" s="172">
        <f t="shared" si="15"/>
        <v>115976391.2700001</v>
      </c>
    </row>
    <row r="84" spans="1:7" x14ac:dyDescent="0.25">
      <c r="A84" s="36">
        <v>41894</v>
      </c>
      <c r="B84" s="168">
        <f t="shared" si="12"/>
        <v>1</v>
      </c>
      <c r="C84" s="172">
        <f t="shared" si="18"/>
        <v>23223884</v>
      </c>
      <c r="D84" s="48">
        <f t="shared" si="14"/>
        <v>23176222.469999999</v>
      </c>
      <c r="E84" s="68">
        <f t="shared" si="16"/>
        <v>47661.53</v>
      </c>
      <c r="F84" s="47">
        <f t="shared" si="17"/>
        <v>115976391.2700001</v>
      </c>
      <c r="G84" s="172">
        <f t="shared" si="15"/>
        <v>92800168.800000101</v>
      </c>
    </row>
    <row r="85" spans="1:7" x14ac:dyDescent="0.25">
      <c r="A85" s="36">
        <v>41895</v>
      </c>
      <c r="B85" s="168">
        <f t="shared" si="12"/>
        <v>1</v>
      </c>
      <c r="C85" s="172">
        <f t="shared" si="18"/>
        <v>23223884</v>
      </c>
      <c r="D85" s="48">
        <f t="shared" si="14"/>
        <v>23185746.940000001</v>
      </c>
      <c r="E85" s="68">
        <f t="shared" si="16"/>
        <v>38137.06</v>
      </c>
      <c r="F85" s="47">
        <f t="shared" si="17"/>
        <v>92800168.800000101</v>
      </c>
      <c r="G85" s="172">
        <f t="shared" si="15"/>
        <v>69614421.860000104</v>
      </c>
    </row>
    <row r="86" spans="1:7" x14ac:dyDescent="0.25">
      <c r="A86" s="36">
        <v>41896</v>
      </c>
      <c r="B86" s="168">
        <f t="shared" si="12"/>
        <v>1</v>
      </c>
      <c r="C86" s="172">
        <f t="shared" si="18"/>
        <v>23223884</v>
      </c>
      <c r="D86" s="48">
        <f t="shared" si="14"/>
        <v>23195275.329999998</v>
      </c>
      <c r="E86" s="68">
        <f t="shared" si="16"/>
        <v>28608.67</v>
      </c>
      <c r="F86" s="47">
        <f t="shared" si="17"/>
        <v>69614421.860000104</v>
      </c>
      <c r="G86" s="172">
        <f t="shared" si="15"/>
        <v>46419146.530000106</v>
      </c>
    </row>
    <row r="87" spans="1:7" x14ac:dyDescent="0.25">
      <c r="A87" s="36">
        <v>41897</v>
      </c>
      <c r="B87" s="168">
        <f t="shared" si="12"/>
        <v>1</v>
      </c>
      <c r="C87" s="172">
        <f t="shared" si="18"/>
        <v>23223884</v>
      </c>
      <c r="D87" s="48">
        <f t="shared" si="14"/>
        <v>23204807.640000001</v>
      </c>
      <c r="E87" s="68">
        <f t="shared" si="16"/>
        <v>19076.36</v>
      </c>
      <c r="F87" s="47">
        <f t="shared" si="17"/>
        <v>46419146.530000106</v>
      </c>
      <c r="G87" s="172">
        <f t="shared" si="15"/>
        <v>23214338.890000105</v>
      </c>
    </row>
    <row r="88" spans="1:7" x14ac:dyDescent="0.25">
      <c r="A88" s="36">
        <v>41898</v>
      </c>
      <c r="B88" s="168">
        <f t="shared" si="12"/>
        <v>1</v>
      </c>
      <c r="C88" s="172">
        <f t="shared" si="18"/>
        <v>23223884</v>
      </c>
      <c r="D88" s="48">
        <f t="shared" si="14"/>
        <v>23214338.890000105</v>
      </c>
      <c r="E88" s="68">
        <v>9545.1099998944992</v>
      </c>
      <c r="F88" s="47">
        <f t="shared" si="17"/>
        <v>23214338.890000105</v>
      </c>
      <c r="G88" s="172">
        <f t="shared" si="15"/>
        <v>0</v>
      </c>
    </row>
  </sheetData>
  <pageMargins left="0.7" right="0.7" top="0.75" bottom="0.75" header="0.3" footer="0.3"/>
  <pageSetup orientation="portrait" r:id="rId1"/>
</worksheet>
</file>

<file path=xl/worksheets/sheet1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DC4E43-57CD-4B67-8112-7131C10BD91F}">
  <dimension ref="A1:L87"/>
  <sheetViews>
    <sheetView zoomScale="86" zoomScaleNormal="80" workbookViewId="0">
      <pane ySplit="3" topLeftCell="A67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3.7109375" bestFit="1" customWidth="1"/>
    <col min="10" max="10" width="17" customWidth="1"/>
    <col min="11" max="11" width="18.28515625" customWidth="1"/>
    <col min="12" max="12" width="15" customWidth="1"/>
  </cols>
  <sheetData>
    <row r="1" spans="1:12" x14ac:dyDescent="0.25">
      <c r="A1" s="17" t="s">
        <v>33</v>
      </c>
      <c r="B1" s="78">
        <v>41856</v>
      </c>
      <c r="C1" s="17" t="s">
        <v>37</v>
      </c>
      <c r="D1" s="79">
        <f>ROUNDUP(24316.5073810815,0)</f>
        <v>24317</v>
      </c>
      <c r="E1" s="83" t="s">
        <v>446</v>
      </c>
      <c r="F1" s="218">
        <v>0.2</v>
      </c>
      <c r="G1" s="83" t="s">
        <v>52</v>
      </c>
      <c r="H1" s="81">
        <v>41903</v>
      </c>
      <c r="I1" s="73" t="s">
        <v>125</v>
      </c>
      <c r="J1" s="74">
        <v>41913</v>
      </c>
      <c r="K1" s="77" t="s">
        <v>127</v>
      </c>
      <c r="L1" s="79">
        <f>ROUNDUP(24279.1476134217,0)</f>
        <v>24280</v>
      </c>
    </row>
    <row r="2" spans="1:12" x14ac:dyDescent="0.25">
      <c r="A2" s="75" t="s">
        <v>34</v>
      </c>
      <c r="B2" s="76">
        <v>0.15</v>
      </c>
      <c r="C2" s="167">
        <v>1000000</v>
      </c>
      <c r="G2" s="83" t="s">
        <v>127</v>
      </c>
      <c r="H2" s="83">
        <f>ROUNDUP(24359.4073004651,0)</f>
        <v>24360</v>
      </c>
      <c r="I2" s="77" t="s">
        <v>446</v>
      </c>
      <c r="J2" s="219">
        <v>0.05</v>
      </c>
    </row>
    <row r="3" spans="1:12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2" x14ac:dyDescent="0.25">
      <c r="A4" s="36">
        <v>41887</v>
      </c>
      <c r="B4" s="46">
        <f>A4-B1</f>
        <v>31</v>
      </c>
      <c r="C4" s="47">
        <f>$D$1</f>
        <v>24317</v>
      </c>
      <c r="D4" s="48">
        <f t="shared" ref="D4:D67" si="0">C4-E4</f>
        <v>11577.27</v>
      </c>
      <c r="E4" s="68">
        <f>ROUND(F4*$B$2*B4/365,2)</f>
        <v>12739.73</v>
      </c>
      <c r="F4" s="47">
        <f>C2</f>
        <v>1000000</v>
      </c>
      <c r="G4" s="47">
        <f>F4-D4</f>
        <v>988422.73</v>
      </c>
    </row>
    <row r="5" spans="1:12" x14ac:dyDescent="0.25">
      <c r="A5" s="36">
        <v>41888</v>
      </c>
      <c r="B5" s="46">
        <f>A5-A4</f>
        <v>1</v>
      </c>
      <c r="C5" s="47">
        <f>$D$1</f>
        <v>24317</v>
      </c>
      <c r="D5" s="48">
        <f t="shared" si="0"/>
        <v>23910.799999999999</v>
      </c>
      <c r="E5" s="68">
        <f t="shared" ref="E5:E44" si="1">ROUND(F5*$B$2*B5/365,2)</f>
        <v>406.2</v>
      </c>
      <c r="F5" s="47">
        <f t="shared" ref="F5:F45" si="2">G4</f>
        <v>988422.73</v>
      </c>
      <c r="G5" s="47">
        <f>F5-D5</f>
        <v>964511.92999999993</v>
      </c>
    </row>
    <row r="6" spans="1:12" x14ac:dyDescent="0.25">
      <c r="A6" s="36">
        <v>41889</v>
      </c>
      <c r="B6" s="46">
        <f t="shared" ref="B6:B45" si="3">A6-A5</f>
        <v>1</v>
      </c>
      <c r="C6" s="47">
        <f t="shared" ref="C6:C45" si="4">$D$1</f>
        <v>24317</v>
      </c>
      <c r="D6" s="48">
        <f t="shared" si="0"/>
        <v>23920.63</v>
      </c>
      <c r="E6" s="68">
        <f t="shared" si="1"/>
        <v>396.37</v>
      </c>
      <c r="F6" s="47">
        <f t="shared" si="2"/>
        <v>964511.92999999993</v>
      </c>
      <c r="G6" s="47">
        <f t="shared" ref="G6:G45" si="5">F6-D6</f>
        <v>940591.29999999993</v>
      </c>
    </row>
    <row r="7" spans="1:12" x14ac:dyDescent="0.25">
      <c r="A7" s="36">
        <v>41890</v>
      </c>
      <c r="B7" s="46">
        <f t="shared" si="3"/>
        <v>1</v>
      </c>
      <c r="C7" s="47">
        <f t="shared" si="4"/>
        <v>24317</v>
      </c>
      <c r="D7" s="48">
        <f t="shared" si="0"/>
        <v>23930.46</v>
      </c>
      <c r="E7" s="68">
        <f t="shared" si="1"/>
        <v>386.54</v>
      </c>
      <c r="F7" s="47">
        <f t="shared" si="2"/>
        <v>940591.29999999993</v>
      </c>
      <c r="G7" s="47">
        <f t="shared" si="5"/>
        <v>916660.84</v>
      </c>
    </row>
    <row r="8" spans="1:12" x14ac:dyDescent="0.25">
      <c r="A8" s="36">
        <v>41891</v>
      </c>
      <c r="B8" s="46">
        <f t="shared" si="3"/>
        <v>1</v>
      </c>
      <c r="C8" s="47">
        <f t="shared" si="4"/>
        <v>24317</v>
      </c>
      <c r="D8" s="48">
        <f t="shared" si="0"/>
        <v>23940.29</v>
      </c>
      <c r="E8" s="68">
        <f t="shared" si="1"/>
        <v>376.71</v>
      </c>
      <c r="F8" s="47">
        <f t="shared" si="2"/>
        <v>916660.84</v>
      </c>
      <c r="G8" s="47">
        <f t="shared" si="5"/>
        <v>892720.54999999993</v>
      </c>
    </row>
    <row r="9" spans="1:12" x14ac:dyDescent="0.25">
      <c r="A9" s="36">
        <v>41892</v>
      </c>
      <c r="B9" s="46">
        <f t="shared" si="3"/>
        <v>1</v>
      </c>
      <c r="C9" s="47">
        <f t="shared" si="4"/>
        <v>24317</v>
      </c>
      <c r="D9" s="48">
        <f t="shared" si="0"/>
        <v>23950.13</v>
      </c>
      <c r="E9" s="68">
        <f t="shared" si="1"/>
        <v>366.87</v>
      </c>
      <c r="F9" s="47">
        <f t="shared" si="2"/>
        <v>892720.54999999993</v>
      </c>
      <c r="G9" s="47">
        <f t="shared" si="5"/>
        <v>868770.41999999993</v>
      </c>
    </row>
    <row r="10" spans="1:12" x14ac:dyDescent="0.25">
      <c r="A10" s="36">
        <v>41893</v>
      </c>
      <c r="B10" s="46">
        <f t="shared" si="3"/>
        <v>1</v>
      </c>
      <c r="C10" s="47">
        <f t="shared" si="4"/>
        <v>24317</v>
      </c>
      <c r="D10" s="48">
        <f t="shared" si="0"/>
        <v>23959.97</v>
      </c>
      <c r="E10" s="68">
        <f t="shared" si="1"/>
        <v>357.03</v>
      </c>
      <c r="F10" s="47">
        <f t="shared" si="2"/>
        <v>868770.41999999993</v>
      </c>
      <c r="G10" s="47">
        <f t="shared" si="5"/>
        <v>844810.45</v>
      </c>
    </row>
    <row r="11" spans="1:12" x14ac:dyDescent="0.25">
      <c r="A11" s="36">
        <v>41894</v>
      </c>
      <c r="B11" s="46">
        <f t="shared" si="3"/>
        <v>1</v>
      </c>
      <c r="C11" s="47">
        <f t="shared" si="4"/>
        <v>24317</v>
      </c>
      <c r="D11" s="48">
        <f t="shared" si="0"/>
        <v>23969.82</v>
      </c>
      <c r="E11" s="68">
        <f t="shared" si="1"/>
        <v>347.18</v>
      </c>
      <c r="F11" s="47">
        <f t="shared" si="2"/>
        <v>844810.45</v>
      </c>
      <c r="G11" s="47">
        <f t="shared" si="5"/>
        <v>820840.63</v>
      </c>
    </row>
    <row r="12" spans="1:12" x14ac:dyDescent="0.25">
      <c r="A12" s="36">
        <v>41895</v>
      </c>
      <c r="B12" s="46">
        <f t="shared" si="3"/>
        <v>1</v>
      </c>
      <c r="C12" s="47">
        <f t="shared" si="4"/>
        <v>24317</v>
      </c>
      <c r="D12" s="48">
        <f t="shared" si="0"/>
        <v>23979.67</v>
      </c>
      <c r="E12" s="68">
        <f t="shared" si="1"/>
        <v>337.33</v>
      </c>
      <c r="F12" s="47">
        <f t="shared" si="2"/>
        <v>820840.63</v>
      </c>
      <c r="G12" s="47">
        <f t="shared" si="5"/>
        <v>796860.96</v>
      </c>
    </row>
    <row r="13" spans="1:12" x14ac:dyDescent="0.25">
      <c r="A13" s="36">
        <v>41896</v>
      </c>
      <c r="B13" s="46">
        <f t="shared" si="3"/>
        <v>1</v>
      </c>
      <c r="C13" s="47">
        <f t="shared" si="4"/>
        <v>24317</v>
      </c>
      <c r="D13" s="48">
        <f t="shared" si="0"/>
        <v>23989.52</v>
      </c>
      <c r="E13" s="68">
        <f t="shared" si="1"/>
        <v>327.48</v>
      </c>
      <c r="F13" s="47">
        <f t="shared" si="2"/>
        <v>796860.96</v>
      </c>
      <c r="G13" s="47">
        <f t="shared" si="5"/>
        <v>772871.44</v>
      </c>
    </row>
    <row r="14" spans="1:12" x14ac:dyDescent="0.25">
      <c r="A14" s="36">
        <v>41897</v>
      </c>
      <c r="B14" s="46">
        <f t="shared" si="3"/>
        <v>1</v>
      </c>
      <c r="C14" s="47">
        <f t="shared" si="4"/>
        <v>24317</v>
      </c>
      <c r="D14" s="48">
        <f t="shared" si="0"/>
        <v>23999.38</v>
      </c>
      <c r="E14" s="68">
        <f t="shared" si="1"/>
        <v>317.62</v>
      </c>
      <c r="F14" s="47">
        <f t="shared" si="2"/>
        <v>772871.44</v>
      </c>
      <c r="G14" s="47">
        <f t="shared" si="5"/>
        <v>748872.05999999994</v>
      </c>
    </row>
    <row r="15" spans="1:12" x14ac:dyDescent="0.25">
      <c r="A15" s="36">
        <v>41898</v>
      </c>
      <c r="B15" s="46">
        <f t="shared" si="3"/>
        <v>1</v>
      </c>
      <c r="C15" s="47">
        <f t="shared" si="4"/>
        <v>24317</v>
      </c>
      <c r="D15" s="48">
        <f t="shared" si="0"/>
        <v>24009.24</v>
      </c>
      <c r="E15" s="68">
        <f t="shared" si="1"/>
        <v>307.76</v>
      </c>
      <c r="F15" s="47">
        <f t="shared" si="2"/>
        <v>748872.05999999994</v>
      </c>
      <c r="G15" s="47">
        <f t="shared" si="5"/>
        <v>724862.82</v>
      </c>
    </row>
    <row r="16" spans="1:12" x14ac:dyDescent="0.25">
      <c r="A16" s="36">
        <v>41899</v>
      </c>
      <c r="B16" s="46">
        <f t="shared" si="3"/>
        <v>1</v>
      </c>
      <c r="C16" s="47">
        <f t="shared" si="4"/>
        <v>24317</v>
      </c>
      <c r="D16" s="48">
        <f t="shared" si="0"/>
        <v>24019.11</v>
      </c>
      <c r="E16" s="68">
        <f t="shared" si="1"/>
        <v>297.89</v>
      </c>
      <c r="F16" s="47">
        <f t="shared" si="2"/>
        <v>724862.82</v>
      </c>
      <c r="G16" s="47">
        <f t="shared" si="5"/>
        <v>700843.71</v>
      </c>
    </row>
    <row r="17" spans="1:7" x14ac:dyDescent="0.25">
      <c r="A17" s="36">
        <v>41900</v>
      </c>
      <c r="B17" s="46">
        <f t="shared" si="3"/>
        <v>1</v>
      </c>
      <c r="C17" s="47">
        <f t="shared" si="4"/>
        <v>24317</v>
      </c>
      <c r="D17" s="48">
        <f t="shared" si="0"/>
        <v>24028.98</v>
      </c>
      <c r="E17" s="68">
        <f t="shared" si="1"/>
        <v>288.02</v>
      </c>
      <c r="F17" s="47">
        <f t="shared" si="2"/>
        <v>700843.71</v>
      </c>
      <c r="G17" s="47">
        <f t="shared" si="5"/>
        <v>676814.73</v>
      </c>
    </row>
    <row r="18" spans="1:7" x14ac:dyDescent="0.25">
      <c r="A18" s="36">
        <v>41901</v>
      </c>
      <c r="B18" s="46">
        <f t="shared" si="3"/>
        <v>1</v>
      </c>
      <c r="C18" s="47">
        <f t="shared" si="4"/>
        <v>24317</v>
      </c>
      <c r="D18" s="48">
        <f t="shared" si="0"/>
        <v>24038.86</v>
      </c>
      <c r="E18" s="68">
        <f t="shared" si="1"/>
        <v>278.14</v>
      </c>
      <c r="F18" s="47">
        <f t="shared" si="2"/>
        <v>676814.73</v>
      </c>
      <c r="G18" s="47">
        <f t="shared" si="5"/>
        <v>652775.87</v>
      </c>
    </row>
    <row r="19" spans="1:7" x14ac:dyDescent="0.25">
      <c r="A19" s="36">
        <v>41902</v>
      </c>
      <c r="B19" s="46">
        <f t="shared" si="3"/>
        <v>1</v>
      </c>
      <c r="C19" s="47">
        <f t="shared" si="4"/>
        <v>24317</v>
      </c>
      <c r="D19" s="48">
        <f t="shared" si="0"/>
        <v>24048.74</v>
      </c>
      <c r="E19" s="68">
        <f t="shared" si="1"/>
        <v>268.26</v>
      </c>
      <c r="F19" s="47">
        <f t="shared" si="2"/>
        <v>652775.87</v>
      </c>
      <c r="G19" s="47">
        <f t="shared" si="5"/>
        <v>628727.13</v>
      </c>
    </row>
    <row r="20" spans="1:7" x14ac:dyDescent="0.25">
      <c r="A20" s="36">
        <v>41903</v>
      </c>
      <c r="B20" s="46">
        <f t="shared" si="3"/>
        <v>1</v>
      </c>
      <c r="C20" s="47">
        <f t="shared" si="4"/>
        <v>24317</v>
      </c>
      <c r="D20" s="48">
        <f t="shared" si="0"/>
        <v>24058.62</v>
      </c>
      <c r="E20" s="68">
        <f t="shared" si="1"/>
        <v>258.38</v>
      </c>
      <c r="F20" s="47">
        <f t="shared" si="2"/>
        <v>628727.13</v>
      </c>
      <c r="G20" s="47">
        <f t="shared" si="5"/>
        <v>604668.51</v>
      </c>
    </row>
    <row r="21" spans="1:7" x14ac:dyDescent="0.25">
      <c r="A21" s="36">
        <v>41904</v>
      </c>
      <c r="B21" s="46">
        <f t="shared" si="3"/>
        <v>1</v>
      </c>
      <c r="C21" s="47">
        <f t="shared" si="4"/>
        <v>24317</v>
      </c>
      <c r="D21" s="48">
        <f t="shared" si="0"/>
        <v>24068.51</v>
      </c>
      <c r="E21" s="68">
        <f t="shared" si="1"/>
        <v>248.49</v>
      </c>
      <c r="F21" s="47">
        <f t="shared" si="2"/>
        <v>604668.51</v>
      </c>
      <c r="G21" s="47">
        <f t="shared" si="5"/>
        <v>580600</v>
      </c>
    </row>
    <row r="22" spans="1:7" x14ac:dyDescent="0.25">
      <c r="A22" s="36">
        <v>41905</v>
      </c>
      <c r="B22" s="46">
        <f t="shared" si="3"/>
        <v>1</v>
      </c>
      <c r="C22" s="47">
        <f t="shared" si="4"/>
        <v>24317</v>
      </c>
      <c r="D22" s="48">
        <f t="shared" si="0"/>
        <v>24078.400000000001</v>
      </c>
      <c r="E22" s="68">
        <f t="shared" si="1"/>
        <v>238.6</v>
      </c>
      <c r="F22" s="47">
        <f t="shared" si="2"/>
        <v>580600</v>
      </c>
      <c r="G22" s="47">
        <f t="shared" si="5"/>
        <v>556521.6</v>
      </c>
    </row>
    <row r="23" spans="1:7" x14ac:dyDescent="0.25">
      <c r="A23" s="36">
        <v>41906</v>
      </c>
      <c r="B23" s="46">
        <f t="shared" si="3"/>
        <v>1</v>
      </c>
      <c r="C23" s="47">
        <f t="shared" si="4"/>
        <v>24317</v>
      </c>
      <c r="D23" s="48">
        <f t="shared" si="0"/>
        <v>24088.29</v>
      </c>
      <c r="E23" s="68">
        <f t="shared" si="1"/>
        <v>228.71</v>
      </c>
      <c r="F23" s="47">
        <f t="shared" si="2"/>
        <v>556521.6</v>
      </c>
      <c r="G23" s="47">
        <f t="shared" si="5"/>
        <v>532433.30999999994</v>
      </c>
    </row>
    <row r="24" spans="1:7" x14ac:dyDescent="0.25">
      <c r="A24" s="36">
        <v>41907</v>
      </c>
      <c r="B24" s="46">
        <f t="shared" si="3"/>
        <v>1</v>
      </c>
      <c r="C24" s="47">
        <f t="shared" si="4"/>
        <v>24317</v>
      </c>
      <c r="D24" s="48">
        <f t="shared" si="0"/>
        <v>24098.19</v>
      </c>
      <c r="E24" s="68">
        <f t="shared" si="1"/>
        <v>218.81</v>
      </c>
      <c r="F24" s="47">
        <f t="shared" si="2"/>
        <v>532433.30999999994</v>
      </c>
      <c r="G24" s="47">
        <f t="shared" si="5"/>
        <v>508335.11999999994</v>
      </c>
    </row>
    <row r="25" spans="1:7" x14ac:dyDescent="0.25">
      <c r="A25" s="36">
        <v>41908</v>
      </c>
      <c r="B25" s="46">
        <f t="shared" si="3"/>
        <v>1</v>
      </c>
      <c r="C25" s="47">
        <f t="shared" si="4"/>
        <v>24317</v>
      </c>
      <c r="D25" s="48">
        <f t="shared" si="0"/>
        <v>24108.1</v>
      </c>
      <c r="E25" s="68">
        <f t="shared" si="1"/>
        <v>208.9</v>
      </c>
      <c r="F25" s="47">
        <f t="shared" si="2"/>
        <v>508335.11999999994</v>
      </c>
      <c r="G25" s="47">
        <f t="shared" si="5"/>
        <v>484227.01999999996</v>
      </c>
    </row>
    <row r="26" spans="1:7" x14ac:dyDescent="0.25">
      <c r="A26" s="36">
        <v>41909</v>
      </c>
      <c r="B26" s="46">
        <f t="shared" si="3"/>
        <v>1</v>
      </c>
      <c r="C26" s="47">
        <f t="shared" si="4"/>
        <v>24317</v>
      </c>
      <c r="D26" s="48">
        <f t="shared" si="0"/>
        <v>24118</v>
      </c>
      <c r="E26" s="68">
        <f t="shared" si="1"/>
        <v>199</v>
      </c>
      <c r="F26" s="47">
        <f t="shared" si="2"/>
        <v>484227.01999999996</v>
      </c>
      <c r="G26" s="47">
        <f t="shared" si="5"/>
        <v>460109.01999999996</v>
      </c>
    </row>
    <row r="27" spans="1:7" x14ac:dyDescent="0.25">
      <c r="A27" s="36">
        <v>41910</v>
      </c>
      <c r="B27" s="46">
        <f t="shared" si="3"/>
        <v>1</v>
      </c>
      <c r="C27" s="47">
        <f t="shared" si="4"/>
        <v>24317</v>
      </c>
      <c r="D27" s="48">
        <f t="shared" si="0"/>
        <v>24127.91</v>
      </c>
      <c r="E27" s="68">
        <f t="shared" si="1"/>
        <v>189.09</v>
      </c>
      <c r="F27" s="47">
        <f t="shared" si="2"/>
        <v>460109.01999999996</v>
      </c>
      <c r="G27" s="47">
        <f t="shared" si="5"/>
        <v>435981.11</v>
      </c>
    </row>
    <row r="28" spans="1:7" x14ac:dyDescent="0.25">
      <c r="A28" s="36">
        <v>41911</v>
      </c>
      <c r="B28" s="46">
        <f t="shared" si="3"/>
        <v>1</v>
      </c>
      <c r="C28" s="47">
        <f t="shared" si="4"/>
        <v>24317</v>
      </c>
      <c r="D28" s="48">
        <f t="shared" si="0"/>
        <v>24137.83</v>
      </c>
      <c r="E28" s="68">
        <f t="shared" si="1"/>
        <v>179.17</v>
      </c>
      <c r="F28" s="47">
        <f t="shared" si="2"/>
        <v>435981.11</v>
      </c>
      <c r="G28" s="47">
        <f t="shared" si="5"/>
        <v>411843.27999999997</v>
      </c>
    </row>
    <row r="29" spans="1:7" x14ac:dyDescent="0.25">
      <c r="A29" s="36">
        <v>41912</v>
      </c>
      <c r="B29" s="46">
        <f t="shared" si="3"/>
        <v>1</v>
      </c>
      <c r="C29" s="47">
        <f t="shared" si="4"/>
        <v>24317</v>
      </c>
      <c r="D29" s="48">
        <f t="shared" si="0"/>
        <v>24147.75</v>
      </c>
      <c r="E29" s="68">
        <f t="shared" si="1"/>
        <v>169.25</v>
      </c>
      <c r="F29" s="47">
        <f t="shared" si="2"/>
        <v>411843.27999999997</v>
      </c>
      <c r="G29" s="47">
        <f t="shared" si="5"/>
        <v>387695.52999999997</v>
      </c>
    </row>
    <row r="30" spans="1:7" x14ac:dyDescent="0.25">
      <c r="A30" s="36">
        <v>41913</v>
      </c>
      <c r="B30" s="46">
        <f t="shared" si="3"/>
        <v>1</v>
      </c>
      <c r="C30" s="47">
        <f t="shared" si="4"/>
        <v>24317</v>
      </c>
      <c r="D30" s="48">
        <f t="shared" si="0"/>
        <v>24157.67</v>
      </c>
      <c r="E30" s="68">
        <f t="shared" si="1"/>
        <v>159.33000000000001</v>
      </c>
      <c r="F30" s="47">
        <f t="shared" si="2"/>
        <v>387695.52999999997</v>
      </c>
      <c r="G30" s="47">
        <f t="shared" si="5"/>
        <v>363537.86</v>
      </c>
    </row>
    <row r="31" spans="1:7" x14ac:dyDescent="0.25">
      <c r="A31" s="36">
        <v>41914</v>
      </c>
      <c r="B31" s="46">
        <f t="shared" si="3"/>
        <v>1</v>
      </c>
      <c r="C31" s="47">
        <f t="shared" si="4"/>
        <v>24317</v>
      </c>
      <c r="D31" s="48">
        <f t="shared" si="0"/>
        <v>24167.599999999999</v>
      </c>
      <c r="E31" s="68">
        <f t="shared" si="1"/>
        <v>149.4</v>
      </c>
      <c r="F31" s="47">
        <f t="shared" si="2"/>
        <v>363537.86</v>
      </c>
      <c r="G31" s="47">
        <f t="shared" si="5"/>
        <v>339370.26</v>
      </c>
    </row>
    <row r="32" spans="1:7" x14ac:dyDescent="0.25">
      <c r="A32" s="36">
        <v>41915</v>
      </c>
      <c r="B32" s="46">
        <f t="shared" si="3"/>
        <v>1</v>
      </c>
      <c r="C32" s="47">
        <f t="shared" si="4"/>
        <v>24317</v>
      </c>
      <c r="D32" s="48">
        <f t="shared" si="0"/>
        <v>24177.53</v>
      </c>
      <c r="E32" s="68">
        <f t="shared" si="1"/>
        <v>139.47</v>
      </c>
      <c r="F32" s="47">
        <f t="shared" si="2"/>
        <v>339370.26</v>
      </c>
      <c r="G32" s="47">
        <f t="shared" si="5"/>
        <v>315192.73</v>
      </c>
    </row>
    <row r="33" spans="1:7" x14ac:dyDescent="0.25">
      <c r="A33" s="36">
        <v>41916</v>
      </c>
      <c r="B33" s="46">
        <f t="shared" si="3"/>
        <v>1</v>
      </c>
      <c r="C33" s="47">
        <f t="shared" si="4"/>
        <v>24317</v>
      </c>
      <c r="D33" s="48">
        <f t="shared" si="0"/>
        <v>24187.47</v>
      </c>
      <c r="E33" s="68">
        <f t="shared" si="1"/>
        <v>129.53</v>
      </c>
      <c r="F33" s="47">
        <f t="shared" si="2"/>
        <v>315192.73</v>
      </c>
      <c r="G33" s="47">
        <f t="shared" si="5"/>
        <v>291005.26</v>
      </c>
    </row>
    <row r="34" spans="1:7" x14ac:dyDescent="0.25">
      <c r="A34" s="36">
        <v>41917</v>
      </c>
      <c r="B34" s="46">
        <f t="shared" si="3"/>
        <v>1</v>
      </c>
      <c r="C34" s="47">
        <f t="shared" si="4"/>
        <v>24317</v>
      </c>
      <c r="D34" s="48">
        <f t="shared" si="0"/>
        <v>24197.41</v>
      </c>
      <c r="E34" s="68">
        <f t="shared" si="1"/>
        <v>119.59</v>
      </c>
      <c r="F34" s="47">
        <f t="shared" si="2"/>
        <v>291005.26</v>
      </c>
      <c r="G34" s="47">
        <f t="shared" si="5"/>
        <v>266807.85000000003</v>
      </c>
    </row>
    <row r="35" spans="1:7" x14ac:dyDescent="0.25">
      <c r="A35" s="36">
        <v>41918</v>
      </c>
      <c r="B35" s="46">
        <f t="shared" si="3"/>
        <v>1</v>
      </c>
      <c r="C35" s="47">
        <f t="shared" si="4"/>
        <v>24317</v>
      </c>
      <c r="D35" s="48">
        <f t="shared" si="0"/>
        <v>24207.35</v>
      </c>
      <c r="E35" s="68">
        <f t="shared" si="1"/>
        <v>109.65</v>
      </c>
      <c r="F35" s="47">
        <f t="shared" si="2"/>
        <v>266807.85000000003</v>
      </c>
      <c r="G35" s="47">
        <f t="shared" si="5"/>
        <v>242600.50000000003</v>
      </c>
    </row>
    <row r="36" spans="1:7" x14ac:dyDescent="0.25">
      <c r="A36" s="36">
        <v>41919</v>
      </c>
      <c r="B36" s="46">
        <f t="shared" si="3"/>
        <v>1</v>
      </c>
      <c r="C36" s="47">
        <f t="shared" si="4"/>
        <v>24317</v>
      </c>
      <c r="D36" s="48">
        <f t="shared" si="0"/>
        <v>24217.3</v>
      </c>
      <c r="E36" s="68">
        <f t="shared" si="1"/>
        <v>99.7</v>
      </c>
      <c r="F36" s="47">
        <f t="shared" si="2"/>
        <v>242600.50000000003</v>
      </c>
      <c r="G36" s="47">
        <f t="shared" si="5"/>
        <v>218383.20000000004</v>
      </c>
    </row>
    <row r="37" spans="1:7" x14ac:dyDescent="0.25">
      <c r="A37" s="36">
        <v>41920</v>
      </c>
      <c r="B37" s="46">
        <f t="shared" si="3"/>
        <v>1</v>
      </c>
      <c r="C37" s="47">
        <f t="shared" si="4"/>
        <v>24317</v>
      </c>
      <c r="D37" s="48">
        <f t="shared" si="0"/>
        <v>24227.25</v>
      </c>
      <c r="E37" s="68">
        <f t="shared" si="1"/>
        <v>89.75</v>
      </c>
      <c r="F37" s="47">
        <f t="shared" si="2"/>
        <v>218383.20000000004</v>
      </c>
      <c r="G37" s="47">
        <f t="shared" si="5"/>
        <v>194155.95000000004</v>
      </c>
    </row>
    <row r="38" spans="1:7" x14ac:dyDescent="0.25">
      <c r="A38" s="36">
        <v>41921</v>
      </c>
      <c r="B38" s="46">
        <f t="shared" si="3"/>
        <v>1</v>
      </c>
      <c r="C38" s="47">
        <f t="shared" si="4"/>
        <v>24317</v>
      </c>
      <c r="D38" s="48">
        <f t="shared" si="0"/>
        <v>24237.21</v>
      </c>
      <c r="E38" s="68">
        <f t="shared" si="1"/>
        <v>79.790000000000006</v>
      </c>
      <c r="F38" s="47">
        <f t="shared" si="2"/>
        <v>194155.95000000004</v>
      </c>
      <c r="G38" s="47">
        <f t="shared" si="5"/>
        <v>169918.74000000005</v>
      </c>
    </row>
    <row r="39" spans="1:7" x14ac:dyDescent="0.25">
      <c r="A39" s="36">
        <v>41922</v>
      </c>
      <c r="B39" s="46">
        <f t="shared" si="3"/>
        <v>1</v>
      </c>
      <c r="C39" s="47">
        <f t="shared" si="4"/>
        <v>24317</v>
      </c>
      <c r="D39" s="48">
        <f t="shared" si="0"/>
        <v>24247.17</v>
      </c>
      <c r="E39" s="68">
        <f t="shared" si="1"/>
        <v>69.83</v>
      </c>
      <c r="F39" s="47">
        <f t="shared" si="2"/>
        <v>169918.74000000005</v>
      </c>
      <c r="G39" s="47">
        <f t="shared" si="5"/>
        <v>145671.57000000007</v>
      </c>
    </row>
    <row r="40" spans="1:7" x14ac:dyDescent="0.25">
      <c r="A40" s="36">
        <v>41923</v>
      </c>
      <c r="B40" s="46">
        <f t="shared" si="3"/>
        <v>1</v>
      </c>
      <c r="C40" s="47">
        <f t="shared" si="4"/>
        <v>24317</v>
      </c>
      <c r="D40" s="48">
        <f t="shared" si="0"/>
        <v>24257.13</v>
      </c>
      <c r="E40" s="68">
        <f t="shared" si="1"/>
        <v>59.87</v>
      </c>
      <c r="F40" s="47">
        <f t="shared" si="2"/>
        <v>145671.57000000007</v>
      </c>
      <c r="G40" s="47">
        <f t="shared" si="5"/>
        <v>121414.44000000006</v>
      </c>
    </row>
    <row r="41" spans="1:7" x14ac:dyDescent="0.25">
      <c r="A41" s="36">
        <v>41924</v>
      </c>
      <c r="B41" s="46">
        <f t="shared" si="3"/>
        <v>1</v>
      </c>
      <c r="C41" s="47">
        <f t="shared" si="4"/>
        <v>24317</v>
      </c>
      <c r="D41" s="48">
        <f t="shared" si="0"/>
        <v>24267.1</v>
      </c>
      <c r="E41" s="68">
        <f t="shared" si="1"/>
        <v>49.9</v>
      </c>
      <c r="F41" s="47">
        <f t="shared" si="2"/>
        <v>121414.44000000006</v>
      </c>
      <c r="G41" s="47">
        <f t="shared" si="5"/>
        <v>97147.340000000055</v>
      </c>
    </row>
    <row r="42" spans="1:7" x14ac:dyDescent="0.25">
      <c r="A42" s="36">
        <v>41925</v>
      </c>
      <c r="B42" s="46">
        <f t="shared" si="3"/>
        <v>1</v>
      </c>
      <c r="C42" s="47">
        <f t="shared" si="4"/>
        <v>24317</v>
      </c>
      <c r="D42" s="48">
        <f t="shared" si="0"/>
        <v>24277.08</v>
      </c>
      <c r="E42" s="68">
        <f t="shared" si="1"/>
        <v>39.92</v>
      </c>
      <c r="F42" s="47">
        <f t="shared" si="2"/>
        <v>97147.340000000055</v>
      </c>
      <c r="G42" s="47">
        <f t="shared" si="5"/>
        <v>72870.260000000053</v>
      </c>
    </row>
    <row r="43" spans="1:7" x14ac:dyDescent="0.25">
      <c r="A43" s="36">
        <v>41926</v>
      </c>
      <c r="B43" s="46">
        <f t="shared" si="3"/>
        <v>1</v>
      </c>
      <c r="C43" s="47">
        <f t="shared" si="4"/>
        <v>24317</v>
      </c>
      <c r="D43" s="48">
        <f t="shared" si="0"/>
        <v>24287.05</v>
      </c>
      <c r="E43" s="68">
        <f t="shared" si="1"/>
        <v>29.95</v>
      </c>
      <c r="F43" s="47">
        <f t="shared" si="2"/>
        <v>72870.260000000053</v>
      </c>
      <c r="G43" s="47">
        <f t="shared" si="5"/>
        <v>48583.21000000005</v>
      </c>
    </row>
    <row r="44" spans="1:7" x14ac:dyDescent="0.25">
      <c r="A44" s="36">
        <v>41927</v>
      </c>
      <c r="B44" s="46">
        <f t="shared" si="3"/>
        <v>1</v>
      </c>
      <c r="C44" s="47">
        <f t="shared" si="4"/>
        <v>24317</v>
      </c>
      <c r="D44" s="48">
        <f t="shared" si="0"/>
        <v>24297.03</v>
      </c>
      <c r="E44" s="68">
        <f t="shared" si="1"/>
        <v>19.97</v>
      </c>
      <c r="F44" s="47">
        <f t="shared" si="2"/>
        <v>48583.21000000005</v>
      </c>
      <c r="G44" s="47">
        <f t="shared" si="5"/>
        <v>24286.180000000051</v>
      </c>
    </row>
    <row r="45" spans="1:7" x14ac:dyDescent="0.25">
      <c r="A45" s="36">
        <v>41928</v>
      </c>
      <c r="B45" s="46">
        <f t="shared" si="3"/>
        <v>1</v>
      </c>
      <c r="C45" s="47">
        <f t="shared" si="4"/>
        <v>24317</v>
      </c>
      <c r="D45" s="48">
        <f t="shared" si="0"/>
        <v>24286.180000000051</v>
      </c>
      <c r="E45" s="68">
        <v>30.819999999949214</v>
      </c>
      <c r="F45" s="47">
        <f t="shared" si="2"/>
        <v>24286.180000000051</v>
      </c>
      <c r="G45" s="47">
        <f t="shared" si="5"/>
        <v>0</v>
      </c>
    </row>
    <row r="46" spans="1:7" x14ac:dyDescent="0.25">
      <c r="A46" s="174">
        <v>41887</v>
      </c>
      <c r="B46" s="175">
        <f>A46-B1</f>
        <v>31</v>
      </c>
      <c r="C46" s="176">
        <f>$D$1</f>
        <v>24317</v>
      </c>
      <c r="D46" s="177">
        <f t="shared" si="0"/>
        <v>11577.27</v>
      </c>
      <c r="E46" s="176">
        <f>ROUND(F46*$B$2*B46/365,2)</f>
        <v>12739.73</v>
      </c>
      <c r="F46" s="176">
        <f>C2</f>
        <v>1000000</v>
      </c>
      <c r="G46" s="176">
        <f>F46-D46</f>
        <v>988422.73</v>
      </c>
    </row>
    <row r="47" spans="1:7" x14ac:dyDescent="0.25">
      <c r="A47" s="36">
        <v>41888</v>
      </c>
      <c r="B47" s="46">
        <f>A47-A46</f>
        <v>1</v>
      </c>
      <c r="C47" s="47">
        <f>$D$1</f>
        <v>24317</v>
      </c>
      <c r="D47" s="48">
        <f t="shared" si="0"/>
        <v>23910.799999999999</v>
      </c>
      <c r="E47" s="68">
        <f>ROUND(F47*$B$2*B47/365,2)</f>
        <v>406.2</v>
      </c>
      <c r="F47" s="47">
        <f t="shared" ref="F47:F87" si="6">G46</f>
        <v>988422.73</v>
      </c>
      <c r="G47" s="47">
        <f>F47-D47</f>
        <v>964511.92999999993</v>
      </c>
    </row>
    <row r="48" spans="1:7" x14ac:dyDescent="0.25">
      <c r="A48" s="36">
        <v>41889</v>
      </c>
      <c r="B48" s="46">
        <f t="shared" ref="B48:B87" si="7">A48-A47</f>
        <v>1</v>
      </c>
      <c r="C48" s="47">
        <f t="shared" ref="C48:C62" si="8">$D$1</f>
        <v>24317</v>
      </c>
      <c r="D48" s="48">
        <f t="shared" si="0"/>
        <v>23920.63</v>
      </c>
      <c r="E48" s="68">
        <f t="shared" ref="E48:E62" si="9">ROUND(F48*$B$2*B48/365,2)</f>
        <v>396.37</v>
      </c>
      <c r="F48" s="47">
        <f t="shared" si="6"/>
        <v>964511.92999999993</v>
      </c>
      <c r="G48" s="47">
        <f t="shared" ref="G48:G87" si="10">F48-D48</f>
        <v>940591.29999999993</v>
      </c>
    </row>
    <row r="49" spans="1:7" x14ac:dyDescent="0.25">
      <c r="A49" s="36">
        <v>41890</v>
      </c>
      <c r="B49" s="46">
        <f t="shared" si="7"/>
        <v>1</v>
      </c>
      <c r="C49" s="47">
        <f t="shared" si="8"/>
        <v>24317</v>
      </c>
      <c r="D49" s="48">
        <f t="shared" si="0"/>
        <v>23930.46</v>
      </c>
      <c r="E49" s="68">
        <f t="shared" si="9"/>
        <v>386.54</v>
      </c>
      <c r="F49" s="47">
        <f t="shared" si="6"/>
        <v>940591.29999999993</v>
      </c>
      <c r="G49" s="47">
        <f t="shared" si="10"/>
        <v>916660.84</v>
      </c>
    </row>
    <row r="50" spans="1:7" x14ac:dyDescent="0.25">
      <c r="A50" s="36">
        <v>41891</v>
      </c>
      <c r="B50" s="46">
        <f t="shared" si="7"/>
        <v>1</v>
      </c>
      <c r="C50" s="47">
        <f t="shared" si="8"/>
        <v>24317</v>
      </c>
      <c r="D50" s="48">
        <f t="shared" si="0"/>
        <v>23940.29</v>
      </c>
      <c r="E50" s="68">
        <f t="shared" si="9"/>
        <v>376.71</v>
      </c>
      <c r="F50" s="47">
        <f t="shared" si="6"/>
        <v>916660.84</v>
      </c>
      <c r="G50" s="47">
        <f t="shared" si="10"/>
        <v>892720.54999999993</v>
      </c>
    </row>
    <row r="51" spans="1:7" x14ac:dyDescent="0.25">
      <c r="A51" s="36">
        <v>41892</v>
      </c>
      <c r="B51" s="46">
        <f t="shared" si="7"/>
        <v>1</v>
      </c>
      <c r="C51" s="47">
        <f t="shared" si="8"/>
        <v>24317</v>
      </c>
      <c r="D51" s="48">
        <f t="shared" si="0"/>
        <v>23950.13</v>
      </c>
      <c r="E51" s="68">
        <f t="shared" si="9"/>
        <v>366.87</v>
      </c>
      <c r="F51" s="47">
        <f t="shared" si="6"/>
        <v>892720.54999999993</v>
      </c>
      <c r="G51" s="47">
        <f t="shared" si="10"/>
        <v>868770.41999999993</v>
      </c>
    </row>
    <row r="52" spans="1:7" x14ac:dyDescent="0.25">
      <c r="A52" s="36">
        <v>41893</v>
      </c>
      <c r="B52" s="46">
        <f t="shared" si="7"/>
        <v>1</v>
      </c>
      <c r="C52" s="47">
        <f t="shared" si="8"/>
        <v>24317</v>
      </c>
      <c r="D52" s="48">
        <f t="shared" si="0"/>
        <v>23959.97</v>
      </c>
      <c r="E52" s="68">
        <f t="shared" si="9"/>
        <v>357.03</v>
      </c>
      <c r="F52" s="47">
        <f t="shared" si="6"/>
        <v>868770.41999999993</v>
      </c>
      <c r="G52" s="47">
        <f t="shared" si="10"/>
        <v>844810.45</v>
      </c>
    </row>
    <row r="53" spans="1:7" x14ac:dyDescent="0.25">
      <c r="A53" s="36">
        <v>41894</v>
      </c>
      <c r="B53" s="46">
        <f t="shared" si="7"/>
        <v>1</v>
      </c>
      <c r="C53" s="47">
        <f t="shared" si="8"/>
        <v>24317</v>
      </c>
      <c r="D53" s="48">
        <f t="shared" si="0"/>
        <v>23969.82</v>
      </c>
      <c r="E53" s="68">
        <f t="shared" si="9"/>
        <v>347.18</v>
      </c>
      <c r="F53" s="47">
        <f t="shared" si="6"/>
        <v>844810.45</v>
      </c>
      <c r="G53" s="47">
        <f t="shared" si="10"/>
        <v>820840.63</v>
      </c>
    </row>
    <row r="54" spans="1:7" x14ac:dyDescent="0.25">
      <c r="A54" s="36">
        <v>41895</v>
      </c>
      <c r="B54" s="46">
        <f t="shared" si="7"/>
        <v>1</v>
      </c>
      <c r="C54" s="47">
        <f t="shared" si="8"/>
        <v>24317</v>
      </c>
      <c r="D54" s="48">
        <f t="shared" si="0"/>
        <v>23979.67</v>
      </c>
      <c r="E54" s="68">
        <f t="shared" si="9"/>
        <v>337.33</v>
      </c>
      <c r="F54" s="47">
        <f t="shared" si="6"/>
        <v>820840.63</v>
      </c>
      <c r="G54" s="47">
        <f t="shared" si="10"/>
        <v>796860.96</v>
      </c>
    </row>
    <row r="55" spans="1:7" x14ac:dyDescent="0.25">
      <c r="A55" s="36">
        <v>41896</v>
      </c>
      <c r="B55" s="46">
        <f t="shared" si="7"/>
        <v>1</v>
      </c>
      <c r="C55" s="47">
        <f t="shared" si="8"/>
        <v>24317</v>
      </c>
      <c r="D55" s="48">
        <f t="shared" si="0"/>
        <v>23989.52</v>
      </c>
      <c r="E55" s="68">
        <f t="shared" si="9"/>
        <v>327.48</v>
      </c>
      <c r="F55" s="47">
        <f t="shared" si="6"/>
        <v>796860.96</v>
      </c>
      <c r="G55" s="47">
        <f t="shared" si="10"/>
        <v>772871.44</v>
      </c>
    </row>
    <row r="56" spans="1:7" x14ac:dyDescent="0.25">
      <c r="A56" s="36">
        <v>41897</v>
      </c>
      <c r="B56" s="46">
        <f t="shared" si="7"/>
        <v>1</v>
      </c>
      <c r="C56" s="47">
        <f t="shared" si="8"/>
        <v>24317</v>
      </c>
      <c r="D56" s="48">
        <f t="shared" si="0"/>
        <v>23999.38</v>
      </c>
      <c r="E56" s="68">
        <f t="shared" si="9"/>
        <v>317.62</v>
      </c>
      <c r="F56" s="47">
        <f t="shared" si="6"/>
        <v>772871.44</v>
      </c>
      <c r="G56" s="47">
        <f t="shared" si="10"/>
        <v>748872.05999999994</v>
      </c>
    </row>
    <row r="57" spans="1:7" x14ac:dyDescent="0.25">
      <c r="A57" s="36">
        <v>41898</v>
      </c>
      <c r="B57" s="46">
        <f t="shared" si="7"/>
        <v>1</v>
      </c>
      <c r="C57" s="47">
        <f t="shared" si="8"/>
        <v>24317</v>
      </c>
      <c r="D57" s="48">
        <f t="shared" si="0"/>
        <v>24009.24</v>
      </c>
      <c r="E57" s="68">
        <f t="shared" si="9"/>
        <v>307.76</v>
      </c>
      <c r="F57" s="47">
        <f t="shared" si="6"/>
        <v>748872.05999999994</v>
      </c>
      <c r="G57" s="47">
        <f t="shared" si="10"/>
        <v>724862.82</v>
      </c>
    </row>
    <row r="58" spans="1:7" x14ac:dyDescent="0.25">
      <c r="A58" s="36">
        <v>41899</v>
      </c>
      <c r="B58" s="46">
        <f t="shared" si="7"/>
        <v>1</v>
      </c>
      <c r="C58" s="47">
        <f t="shared" si="8"/>
        <v>24317</v>
      </c>
      <c r="D58" s="48">
        <f t="shared" si="0"/>
        <v>24019.11</v>
      </c>
      <c r="E58" s="68">
        <f t="shared" si="9"/>
        <v>297.89</v>
      </c>
      <c r="F58" s="47">
        <f t="shared" si="6"/>
        <v>724862.82</v>
      </c>
      <c r="G58" s="47">
        <f t="shared" si="10"/>
        <v>700843.71</v>
      </c>
    </row>
    <row r="59" spans="1:7" x14ac:dyDescent="0.25">
      <c r="A59" s="36">
        <v>41900</v>
      </c>
      <c r="B59" s="46">
        <f t="shared" si="7"/>
        <v>1</v>
      </c>
      <c r="C59" s="47">
        <f t="shared" si="8"/>
        <v>24317</v>
      </c>
      <c r="D59" s="48">
        <f t="shared" si="0"/>
        <v>24028.98</v>
      </c>
      <c r="E59" s="68">
        <f t="shared" si="9"/>
        <v>288.02</v>
      </c>
      <c r="F59" s="47">
        <f t="shared" si="6"/>
        <v>700843.71</v>
      </c>
      <c r="G59" s="47">
        <f t="shared" si="10"/>
        <v>676814.73</v>
      </c>
    </row>
    <row r="60" spans="1:7" x14ac:dyDescent="0.25">
      <c r="A60" s="36">
        <v>41901</v>
      </c>
      <c r="B60" s="46">
        <f t="shared" si="7"/>
        <v>1</v>
      </c>
      <c r="C60" s="47">
        <f t="shared" si="8"/>
        <v>24317</v>
      </c>
      <c r="D60" s="48">
        <f t="shared" si="0"/>
        <v>24038.86</v>
      </c>
      <c r="E60" s="68">
        <f t="shared" si="9"/>
        <v>278.14</v>
      </c>
      <c r="F60" s="47">
        <f t="shared" si="6"/>
        <v>676814.73</v>
      </c>
      <c r="G60" s="47">
        <f t="shared" si="10"/>
        <v>652775.87</v>
      </c>
    </row>
    <row r="61" spans="1:7" x14ac:dyDescent="0.25">
      <c r="A61" s="36">
        <v>41902</v>
      </c>
      <c r="B61" s="46">
        <f t="shared" si="7"/>
        <v>1</v>
      </c>
      <c r="C61" s="47">
        <f t="shared" si="8"/>
        <v>24317</v>
      </c>
      <c r="D61" s="48">
        <f t="shared" si="0"/>
        <v>24048.74</v>
      </c>
      <c r="E61" s="68">
        <f t="shared" si="9"/>
        <v>268.26</v>
      </c>
      <c r="F61" s="47">
        <f t="shared" si="6"/>
        <v>652775.87</v>
      </c>
      <c r="G61" s="47">
        <f t="shared" si="10"/>
        <v>628727.13</v>
      </c>
    </row>
    <row r="62" spans="1:7" x14ac:dyDescent="0.25">
      <c r="A62" s="36">
        <v>41903</v>
      </c>
      <c r="B62" s="46">
        <f t="shared" si="7"/>
        <v>1</v>
      </c>
      <c r="C62" s="47">
        <f t="shared" si="8"/>
        <v>24317</v>
      </c>
      <c r="D62" s="48">
        <f t="shared" si="0"/>
        <v>24058.62</v>
      </c>
      <c r="E62" s="68">
        <f t="shared" si="9"/>
        <v>258.38</v>
      </c>
      <c r="F62" s="47">
        <f t="shared" si="6"/>
        <v>628727.13</v>
      </c>
      <c r="G62" s="47">
        <f t="shared" si="10"/>
        <v>604668.51</v>
      </c>
    </row>
    <row r="63" spans="1:7" x14ac:dyDescent="0.25">
      <c r="A63" s="174">
        <v>41904</v>
      </c>
      <c r="B63" s="175">
        <f t="shared" si="7"/>
        <v>1</v>
      </c>
      <c r="C63" s="176">
        <f>$H$2</f>
        <v>24360</v>
      </c>
      <c r="D63" s="177">
        <f t="shared" si="0"/>
        <v>24028.67</v>
      </c>
      <c r="E63" s="176">
        <f>ROUND(F63*$F$1*B63/365,2)</f>
        <v>331.33</v>
      </c>
      <c r="F63" s="176">
        <f t="shared" si="6"/>
        <v>604668.51</v>
      </c>
      <c r="G63" s="176">
        <f t="shared" si="10"/>
        <v>580639.84</v>
      </c>
    </row>
    <row r="64" spans="1:7" x14ac:dyDescent="0.25">
      <c r="A64" s="36">
        <v>41905</v>
      </c>
      <c r="B64" s="46">
        <f t="shared" si="7"/>
        <v>1</v>
      </c>
      <c r="C64" s="47">
        <f t="shared" ref="C64:C72" si="11">$H$2</f>
        <v>24360</v>
      </c>
      <c r="D64" s="48">
        <f t="shared" si="0"/>
        <v>24041.84</v>
      </c>
      <c r="E64" s="172">
        <f>ROUND(F64*$F$1*B64/365,2)</f>
        <v>318.16000000000003</v>
      </c>
      <c r="F64" s="47">
        <f t="shared" si="6"/>
        <v>580639.84</v>
      </c>
      <c r="G64" s="47">
        <f t="shared" si="10"/>
        <v>556598</v>
      </c>
    </row>
    <row r="65" spans="1:7" x14ac:dyDescent="0.25">
      <c r="A65" s="36">
        <v>41906</v>
      </c>
      <c r="B65" s="46">
        <f t="shared" si="7"/>
        <v>1</v>
      </c>
      <c r="C65" s="47">
        <f t="shared" si="11"/>
        <v>24360</v>
      </c>
      <c r="D65" s="48">
        <f t="shared" si="0"/>
        <v>24055.01</v>
      </c>
      <c r="E65" s="172">
        <f t="shared" ref="E65:E72" si="12">ROUND(F65*$F$1*B65/365,2)</f>
        <v>304.99</v>
      </c>
      <c r="F65" s="47">
        <f t="shared" si="6"/>
        <v>556598</v>
      </c>
      <c r="G65" s="47">
        <f t="shared" si="10"/>
        <v>532542.99</v>
      </c>
    </row>
    <row r="66" spans="1:7" x14ac:dyDescent="0.25">
      <c r="A66" s="36">
        <v>41907</v>
      </c>
      <c r="B66" s="46">
        <f t="shared" si="7"/>
        <v>1</v>
      </c>
      <c r="C66" s="47">
        <f t="shared" si="11"/>
        <v>24360</v>
      </c>
      <c r="D66" s="48">
        <f t="shared" si="0"/>
        <v>24068.2</v>
      </c>
      <c r="E66" s="172">
        <f t="shared" si="12"/>
        <v>291.8</v>
      </c>
      <c r="F66" s="47">
        <f t="shared" si="6"/>
        <v>532542.99</v>
      </c>
      <c r="G66" s="47">
        <f t="shared" si="10"/>
        <v>508474.79</v>
      </c>
    </row>
    <row r="67" spans="1:7" x14ac:dyDescent="0.25">
      <c r="A67" s="36">
        <v>41908</v>
      </c>
      <c r="B67" s="46">
        <f t="shared" si="7"/>
        <v>1</v>
      </c>
      <c r="C67" s="47">
        <f t="shared" si="11"/>
        <v>24360</v>
      </c>
      <c r="D67" s="48">
        <f t="shared" si="0"/>
        <v>24081.38</v>
      </c>
      <c r="E67" s="172">
        <f t="shared" si="12"/>
        <v>278.62</v>
      </c>
      <c r="F67" s="47">
        <f t="shared" si="6"/>
        <v>508474.79</v>
      </c>
      <c r="G67" s="47">
        <f t="shared" si="10"/>
        <v>484393.41</v>
      </c>
    </row>
    <row r="68" spans="1:7" x14ac:dyDescent="0.25">
      <c r="A68" s="36">
        <v>41909</v>
      </c>
      <c r="B68" s="46">
        <f t="shared" si="7"/>
        <v>1</v>
      </c>
      <c r="C68" s="47">
        <f t="shared" si="11"/>
        <v>24360</v>
      </c>
      <c r="D68" s="48">
        <f t="shared" ref="D68:D87" si="13">C68-E68</f>
        <v>24094.58</v>
      </c>
      <c r="E68" s="172">
        <f t="shared" si="12"/>
        <v>265.42</v>
      </c>
      <c r="F68" s="47">
        <f t="shared" si="6"/>
        <v>484393.41</v>
      </c>
      <c r="G68" s="47">
        <f t="shared" si="10"/>
        <v>460298.82999999996</v>
      </c>
    </row>
    <row r="69" spans="1:7" x14ac:dyDescent="0.25">
      <c r="A69" s="36">
        <v>41910</v>
      </c>
      <c r="B69" s="46">
        <f t="shared" si="7"/>
        <v>1</v>
      </c>
      <c r="C69" s="47">
        <f t="shared" si="11"/>
        <v>24360</v>
      </c>
      <c r="D69" s="48">
        <f t="shared" si="13"/>
        <v>24107.78</v>
      </c>
      <c r="E69" s="172">
        <f t="shared" si="12"/>
        <v>252.22</v>
      </c>
      <c r="F69" s="47">
        <f t="shared" si="6"/>
        <v>460298.82999999996</v>
      </c>
      <c r="G69" s="47">
        <f t="shared" si="10"/>
        <v>436191.04999999993</v>
      </c>
    </row>
    <row r="70" spans="1:7" x14ac:dyDescent="0.25">
      <c r="A70" s="36">
        <v>41911</v>
      </c>
      <c r="B70" s="46">
        <f t="shared" si="7"/>
        <v>1</v>
      </c>
      <c r="C70" s="47">
        <f t="shared" si="11"/>
        <v>24360</v>
      </c>
      <c r="D70" s="48">
        <f t="shared" si="13"/>
        <v>24120.99</v>
      </c>
      <c r="E70" s="172">
        <f t="shared" si="12"/>
        <v>239.01</v>
      </c>
      <c r="F70" s="47">
        <f t="shared" si="6"/>
        <v>436191.04999999993</v>
      </c>
      <c r="G70" s="47">
        <f t="shared" si="10"/>
        <v>412070.05999999994</v>
      </c>
    </row>
    <row r="71" spans="1:7" x14ac:dyDescent="0.25">
      <c r="A71" s="36">
        <v>41912</v>
      </c>
      <c r="B71" s="46">
        <f t="shared" si="7"/>
        <v>1</v>
      </c>
      <c r="C71" s="47">
        <f t="shared" si="11"/>
        <v>24360</v>
      </c>
      <c r="D71" s="48">
        <f t="shared" si="13"/>
        <v>24134.21</v>
      </c>
      <c r="E71" s="172">
        <f t="shared" si="12"/>
        <v>225.79</v>
      </c>
      <c r="F71" s="47">
        <f t="shared" si="6"/>
        <v>412070.05999999994</v>
      </c>
      <c r="G71" s="47">
        <f t="shared" si="10"/>
        <v>387935.84999999992</v>
      </c>
    </row>
    <row r="72" spans="1:7" x14ac:dyDescent="0.25">
      <c r="A72" s="36">
        <v>41913</v>
      </c>
      <c r="B72" s="46">
        <f t="shared" si="7"/>
        <v>1</v>
      </c>
      <c r="C72" s="47">
        <f t="shared" si="11"/>
        <v>24360</v>
      </c>
      <c r="D72" s="48">
        <f t="shared" si="13"/>
        <v>24147.43</v>
      </c>
      <c r="E72" s="172">
        <f t="shared" si="12"/>
        <v>212.57</v>
      </c>
      <c r="F72" s="47">
        <f t="shared" si="6"/>
        <v>387935.84999999992</v>
      </c>
      <c r="G72" s="47">
        <f t="shared" si="10"/>
        <v>363788.41999999993</v>
      </c>
    </row>
    <row r="73" spans="1:7" x14ac:dyDescent="0.25">
      <c r="A73" s="179">
        <v>41914</v>
      </c>
      <c r="B73" s="169">
        <f t="shared" si="7"/>
        <v>1</v>
      </c>
      <c r="C73" s="170">
        <f>$L$1</f>
        <v>24280</v>
      </c>
      <c r="D73" s="171">
        <f t="shared" si="13"/>
        <v>24230.17</v>
      </c>
      <c r="E73" s="170">
        <f>ROUND(F73*$J$2*B73/365,2)</f>
        <v>49.83</v>
      </c>
      <c r="F73" s="170">
        <f t="shared" si="6"/>
        <v>363788.41999999993</v>
      </c>
      <c r="G73" s="170">
        <f t="shared" si="10"/>
        <v>339558.24999999994</v>
      </c>
    </row>
    <row r="74" spans="1:7" x14ac:dyDescent="0.25">
      <c r="A74" s="36">
        <v>41915</v>
      </c>
      <c r="B74" s="46">
        <f t="shared" si="7"/>
        <v>1</v>
      </c>
      <c r="C74" s="47">
        <f t="shared" ref="C74:C87" si="14">$L$1</f>
        <v>24280</v>
      </c>
      <c r="D74" s="48">
        <f t="shared" si="13"/>
        <v>24233.49</v>
      </c>
      <c r="E74" s="172">
        <f>ROUND(F74*$J$2*B74/365,2)</f>
        <v>46.51</v>
      </c>
      <c r="F74" s="47">
        <f t="shared" si="6"/>
        <v>339558.24999999994</v>
      </c>
      <c r="G74" s="47">
        <f t="shared" si="10"/>
        <v>315324.75999999995</v>
      </c>
    </row>
    <row r="75" spans="1:7" x14ac:dyDescent="0.25">
      <c r="A75" s="36">
        <v>41916</v>
      </c>
      <c r="B75" s="46">
        <f t="shared" si="7"/>
        <v>1</v>
      </c>
      <c r="C75" s="47">
        <f t="shared" si="14"/>
        <v>24280</v>
      </c>
      <c r="D75" s="48">
        <f t="shared" si="13"/>
        <v>24236.799999999999</v>
      </c>
      <c r="E75" s="172">
        <f t="shared" ref="E75:E86" si="15">ROUND(F75*$J$2*B75/365,2)</f>
        <v>43.2</v>
      </c>
      <c r="F75" s="47">
        <f t="shared" si="6"/>
        <v>315324.75999999995</v>
      </c>
      <c r="G75" s="47">
        <f t="shared" si="10"/>
        <v>291087.95999999996</v>
      </c>
    </row>
    <row r="76" spans="1:7" x14ac:dyDescent="0.25">
      <c r="A76" s="36">
        <v>41917</v>
      </c>
      <c r="B76" s="46">
        <f t="shared" si="7"/>
        <v>1</v>
      </c>
      <c r="C76" s="47">
        <f t="shared" si="14"/>
        <v>24280</v>
      </c>
      <c r="D76" s="48">
        <f t="shared" si="13"/>
        <v>24240.12</v>
      </c>
      <c r="E76" s="172">
        <f t="shared" si="15"/>
        <v>39.880000000000003</v>
      </c>
      <c r="F76" s="47">
        <f t="shared" si="6"/>
        <v>291087.95999999996</v>
      </c>
      <c r="G76" s="47">
        <f t="shared" si="10"/>
        <v>266847.83999999997</v>
      </c>
    </row>
    <row r="77" spans="1:7" x14ac:dyDescent="0.25">
      <c r="A77" s="36">
        <v>41918</v>
      </c>
      <c r="B77" s="46">
        <f t="shared" si="7"/>
        <v>1</v>
      </c>
      <c r="C77" s="47">
        <f t="shared" si="14"/>
        <v>24280</v>
      </c>
      <c r="D77" s="48">
        <f t="shared" si="13"/>
        <v>24243.45</v>
      </c>
      <c r="E77" s="172">
        <f t="shared" si="15"/>
        <v>36.549999999999997</v>
      </c>
      <c r="F77" s="47">
        <f t="shared" si="6"/>
        <v>266847.83999999997</v>
      </c>
      <c r="G77" s="47">
        <f t="shared" si="10"/>
        <v>242604.38999999996</v>
      </c>
    </row>
    <row r="78" spans="1:7" x14ac:dyDescent="0.25">
      <c r="A78" s="36">
        <v>41919</v>
      </c>
      <c r="B78" s="46">
        <f t="shared" si="7"/>
        <v>1</v>
      </c>
      <c r="C78" s="47">
        <f t="shared" si="14"/>
        <v>24280</v>
      </c>
      <c r="D78" s="48">
        <f t="shared" si="13"/>
        <v>24246.77</v>
      </c>
      <c r="E78" s="172">
        <f t="shared" si="15"/>
        <v>33.229999999999997</v>
      </c>
      <c r="F78" s="47">
        <f t="shared" si="6"/>
        <v>242604.38999999996</v>
      </c>
      <c r="G78" s="47">
        <f t="shared" si="10"/>
        <v>218357.61999999997</v>
      </c>
    </row>
    <row r="79" spans="1:7" x14ac:dyDescent="0.25">
      <c r="A79" s="36">
        <v>41920</v>
      </c>
      <c r="B79" s="46">
        <f t="shared" si="7"/>
        <v>1</v>
      </c>
      <c r="C79" s="47">
        <f t="shared" si="14"/>
        <v>24280</v>
      </c>
      <c r="D79" s="48">
        <f t="shared" si="13"/>
        <v>24250.09</v>
      </c>
      <c r="E79" s="172">
        <f t="shared" si="15"/>
        <v>29.91</v>
      </c>
      <c r="F79" s="47">
        <f t="shared" si="6"/>
        <v>218357.61999999997</v>
      </c>
      <c r="G79" s="47">
        <f t="shared" si="10"/>
        <v>194107.52999999997</v>
      </c>
    </row>
    <row r="80" spans="1:7" x14ac:dyDescent="0.25">
      <c r="A80" s="36">
        <v>41921</v>
      </c>
      <c r="B80" s="46">
        <f t="shared" si="7"/>
        <v>1</v>
      </c>
      <c r="C80" s="47">
        <f t="shared" si="14"/>
        <v>24280</v>
      </c>
      <c r="D80" s="48">
        <f t="shared" si="13"/>
        <v>24253.41</v>
      </c>
      <c r="E80" s="172">
        <f t="shared" si="15"/>
        <v>26.59</v>
      </c>
      <c r="F80" s="47">
        <f t="shared" si="6"/>
        <v>194107.52999999997</v>
      </c>
      <c r="G80" s="47">
        <f t="shared" si="10"/>
        <v>169854.11999999997</v>
      </c>
    </row>
    <row r="81" spans="1:7" x14ac:dyDescent="0.25">
      <c r="A81" s="36">
        <v>41922</v>
      </c>
      <c r="B81" s="46">
        <f t="shared" si="7"/>
        <v>1</v>
      </c>
      <c r="C81" s="47">
        <f t="shared" si="14"/>
        <v>24280</v>
      </c>
      <c r="D81" s="48">
        <f t="shared" si="13"/>
        <v>24256.73</v>
      </c>
      <c r="E81" s="172">
        <f t="shared" si="15"/>
        <v>23.27</v>
      </c>
      <c r="F81" s="47">
        <f t="shared" si="6"/>
        <v>169854.11999999997</v>
      </c>
      <c r="G81" s="47">
        <f t="shared" si="10"/>
        <v>145597.38999999996</v>
      </c>
    </row>
    <row r="82" spans="1:7" x14ac:dyDescent="0.25">
      <c r="A82" s="36">
        <v>41923</v>
      </c>
      <c r="B82" s="46">
        <f t="shared" si="7"/>
        <v>1</v>
      </c>
      <c r="C82" s="47">
        <f t="shared" si="14"/>
        <v>24280</v>
      </c>
      <c r="D82" s="48">
        <f t="shared" si="13"/>
        <v>24260.06</v>
      </c>
      <c r="E82" s="172">
        <f t="shared" si="15"/>
        <v>19.940000000000001</v>
      </c>
      <c r="F82" s="47">
        <f t="shared" si="6"/>
        <v>145597.38999999996</v>
      </c>
      <c r="G82" s="47">
        <f t="shared" si="10"/>
        <v>121337.32999999996</v>
      </c>
    </row>
    <row r="83" spans="1:7" x14ac:dyDescent="0.25">
      <c r="A83" s="36">
        <v>41924</v>
      </c>
      <c r="B83" s="46">
        <f t="shared" si="7"/>
        <v>1</v>
      </c>
      <c r="C83" s="47">
        <f t="shared" si="14"/>
        <v>24280</v>
      </c>
      <c r="D83" s="48">
        <f t="shared" si="13"/>
        <v>24263.38</v>
      </c>
      <c r="E83" s="172">
        <f t="shared" si="15"/>
        <v>16.62</v>
      </c>
      <c r="F83" s="47">
        <f t="shared" si="6"/>
        <v>121337.32999999996</v>
      </c>
      <c r="G83" s="47">
        <f t="shared" si="10"/>
        <v>97073.949999999953</v>
      </c>
    </row>
    <row r="84" spans="1:7" x14ac:dyDescent="0.25">
      <c r="A84" s="36">
        <v>41925</v>
      </c>
      <c r="B84" s="46">
        <f t="shared" si="7"/>
        <v>1</v>
      </c>
      <c r="C84" s="47">
        <f t="shared" si="14"/>
        <v>24280</v>
      </c>
      <c r="D84" s="48">
        <f t="shared" si="13"/>
        <v>24266.7</v>
      </c>
      <c r="E84" s="172">
        <f t="shared" si="15"/>
        <v>13.3</v>
      </c>
      <c r="F84" s="47">
        <f t="shared" si="6"/>
        <v>97073.949999999953</v>
      </c>
      <c r="G84" s="47">
        <f t="shared" si="10"/>
        <v>72807.249999999956</v>
      </c>
    </row>
    <row r="85" spans="1:7" x14ac:dyDescent="0.25">
      <c r="A85" s="36">
        <v>41926</v>
      </c>
      <c r="B85" s="46">
        <f t="shared" si="7"/>
        <v>1</v>
      </c>
      <c r="C85" s="47">
        <f t="shared" si="14"/>
        <v>24280</v>
      </c>
      <c r="D85" s="48">
        <f t="shared" si="13"/>
        <v>24270.03</v>
      </c>
      <c r="E85" s="172">
        <f t="shared" si="15"/>
        <v>9.9700000000000006</v>
      </c>
      <c r="F85" s="47">
        <f t="shared" si="6"/>
        <v>72807.249999999956</v>
      </c>
      <c r="G85" s="47">
        <f t="shared" si="10"/>
        <v>48537.219999999958</v>
      </c>
    </row>
    <row r="86" spans="1:7" x14ac:dyDescent="0.25">
      <c r="A86" s="36">
        <v>41927</v>
      </c>
      <c r="B86" s="46">
        <f t="shared" si="7"/>
        <v>1</v>
      </c>
      <c r="C86" s="47">
        <f t="shared" si="14"/>
        <v>24280</v>
      </c>
      <c r="D86" s="48">
        <f t="shared" si="13"/>
        <v>24273.35</v>
      </c>
      <c r="E86" s="172">
        <f t="shared" si="15"/>
        <v>6.65</v>
      </c>
      <c r="F86" s="47">
        <f t="shared" si="6"/>
        <v>48537.219999999958</v>
      </c>
      <c r="G86" s="47">
        <f t="shared" si="10"/>
        <v>24263.869999999959</v>
      </c>
    </row>
    <row r="87" spans="1:7" x14ac:dyDescent="0.25">
      <c r="A87" s="36">
        <v>41928</v>
      </c>
      <c r="B87" s="46">
        <f t="shared" si="7"/>
        <v>1</v>
      </c>
      <c r="C87" s="47">
        <f t="shared" si="14"/>
        <v>24280</v>
      </c>
      <c r="D87" s="48">
        <f t="shared" si="13"/>
        <v>24263.869999999959</v>
      </c>
      <c r="E87" s="172">
        <v>16.130000000041328</v>
      </c>
      <c r="F87" s="47">
        <f t="shared" si="6"/>
        <v>24263.869999999959</v>
      </c>
      <c r="G87" s="47">
        <f t="shared" si="10"/>
        <v>0</v>
      </c>
    </row>
  </sheetData>
  <pageMargins left="0.7" right="0.7" top="0.75" bottom="0.75" header="0.3" footer="0.3"/>
  <pageSetup orientation="portrait" r:id="rId1"/>
</worksheet>
</file>

<file path=xl/worksheets/sheet1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9A92F7-D2D6-47A1-BC1E-DB1F2BAF1029}">
  <dimension ref="A1:L106"/>
  <sheetViews>
    <sheetView zoomScale="86" zoomScaleNormal="80" workbookViewId="0">
      <pane ySplit="3" topLeftCell="A89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9" width="23.7109375" bestFit="1" customWidth="1"/>
    <col min="10" max="10" width="17" customWidth="1"/>
    <col min="11" max="11" width="18.28515625" customWidth="1"/>
    <col min="12" max="12" width="15" customWidth="1"/>
  </cols>
  <sheetData>
    <row r="1" spans="1:12" x14ac:dyDescent="0.25">
      <c r="A1" s="17" t="s">
        <v>33</v>
      </c>
      <c r="B1" s="78">
        <v>41856</v>
      </c>
      <c r="C1" s="17" t="s">
        <v>37</v>
      </c>
      <c r="D1" s="79">
        <f>ROUNDUP(24316.5076042492,0)</f>
        <v>24317</v>
      </c>
      <c r="E1" s="83" t="s">
        <v>447</v>
      </c>
      <c r="F1" s="220">
        <v>36</v>
      </c>
      <c r="G1" s="83" t="s">
        <v>52</v>
      </c>
      <c r="H1" s="81">
        <v>41896</v>
      </c>
      <c r="I1" s="73" t="s">
        <v>125</v>
      </c>
      <c r="J1" s="74">
        <v>41913</v>
      </c>
      <c r="K1" s="77" t="s">
        <v>127</v>
      </c>
      <c r="L1" s="79">
        <f>ROUNDUP(7952.81757451551,0)</f>
        <v>7953</v>
      </c>
    </row>
    <row r="2" spans="1:12" x14ac:dyDescent="0.25">
      <c r="A2" s="75" t="s">
        <v>34</v>
      </c>
      <c r="B2" s="76">
        <v>0.15</v>
      </c>
      <c r="C2" s="167">
        <v>1000000</v>
      </c>
      <c r="G2" s="83" t="s">
        <v>127</v>
      </c>
      <c r="H2" s="83">
        <f>ROUNDUP(29891.024500461,0)</f>
        <v>29892</v>
      </c>
      <c r="I2" s="77" t="s">
        <v>447</v>
      </c>
      <c r="J2" s="221">
        <v>61</v>
      </c>
    </row>
    <row r="3" spans="1:12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</row>
    <row r="4" spans="1:12" x14ac:dyDescent="0.25">
      <c r="A4" s="36">
        <v>41887</v>
      </c>
      <c r="B4" s="46">
        <f>A4-B1</f>
        <v>31</v>
      </c>
      <c r="C4" s="47">
        <f>$D$1</f>
        <v>24317</v>
      </c>
      <c r="D4" s="48">
        <f t="shared" ref="D4:D67" si="0">C4-E4</f>
        <v>11577.27</v>
      </c>
      <c r="E4" s="68">
        <f>ROUND(F4*$B$2*B4/365,2)</f>
        <v>12739.73</v>
      </c>
      <c r="F4" s="47">
        <f>C2</f>
        <v>1000000</v>
      </c>
      <c r="G4" s="47">
        <f>F4-D4</f>
        <v>988422.73</v>
      </c>
    </row>
    <row r="5" spans="1:12" x14ac:dyDescent="0.25">
      <c r="A5" s="36">
        <v>41888</v>
      </c>
      <c r="B5" s="46">
        <f>A5-A4</f>
        <v>1</v>
      </c>
      <c r="C5" s="47">
        <f>$D$1</f>
        <v>24317</v>
      </c>
      <c r="D5" s="48">
        <f t="shared" si="0"/>
        <v>23910.799999999999</v>
      </c>
      <c r="E5" s="68">
        <f t="shared" ref="E5:E44" si="1">ROUND(F5*$B$2*B5/365,2)</f>
        <v>406.2</v>
      </c>
      <c r="F5" s="47">
        <f t="shared" ref="F5:F45" si="2">G4</f>
        <v>988422.73</v>
      </c>
      <c r="G5" s="47">
        <f>F5-D5</f>
        <v>964511.92999999993</v>
      </c>
    </row>
    <row r="6" spans="1:12" x14ac:dyDescent="0.25">
      <c r="A6" s="36">
        <v>41889</v>
      </c>
      <c r="B6" s="46">
        <f t="shared" ref="B6:B45" si="3">A6-A5</f>
        <v>1</v>
      </c>
      <c r="C6" s="47">
        <f t="shared" ref="C6:C45" si="4">$D$1</f>
        <v>24317</v>
      </c>
      <c r="D6" s="48">
        <f t="shared" si="0"/>
        <v>23920.63</v>
      </c>
      <c r="E6" s="68">
        <f t="shared" si="1"/>
        <v>396.37</v>
      </c>
      <c r="F6" s="47">
        <f t="shared" si="2"/>
        <v>964511.92999999993</v>
      </c>
      <c r="G6" s="47">
        <f t="shared" ref="G6:G45" si="5">F6-D6</f>
        <v>940591.29999999993</v>
      </c>
    </row>
    <row r="7" spans="1:12" x14ac:dyDescent="0.25">
      <c r="A7" s="36">
        <v>41890</v>
      </c>
      <c r="B7" s="46">
        <f t="shared" si="3"/>
        <v>1</v>
      </c>
      <c r="C7" s="47">
        <f t="shared" si="4"/>
        <v>24317</v>
      </c>
      <c r="D7" s="48">
        <f t="shared" si="0"/>
        <v>23930.46</v>
      </c>
      <c r="E7" s="68">
        <f t="shared" si="1"/>
        <v>386.54</v>
      </c>
      <c r="F7" s="47">
        <f t="shared" si="2"/>
        <v>940591.29999999993</v>
      </c>
      <c r="G7" s="47">
        <f t="shared" si="5"/>
        <v>916660.84</v>
      </c>
    </row>
    <row r="8" spans="1:12" x14ac:dyDescent="0.25">
      <c r="A8" s="36">
        <v>41891</v>
      </c>
      <c r="B8" s="46">
        <f t="shared" si="3"/>
        <v>1</v>
      </c>
      <c r="C8" s="47">
        <f t="shared" si="4"/>
        <v>24317</v>
      </c>
      <c r="D8" s="48">
        <f t="shared" si="0"/>
        <v>23940.29</v>
      </c>
      <c r="E8" s="68">
        <f t="shared" si="1"/>
        <v>376.71</v>
      </c>
      <c r="F8" s="47">
        <f t="shared" si="2"/>
        <v>916660.84</v>
      </c>
      <c r="G8" s="47">
        <f t="shared" si="5"/>
        <v>892720.54999999993</v>
      </c>
    </row>
    <row r="9" spans="1:12" x14ac:dyDescent="0.25">
      <c r="A9" s="36">
        <v>41892</v>
      </c>
      <c r="B9" s="46">
        <f t="shared" si="3"/>
        <v>1</v>
      </c>
      <c r="C9" s="47">
        <f t="shared" si="4"/>
        <v>24317</v>
      </c>
      <c r="D9" s="48">
        <f t="shared" si="0"/>
        <v>23950.13</v>
      </c>
      <c r="E9" s="68">
        <f t="shared" si="1"/>
        <v>366.87</v>
      </c>
      <c r="F9" s="47">
        <f t="shared" si="2"/>
        <v>892720.54999999993</v>
      </c>
      <c r="G9" s="47">
        <f t="shared" si="5"/>
        <v>868770.41999999993</v>
      </c>
    </row>
    <row r="10" spans="1:12" x14ac:dyDescent="0.25">
      <c r="A10" s="36">
        <v>41893</v>
      </c>
      <c r="B10" s="46">
        <f t="shared" si="3"/>
        <v>1</v>
      </c>
      <c r="C10" s="47">
        <f t="shared" si="4"/>
        <v>24317</v>
      </c>
      <c r="D10" s="48">
        <f t="shared" si="0"/>
        <v>23959.97</v>
      </c>
      <c r="E10" s="68">
        <f t="shared" si="1"/>
        <v>357.03</v>
      </c>
      <c r="F10" s="47">
        <f t="shared" si="2"/>
        <v>868770.41999999993</v>
      </c>
      <c r="G10" s="47">
        <f t="shared" si="5"/>
        <v>844810.45</v>
      </c>
    </row>
    <row r="11" spans="1:12" x14ac:dyDescent="0.25">
      <c r="A11" s="36">
        <v>41894</v>
      </c>
      <c r="B11" s="46">
        <f t="shared" si="3"/>
        <v>1</v>
      </c>
      <c r="C11" s="47">
        <f t="shared" si="4"/>
        <v>24317</v>
      </c>
      <c r="D11" s="48">
        <f t="shared" si="0"/>
        <v>23969.82</v>
      </c>
      <c r="E11" s="68">
        <f t="shared" si="1"/>
        <v>347.18</v>
      </c>
      <c r="F11" s="47">
        <f t="shared" si="2"/>
        <v>844810.45</v>
      </c>
      <c r="G11" s="47">
        <f t="shared" si="5"/>
        <v>820840.63</v>
      </c>
    </row>
    <row r="12" spans="1:12" x14ac:dyDescent="0.25">
      <c r="A12" s="36">
        <v>41895</v>
      </c>
      <c r="B12" s="46">
        <f t="shared" si="3"/>
        <v>1</v>
      </c>
      <c r="C12" s="47">
        <f t="shared" si="4"/>
        <v>24317</v>
      </c>
      <c r="D12" s="48">
        <f t="shared" si="0"/>
        <v>23979.67</v>
      </c>
      <c r="E12" s="68">
        <f t="shared" si="1"/>
        <v>337.33</v>
      </c>
      <c r="F12" s="47">
        <f t="shared" si="2"/>
        <v>820840.63</v>
      </c>
      <c r="G12" s="47">
        <f t="shared" si="5"/>
        <v>796860.96</v>
      </c>
    </row>
    <row r="13" spans="1:12" x14ac:dyDescent="0.25">
      <c r="A13" s="36">
        <v>41896</v>
      </c>
      <c r="B13" s="46">
        <f t="shared" si="3"/>
        <v>1</v>
      </c>
      <c r="C13" s="47">
        <f t="shared" si="4"/>
        <v>24317</v>
      </c>
      <c r="D13" s="48">
        <f t="shared" si="0"/>
        <v>23989.52</v>
      </c>
      <c r="E13" s="68">
        <f t="shared" si="1"/>
        <v>327.48</v>
      </c>
      <c r="F13" s="47">
        <f t="shared" si="2"/>
        <v>796860.96</v>
      </c>
      <c r="G13" s="47">
        <f t="shared" si="5"/>
        <v>772871.44</v>
      </c>
    </row>
    <row r="14" spans="1:12" x14ac:dyDescent="0.25">
      <c r="A14" s="36">
        <v>41897</v>
      </c>
      <c r="B14" s="46">
        <f t="shared" si="3"/>
        <v>1</v>
      </c>
      <c r="C14" s="47">
        <f t="shared" si="4"/>
        <v>24317</v>
      </c>
      <c r="D14" s="48">
        <f t="shared" si="0"/>
        <v>23999.38</v>
      </c>
      <c r="E14" s="68">
        <f t="shared" si="1"/>
        <v>317.62</v>
      </c>
      <c r="F14" s="47">
        <f t="shared" si="2"/>
        <v>772871.44</v>
      </c>
      <c r="G14" s="47">
        <f t="shared" si="5"/>
        <v>748872.05999999994</v>
      </c>
    </row>
    <row r="15" spans="1:12" x14ac:dyDescent="0.25">
      <c r="A15" s="36">
        <v>41898</v>
      </c>
      <c r="B15" s="46">
        <f t="shared" si="3"/>
        <v>1</v>
      </c>
      <c r="C15" s="47">
        <f t="shared" si="4"/>
        <v>24317</v>
      </c>
      <c r="D15" s="48">
        <f t="shared" si="0"/>
        <v>24009.24</v>
      </c>
      <c r="E15" s="68">
        <f t="shared" si="1"/>
        <v>307.76</v>
      </c>
      <c r="F15" s="47">
        <f t="shared" si="2"/>
        <v>748872.05999999994</v>
      </c>
      <c r="G15" s="47">
        <f t="shared" si="5"/>
        <v>724862.82</v>
      </c>
    </row>
    <row r="16" spans="1:12" x14ac:dyDescent="0.25">
      <c r="A16" s="36">
        <v>41899</v>
      </c>
      <c r="B16" s="46">
        <f t="shared" si="3"/>
        <v>1</v>
      </c>
      <c r="C16" s="47">
        <f t="shared" si="4"/>
        <v>24317</v>
      </c>
      <c r="D16" s="48">
        <f t="shared" si="0"/>
        <v>24019.11</v>
      </c>
      <c r="E16" s="68">
        <f t="shared" si="1"/>
        <v>297.89</v>
      </c>
      <c r="F16" s="47">
        <f t="shared" si="2"/>
        <v>724862.82</v>
      </c>
      <c r="G16" s="47">
        <f t="shared" si="5"/>
        <v>700843.71</v>
      </c>
    </row>
    <row r="17" spans="1:7" x14ac:dyDescent="0.25">
      <c r="A17" s="36">
        <v>41900</v>
      </c>
      <c r="B17" s="46">
        <f t="shared" si="3"/>
        <v>1</v>
      </c>
      <c r="C17" s="47">
        <f t="shared" si="4"/>
        <v>24317</v>
      </c>
      <c r="D17" s="48">
        <f t="shared" si="0"/>
        <v>24028.98</v>
      </c>
      <c r="E17" s="68">
        <f t="shared" si="1"/>
        <v>288.02</v>
      </c>
      <c r="F17" s="47">
        <f t="shared" si="2"/>
        <v>700843.71</v>
      </c>
      <c r="G17" s="47">
        <f t="shared" si="5"/>
        <v>676814.73</v>
      </c>
    </row>
    <row r="18" spans="1:7" x14ac:dyDescent="0.25">
      <c r="A18" s="36">
        <v>41901</v>
      </c>
      <c r="B18" s="46">
        <f t="shared" si="3"/>
        <v>1</v>
      </c>
      <c r="C18" s="47">
        <f t="shared" si="4"/>
        <v>24317</v>
      </c>
      <c r="D18" s="48">
        <f t="shared" si="0"/>
        <v>24038.86</v>
      </c>
      <c r="E18" s="68">
        <f t="shared" si="1"/>
        <v>278.14</v>
      </c>
      <c r="F18" s="47">
        <f t="shared" si="2"/>
        <v>676814.73</v>
      </c>
      <c r="G18" s="47">
        <f t="shared" si="5"/>
        <v>652775.87</v>
      </c>
    </row>
    <row r="19" spans="1:7" x14ac:dyDescent="0.25">
      <c r="A19" s="36">
        <v>41902</v>
      </c>
      <c r="B19" s="46">
        <f t="shared" si="3"/>
        <v>1</v>
      </c>
      <c r="C19" s="47">
        <f t="shared" si="4"/>
        <v>24317</v>
      </c>
      <c r="D19" s="48">
        <f t="shared" si="0"/>
        <v>24048.74</v>
      </c>
      <c r="E19" s="68">
        <f t="shared" si="1"/>
        <v>268.26</v>
      </c>
      <c r="F19" s="47">
        <f t="shared" si="2"/>
        <v>652775.87</v>
      </c>
      <c r="G19" s="47">
        <f t="shared" si="5"/>
        <v>628727.13</v>
      </c>
    </row>
    <row r="20" spans="1:7" x14ac:dyDescent="0.25">
      <c r="A20" s="36">
        <v>41903</v>
      </c>
      <c r="B20" s="46">
        <f t="shared" si="3"/>
        <v>1</v>
      </c>
      <c r="C20" s="47">
        <f t="shared" si="4"/>
        <v>24317</v>
      </c>
      <c r="D20" s="48">
        <f t="shared" si="0"/>
        <v>24058.62</v>
      </c>
      <c r="E20" s="68">
        <f t="shared" si="1"/>
        <v>258.38</v>
      </c>
      <c r="F20" s="47">
        <f t="shared" si="2"/>
        <v>628727.13</v>
      </c>
      <c r="G20" s="47">
        <f t="shared" si="5"/>
        <v>604668.51</v>
      </c>
    </row>
    <row r="21" spans="1:7" x14ac:dyDescent="0.25">
      <c r="A21" s="36">
        <v>41904</v>
      </c>
      <c r="B21" s="46">
        <f t="shared" si="3"/>
        <v>1</v>
      </c>
      <c r="C21" s="47">
        <f t="shared" si="4"/>
        <v>24317</v>
      </c>
      <c r="D21" s="48">
        <f t="shared" si="0"/>
        <v>24068.51</v>
      </c>
      <c r="E21" s="68">
        <f t="shared" si="1"/>
        <v>248.49</v>
      </c>
      <c r="F21" s="47">
        <f t="shared" si="2"/>
        <v>604668.51</v>
      </c>
      <c r="G21" s="47">
        <f t="shared" si="5"/>
        <v>580600</v>
      </c>
    </row>
    <row r="22" spans="1:7" x14ac:dyDescent="0.25">
      <c r="A22" s="36">
        <v>41905</v>
      </c>
      <c r="B22" s="46">
        <f t="shared" si="3"/>
        <v>1</v>
      </c>
      <c r="C22" s="47">
        <f t="shared" si="4"/>
        <v>24317</v>
      </c>
      <c r="D22" s="48">
        <f t="shared" si="0"/>
        <v>24078.400000000001</v>
      </c>
      <c r="E22" s="68">
        <f t="shared" si="1"/>
        <v>238.6</v>
      </c>
      <c r="F22" s="47">
        <f t="shared" si="2"/>
        <v>580600</v>
      </c>
      <c r="G22" s="47">
        <f t="shared" si="5"/>
        <v>556521.6</v>
      </c>
    </row>
    <row r="23" spans="1:7" x14ac:dyDescent="0.25">
      <c r="A23" s="36">
        <v>41906</v>
      </c>
      <c r="B23" s="46">
        <f t="shared" si="3"/>
        <v>1</v>
      </c>
      <c r="C23" s="47">
        <f t="shared" si="4"/>
        <v>24317</v>
      </c>
      <c r="D23" s="48">
        <f t="shared" si="0"/>
        <v>24088.29</v>
      </c>
      <c r="E23" s="68">
        <f t="shared" si="1"/>
        <v>228.71</v>
      </c>
      <c r="F23" s="47">
        <f t="shared" si="2"/>
        <v>556521.6</v>
      </c>
      <c r="G23" s="47">
        <f t="shared" si="5"/>
        <v>532433.30999999994</v>
      </c>
    </row>
    <row r="24" spans="1:7" x14ac:dyDescent="0.25">
      <c r="A24" s="36">
        <v>41907</v>
      </c>
      <c r="B24" s="46">
        <f t="shared" si="3"/>
        <v>1</v>
      </c>
      <c r="C24" s="47">
        <f t="shared" si="4"/>
        <v>24317</v>
      </c>
      <c r="D24" s="48">
        <f t="shared" si="0"/>
        <v>24098.19</v>
      </c>
      <c r="E24" s="68">
        <f t="shared" si="1"/>
        <v>218.81</v>
      </c>
      <c r="F24" s="47">
        <f t="shared" si="2"/>
        <v>532433.30999999994</v>
      </c>
      <c r="G24" s="47">
        <f t="shared" si="5"/>
        <v>508335.11999999994</v>
      </c>
    </row>
    <row r="25" spans="1:7" x14ac:dyDescent="0.25">
      <c r="A25" s="36">
        <v>41908</v>
      </c>
      <c r="B25" s="46">
        <f t="shared" si="3"/>
        <v>1</v>
      </c>
      <c r="C25" s="47">
        <f t="shared" si="4"/>
        <v>24317</v>
      </c>
      <c r="D25" s="48">
        <f t="shared" si="0"/>
        <v>24108.1</v>
      </c>
      <c r="E25" s="68">
        <f t="shared" si="1"/>
        <v>208.9</v>
      </c>
      <c r="F25" s="47">
        <f t="shared" si="2"/>
        <v>508335.11999999994</v>
      </c>
      <c r="G25" s="47">
        <f t="shared" si="5"/>
        <v>484227.01999999996</v>
      </c>
    </row>
    <row r="26" spans="1:7" x14ac:dyDescent="0.25">
      <c r="A26" s="36">
        <v>41909</v>
      </c>
      <c r="B26" s="46">
        <f t="shared" si="3"/>
        <v>1</v>
      </c>
      <c r="C26" s="47">
        <f t="shared" si="4"/>
        <v>24317</v>
      </c>
      <c r="D26" s="48">
        <f t="shared" si="0"/>
        <v>24118</v>
      </c>
      <c r="E26" s="68">
        <f t="shared" si="1"/>
        <v>199</v>
      </c>
      <c r="F26" s="47">
        <f t="shared" si="2"/>
        <v>484227.01999999996</v>
      </c>
      <c r="G26" s="47">
        <f t="shared" si="5"/>
        <v>460109.01999999996</v>
      </c>
    </row>
    <row r="27" spans="1:7" x14ac:dyDescent="0.25">
      <c r="A27" s="36">
        <v>41910</v>
      </c>
      <c r="B27" s="46">
        <f t="shared" si="3"/>
        <v>1</v>
      </c>
      <c r="C27" s="47">
        <f t="shared" si="4"/>
        <v>24317</v>
      </c>
      <c r="D27" s="48">
        <f t="shared" si="0"/>
        <v>24127.91</v>
      </c>
      <c r="E27" s="68">
        <f t="shared" si="1"/>
        <v>189.09</v>
      </c>
      <c r="F27" s="47">
        <f t="shared" si="2"/>
        <v>460109.01999999996</v>
      </c>
      <c r="G27" s="47">
        <f t="shared" si="5"/>
        <v>435981.11</v>
      </c>
    </row>
    <row r="28" spans="1:7" x14ac:dyDescent="0.25">
      <c r="A28" s="36">
        <v>41911</v>
      </c>
      <c r="B28" s="46">
        <f t="shared" si="3"/>
        <v>1</v>
      </c>
      <c r="C28" s="47">
        <f t="shared" si="4"/>
        <v>24317</v>
      </c>
      <c r="D28" s="48">
        <f t="shared" si="0"/>
        <v>24137.83</v>
      </c>
      <c r="E28" s="68">
        <f t="shared" si="1"/>
        <v>179.17</v>
      </c>
      <c r="F28" s="47">
        <f t="shared" si="2"/>
        <v>435981.11</v>
      </c>
      <c r="G28" s="47">
        <f t="shared" si="5"/>
        <v>411843.27999999997</v>
      </c>
    </row>
    <row r="29" spans="1:7" x14ac:dyDescent="0.25">
      <c r="A29" s="36">
        <v>41912</v>
      </c>
      <c r="B29" s="46">
        <f t="shared" si="3"/>
        <v>1</v>
      </c>
      <c r="C29" s="47">
        <f t="shared" si="4"/>
        <v>24317</v>
      </c>
      <c r="D29" s="48">
        <f t="shared" si="0"/>
        <v>24147.75</v>
      </c>
      <c r="E29" s="68">
        <f t="shared" si="1"/>
        <v>169.25</v>
      </c>
      <c r="F29" s="47">
        <f t="shared" si="2"/>
        <v>411843.27999999997</v>
      </c>
      <c r="G29" s="47">
        <f t="shared" si="5"/>
        <v>387695.52999999997</v>
      </c>
    </row>
    <row r="30" spans="1:7" x14ac:dyDescent="0.25">
      <c r="A30" s="36">
        <v>41913</v>
      </c>
      <c r="B30" s="46">
        <f t="shared" si="3"/>
        <v>1</v>
      </c>
      <c r="C30" s="47">
        <f t="shared" si="4"/>
        <v>24317</v>
      </c>
      <c r="D30" s="48">
        <f t="shared" si="0"/>
        <v>24157.67</v>
      </c>
      <c r="E30" s="68">
        <f t="shared" si="1"/>
        <v>159.33000000000001</v>
      </c>
      <c r="F30" s="47">
        <f t="shared" si="2"/>
        <v>387695.52999999997</v>
      </c>
      <c r="G30" s="47">
        <f t="shared" si="5"/>
        <v>363537.86</v>
      </c>
    </row>
    <row r="31" spans="1:7" x14ac:dyDescent="0.25">
      <c r="A31" s="36">
        <v>41914</v>
      </c>
      <c r="B31" s="46">
        <f t="shared" si="3"/>
        <v>1</v>
      </c>
      <c r="C31" s="47">
        <f t="shared" si="4"/>
        <v>24317</v>
      </c>
      <c r="D31" s="48">
        <f t="shared" si="0"/>
        <v>24167.599999999999</v>
      </c>
      <c r="E31" s="68">
        <f t="shared" si="1"/>
        <v>149.4</v>
      </c>
      <c r="F31" s="47">
        <f t="shared" si="2"/>
        <v>363537.86</v>
      </c>
      <c r="G31" s="47">
        <f t="shared" si="5"/>
        <v>339370.26</v>
      </c>
    </row>
    <row r="32" spans="1:7" x14ac:dyDescent="0.25">
      <c r="A32" s="36">
        <v>41915</v>
      </c>
      <c r="B32" s="46">
        <f t="shared" si="3"/>
        <v>1</v>
      </c>
      <c r="C32" s="47">
        <f t="shared" si="4"/>
        <v>24317</v>
      </c>
      <c r="D32" s="48">
        <f t="shared" si="0"/>
        <v>24177.53</v>
      </c>
      <c r="E32" s="68">
        <f t="shared" si="1"/>
        <v>139.47</v>
      </c>
      <c r="F32" s="47">
        <f t="shared" si="2"/>
        <v>339370.26</v>
      </c>
      <c r="G32" s="47">
        <f t="shared" si="5"/>
        <v>315192.73</v>
      </c>
    </row>
    <row r="33" spans="1:7" x14ac:dyDescent="0.25">
      <c r="A33" s="36">
        <v>41916</v>
      </c>
      <c r="B33" s="46">
        <f t="shared" si="3"/>
        <v>1</v>
      </c>
      <c r="C33" s="47">
        <f t="shared" si="4"/>
        <v>24317</v>
      </c>
      <c r="D33" s="48">
        <f t="shared" si="0"/>
        <v>24187.47</v>
      </c>
      <c r="E33" s="68">
        <f t="shared" si="1"/>
        <v>129.53</v>
      </c>
      <c r="F33" s="47">
        <f t="shared" si="2"/>
        <v>315192.73</v>
      </c>
      <c r="G33" s="47">
        <f t="shared" si="5"/>
        <v>291005.26</v>
      </c>
    </row>
    <row r="34" spans="1:7" x14ac:dyDescent="0.25">
      <c r="A34" s="36">
        <v>41917</v>
      </c>
      <c r="B34" s="46">
        <f t="shared" si="3"/>
        <v>1</v>
      </c>
      <c r="C34" s="47">
        <f t="shared" si="4"/>
        <v>24317</v>
      </c>
      <c r="D34" s="48">
        <f t="shared" si="0"/>
        <v>24197.41</v>
      </c>
      <c r="E34" s="68">
        <f t="shared" si="1"/>
        <v>119.59</v>
      </c>
      <c r="F34" s="47">
        <f t="shared" si="2"/>
        <v>291005.26</v>
      </c>
      <c r="G34" s="47">
        <f t="shared" si="5"/>
        <v>266807.85000000003</v>
      </c>
    </row>
    <row r="35" spans="1:7" x14ac:dyDescent="0.25">
      <c r="A35" s="36">
        <v>41918</v>
      </c>
      <c r="B35" s="46">
        <f t="shared" si="3"/>
        <v>1</v>
      </c>
      <c r="C35" s="47">
        <f t="shared" si="4"/>
        <v>24317</v>
      </c>
      <c r="D35" s="48">
        <f t="shared" si="0"/>
        <v>24207.35</v>
      </c>
      <c r="E35" s="68">
        <f t="shared" si="1"/>
        <v>109.65</v>
      </c>
      <c r="F35" s="47">
        <f t="shared" si="2"/>
        <v>266807.85000000003</v>
      </c>
      <c r="G35" s="47">
        <f t="shared" si="5"/>
        <v>242600.50000000003</v>
      </c>
    </row>
    <row r="36" spans="1:7" x14ac:dyDescent="0.25">
      <c r="A36" s="36">
        <v>41919</v>
      </c>
      <c r="B36" s="46">
        <f t="shared" si="3"/>
        <v>1</v>
      </c>
      <c r="C36" s="47">
        <f t="shared" si="4"/>
        <v>24317</v>
      </c>
      <c r="D36" s="48">
        <f t="shared" si="0"/>
        <v>24217.3</v>
      </c>
      <c r="E36" s="68">
        <f t="shared" si="1"/>
        <v>99.7</v>
      </c>
      <c r="F36" s="47">
        <f t="shared" si="2"/>
        <v>242600.50000000003</v>
      </c>
      <c r="G36" s="47">
        <f t="shared" si="5"/>
        <v>218383.20000000004</v>
      </c>
    </row>
    <row r="37" spans="1:7" x14ac:dyDescent="0.25">
      <c r="A37" s="36">
        <v>41920</v>
      </c>
      <c r="B37" s="46">
        <f t="shared" si="3"/>
        <v>1</v>
      </c>
      <c r="C37" s="47">
        <f t="shared" si="4"/>
        <v>24317</v>
      </c>
      <c r="D37" s="48">
        <f t="shared" si="0"/>
        <v>24227.25</v>
      </c>
      <c r="E37" s="68">
        <f t="shared" si="1"/>
        <v>89.75</v>
      </c>
      <c r="F37" s="47">
        <f t="shared" si="2"/>
        <v>218383.20000000004</v>
      </c>
      <c r="G37" s="47">
        <f t="shared" si="5"/>
        <v>194155.95000000004</v>
      </c>
    </row>
    <row r="38" spans="1:7" x14ac:dyDescent="0.25">
      <c r="A38" s="36">
        <v>41921</v>
      </c>
      <c r="B38" s="46">
        <f t="shared" si="3"/>
        <v>1</v>
      </c>
      <c r="C38" s="47">
        <f t="shared" si="4"/>
        <v>24317</v>
      </c>
      <c r="D38" s="48">
        <f t="shared" si="0"/>
        <v>24237.21</v>
      </c>
      <c r="E38" s="68">
        <f t="shared" si="1"/>
        <v>79.790000000000006</v>
      </c>
      <c r="F38" s="47">
        <f t="shared" si="2"/>
        <v>194155.95000000004</v>
      </c>
      <c r="G38" s="47">
        <f t="shared" si="5"/>
        <v>169918.74000000005</v>
      </c>
    </row>
    <row r="39" spans="1:7" x14ac:dyDescent="0.25">
      <c r="A39" s="36">
        <v>41922</v>
      </c>
      <c r="B39" s="46">
        <f t="shared" si="3"/>
        <v>1</v>
      </c>
      <c r="C39" s="47">
        <f t="shared" si="4"/>
        <v>24317</v>
      </c>
      <c r="D39" s="48">
        <f t="shared" si="0"/>
        <v>24247.17</v>
      </c>
      <c r="E39" s="68">
        <f t="shared" si="1"/>
        <v>69.83</v>
      </c>
      <c r="F39" s="47">
        <f t="shared" si="2"/>
        <v>169918.74000000005</v>
      </c>
      <c r="G39" s="47">
        <f t="shared" si="5"/>
        <v>145671.57000000007</v>
      </c>
    </row>
    <row r="40" spans="1:7" x14ac:dyDescent="0.25">
      <c r="A40" s="36">
        <v>41923</v>
      </c>
      <c r="B40" s="46">
        <f t="shared" si="3"/>
        <v>1</v>
      </c>
      <c r="C40" s="47">
        <f t="shared" si="4"/>
        <v>24317</v>
      </c>
      <c r="D40" s="48">
        <f t="shared" si="0"/>
        <v>24257.13</v>
      </c>
      <c r="E40" s="68">
        <f t="shared" si="1"/>
        <v>59.87</v>
      </c>
      <c r="F40" s="47">
        <f t="shared" si="2"/>
        <v>145671.57000000007</v>
      </c>
      <c r="G40" s="47">
        <f t="shared" si="5"/>
        <v>121414.44000000006</v>
      </c>
    </row>
    <row r="41" spans="1:7" x14ac:dyDescent="0.25">
      <c r="A41" s="36">
        <v>41924</v>
      </c>
      <c r="B41" s="46">
        <f t="shared" si="3"/>
        <v>1</v>
      </c>
      <c r="C41" s="47">
        <f t="shared" si="4"/>
        <v>24317</v>
      </c>
      <c r="D41" s="48">
        <f t="shared" si="0"/>
        <v>24267.1</v>
      </c>
      <c r="E41" s="68">
        <f t="shared" si="1"/>
        <v>49.9</v>
      </c>
      <c r="F41" s="47">
        <f t="shared" si="2"/>
        <v>121414.44000000006</v>
      </c>
      <c r="G41" s="47">
        <f t="shared" si="5"/>
        <v>97147.340000000055</v>
      </c>
    </row>
    <row r="42" spans="1:7" x14ac:dyDescent="0.25">
      <c r="A42" s="36">
        <v>41925</v>
      </c>
      <c r="B42" s="46">
        <f t="shared" si="3"/>
        <v>1</v>
      </c>
      <c r="C42" s="47">
        <f t="shared" si="4"/>
        <v>24317</v>
      </c>
      <c r="D42" s="48">
        <f t="shared" si="0"/>
        <v>24277.08</v>
      </c>
      <c r="E42" s="68">
        <f t="shared" si="1"/>
        <v>39.92</v>
      </c>
      <c r="F42" s="47">
        <f t="shared" si="2"/>
        <v>97147.340000000055</v>
      </c>
      <c r="G42" s="47">
        <f t="shared" si="5"/>
        <v>72870.260000000053</v>
      </c>
    </row>
    <row r="43" spans="1:7" x14ac:dyDescent="0.25">
      <c r="A43" s="36">
        <v>41926</v>
      </c>
      <c r="B43" s="46">
        <f t="shared" si="3"/>
        <v>1</v>
      </c>
      <c r="C43" s="47">
        <f t="shared" si="4"/>
        <v>24317</v>
      </c>
      <c r="D43" s="48">
        <f t="shared" si="0"/>
        <v>24287.05</v>
      </c>
      <c r="E43" s="68">
        <f t="shared" si="1"/>
        <v>29.95</v>
      </c>
      <c r="F43" s="47">
        <f t="shared" si="2"/>
        <v>72870.260000000053</v>
      </c>
      <c r="G43" s="47">
        <f t="shared" si="5"/>
        <v>48583.21000000005</v>
      </c>
    </row>
    <row r="44" spans="1:7" x14ac:dyDescent="0.25">
      <c r="A44" s="36">
        <v>41927</v>
      </c>
      <c r="B44" s="46">
        <f t="shared" si="3"/>
        <v>1</v>
      </c>
      <c r="C44" s="47">
        <f t="shared" si="4"/>
        <v>24317</v>
      </c>
      <c r="D44" s="48">
        <f t="shared" si="0"/>
        <v>24297.03</v>
      </c>
      <c r="E44" s="68">
        <f t="shared" si="1"/>
        <v>19.97</v>
      </c>
      <c r="F44" s="47">
        <f t="shared" si="2"/>
        <v>48583.21000000005</v>
      </c>
      <c r="G44" s="47">
        <f t="shared" si="5"/>
        <v>24286.180000000051</v>
      </c>
    </row>
    <row r="45" spans="1:7" x14ac:dyDescent="0.25">
      <c r="A45" s="36">
        <v>41928</v>
      </c>
      <c r="B45" s="46">
        <f t="shared" si="3"/>
        <v>1</v>
      </c>
      <c r="C45" s="47">
        <f t="shared" si="4"/>
        <v>24317</v>
      </c>
      <c r="D45" s="48">
        <f t="shared" si="0"/>
        <v>24286.180000000051</v>
      </c>
      <c r="E45" s="68">
        <v>30.819999999949214</v>
      </c>
      <c r="F45" s="47">
        <f t="shared" si="2"/>
        <v>24286.180000000051</v>
      </c>
      <c r="G45" s="47">
        <f t="shared" si="5"/>
        <v>0</v>
      </c>
    </row>
    <row r="46" spans="1:7" x14ac:dyDescent="0.25">
      <c r="A46" s="174">
        <v>41887</v>
      </c>
      <c r="B46" s="175">
        <f>A46-B1</f>
        <v>31</v>
      </c>
      <c r="C46" s="176">
        <f>$D$1</f>
        <v>24317</v>
      </c>
      <c r="D46" s="177">
        <f t="shared" si="0"/>
        <v>11577.27</v>
      </c>
      <c r="E46" s="176">
        <f>ROUND(F46*$B$2*B46/365,2)</f>
        <v>12739.73</v>
      </c>
      <c r="F46" s="176">
        <f>C2</f>
        <v>1000000</v>
      </c>
      <c r="G46" s="176">
        <f>F46-D46</f>
        <v>988422.73</v>
      </c>
    </row>
    <row r="47" spans="1:7" x14ac:dyDescent="0.25">
      <c r="A47" s="36">
        <v>41888</v>
      </c>
      <c r="B47" s="46">
        <f>A47-A46</f>
        <v>1</v>
      </c>
      <c r="C47" s="47">
        <f>$D$1</f>
        <v>24317</v>
      </c>
      <c r="D47" s="48">
        <f t="shared" si="0"/>
        <v>23910.799999999999</v>
      </c>
      <c r="E47" s="68">
        <f>ROUND(F47*$B$2*B47/365,2)</f>
        <v>406.2</v>
      </c>
      <c r="F47" s="47">
        <f t="shared" ref="F47:F106" si="6">G46</f>
        <v>988422.73</v>
      </c>
      <c r="G47" s="47">
        <f>F47-D47</f>
        <v>964511.92999999993</v>
      </c>
    </row>
    <row r="48" spans="1:7" x14ac:dyDescent="0.25">
      <c r="A48" s="36">
        <v>41889</v>
      </c>
      <c r="B48" s="46">
        <f t="shared" ref="B48:B106" si="7">A48-A47</f>
        <v>1</v>
      </c>
      <c r="C48" s="47">
        <f t="shared" ref="C48:C55" si="8">$D$1</f>
        <v>24317</v>
      </c>
      <c r="D48" s="48">
        <f t="shared" si="0"/>
        <v>23920.63</v>
      </c>
      <c r="E48" s="68">
        <f t="shared" ref="E48:E105" si="9">ROUND(F48*$B$2*B48/365,2)</f>
        <v>396.37</v>
      </c>
      <c r="F48" s="47">
        <f t="shared" si="6"/>
        <v>964511.92999999993</v>
      </c>
      <c r="G48" s="47">
        <f t="shared" ref="G48:G106" si="10">F48-D48</f>
        <v>940591.29999999993</v>
      </c>
    </row>
    <row r="49" spans="1:7" x14ac:dyDescent="0.25">
      <c r="A49" s="36">
        <v>41890</v>
      </c>
      <c r="B49" s="46">
        <f t="shared" si="7"/>
        <v>1</v>
      </c>
      <c r="C49" s="47">
        <f t="shared" si="8"/>
        <v>24317</v>
      </c>
      <c r="D49" s="48">
        <f t="shared" si="0"/>
        <v>23930.46</v>
      </c>
      <c r="E49" s="68">
        <f t="shared" si="9"/>
        <v>386.54</v>
      </c>
      <c r="F49" s="47">
        <f t="shared" si="6"/>
        <v>940591.29999999993</v>
      </c>
      <c r="G49" s="47">
        <f t="shared" si="10"/>
        <v>916660.84</v>
      </c>
    </row>
    <row r="50" spans="1:7" x14ac:dyDescent="0.25">
      <c r="A50" s="36">
        <v>41891</v>
      </c>
      <c r="B50" s="46">
        <f t="shared" si="7"/>
        <v>1</v>
      </c>
      <c r="C50" s="47">
        <f t="shared" si="8"/>
        <v>24317</v>
      </c>
      <c r="D50" s="48">
        <f t="shared" si="0"/>
        <v>23940.29</v>
      </c>
      <c r="E50" s="68">
        <f t="shared" si="9"/>
        <v>376.71</v>
      </c>
      <c r="F50" s="47">
        <f t="shared" si="6"/>
        <v>916660.84</v>
      </c>
      <c r="G50" s="47">
        <f t="shared" si="10"/>
        <v>892720.54999999993</v>
      </c>
    </row>
    <row r="51" spans="1:7" x14ac:dyDescent="0.25">
      <c r="A51" s="36">
        <v>41892</v>
      </c>
      <c r="B51" s="46">
        <f t="shared" si="7"/>
        <v>1</v>
      </c>
      <c r="C51" s="47">
        <f t="shared" si="8"/>
        <v>24317</v>
      </c>
      <c r="D51" s="48">
        <f t="shared" si="0"/>
        <v>23950.13</v>
      </c>
      <c r="E51" s="68">
        <f t="shared" si="9"/>
        <v>366.87</v>
      </c>
      <c r="F51" s="47">
        <f t="shared" si="6"/>
        <v>892720.54999999993</v>
      </c>
      <c r="G51" s="47">
        <f t="shared" si="10"/>
        <v>868770.41999999993</v>
      </c>
    </row>
    <row r="52" spans="1:7" x14ac:dyDescent="0.25">
      <c r="A52" s="36">
        <v>41893</v>
      </c>
      <c r="B52" s="46">
        <f t="shared" si="7"/>
        <v>1</v>
      </c>
      <c r="C52" s="47">
        <f t="shared" si="8"/>
        <v>24317</v>
      </c>
      <c r="D52" s="48">
        <f t="shared" si="0"/>
        <v>23959.97</v>
      </c>
      <c r="E52" s="68">
        <f t="shared" si="9"/>
        <v>357.03</v>
      </c>
      <c r="F52" s="47">
        <f t="shared" si="6"/>
        <v>868770.41999999993</v>
      </c>
      <c r="G52" s="47">
        <f t="shared" si="10"/>
        <v>844810.45</v>
      </c>
    </row>
    <row r="53" spans="1:7" x14ac:dyDescent="0.25">
      <c r="A53" s="36">
        <v>41894</v>
      </c>
      <c r="B53" s="46">
        <f t="shared" si="7"/>
        <v>1</v>
      </c>
      <c r="C53" s="47">
        <f t="shared" si="8"/>
        <v>24317</v>
      </c>
      <c r="D53" s="48">
        <f t="shared" si="0"/>
        <v>23969.82</v>
      </c>
      <c r="E53" s="68">
        <f t="shared" si="9"/>
        <v>347.18</v>
      </c>
      <c r="F53" s="47">
        <f t="shared" si="6"/>
        <v>844810.45</v>
      </c>
      <c r="G53" s="47">
        <f t="shared" si="10"/>
        <v>820840.63</v>
      </c>
    </row>
    <row r="54" spans="1:7" x14ac:dyDescent="0.25">
      <c r="A54" s="36">
        <v>41895</v>
      </c>
      <c r="B54" s="46">
        <f t="shared" si="7"/>
        <v>1</v>
      </c>
      <c r="C54" s="47">
        <f t="shared" si="8"/>
        <v>24317</v>
      </c>
      <c r="D54" s="48">
        <f t="shared" si="0"/>
        <v>23979.67</v>
      </c>
      <c r="E54" s="68">
        <f t="shared" si="9"/>
        <v>337.33</v>
      </c>
      <c r="F54" s="47">
        <f t="shared" si="6"/>
        <v>820840.63</v>
      </c>
      <c r="G54" s="47">
        <f t="shared" si="10"/>
        <v>796860.96</v>
      </c>
    </row>
    <row r="55" spans="1:7" x14ac:dyDescent="0.25">
      <c r="A55" s="36">
        <v>41896</v>
      </c>
      <c r="B55" s="46">
        <f t="shared" si="7"/>
        <v>1</v>
      </c>
      <c r="C55" s="47">
        <f t="shared" si="8"/>
        <v>24317</v>
      </c>
      <c r="D55" s="48">
        <f t="shared" si="0"/>
        <v>23989.52</v>
      </c>
      <c r="E55" s="68">
        <f t="shared" si="9"/>
        <v>327.48</v>
      </c>
      <c r="F55" s="47">
        <f t="shared" si="6"/>
        <v>796860.96</v>
      </c>
      <c r="G55" s="47">
        <f t="shared" si="10"/>
        <v>772871.44</v>
      </c>
    </row>
    <row r="56" spans="1:7" x14ac:dyDescent="0.25">
      <c r="A56" s="179">
        <v>41897</v>
      </c>
      <c r="B56" s="169">
        <f t="shared" si="7"/>
        <v>1</v>
      </c>
      <c r="C56" s="170">
        <f>$H$2</f>
        <v>29892</v>
      </c>
      <c r="D56" s="171">
        <f t="shared" si="0"/>
        <v>29574.38</v>
      </c>
      <c r="E56" s="170">
        <f t="shared" si="9"/>
        <v>317.62</v>
      </c>
      <c r="F56" s="170">
        <f t="shared" si="6"/>
        <v>772871.44</v>
      </c>
      <c r="G56" s="170">
        <f t="shared" si="10"/>
        <v>743297.05999999994</v>
      </c>
    </row>
    <row r="57" spans="1:7" x14ac:dyDescent="0.25">
      <c r="A57" s="29">
        <v>41898</v>
      </c>
      <c r="B57" s="168">
        <f t="shared" si="7"/>
        <v>1</v>
      </c>
      <c r="C57" s="172">
        <f>$H$2</f>
        <v>29892</v>
      </c>
      <c r="D57" s="173">
        <f t="shared" si="0"/>
        <v>29586.54</v>
      </c>
      <c r="E57" s="172">
        <f t="shared" si="9"/>
        <v>305.45999999999998</v>
      </c>
      <c r="F57" s="172">
        <f t="shared" si="6"/>
        <v>743297.05999999994</v>
      </c>
      <c r="G57" s="172">
        <f t="shared" si="10"/>
        <v>713710.5199999999</v>
      </c>
    </row>
    <row r="58" spans="1:7" x14ac:dyDescent="0.25">
      <c r="A58" s="29">
        <v>41899</v>
      </c>
      <c r="B58" s="168">
        <f t="shared" si="7"/>
        <v>1</v>
      </c>
      <c r="C58" s="172">
        <f t="shared" ref="C58:C72" si="11">$H$2</f>
        <v>29892</v>
      </c>
      <c r="D58" s="173">
        <f t="shared" si="0"/>
        <v>29598.69</v>
      </c>
      <c r="E58" s="172">
        <f t="shared" si="9"/>
        <v>293.31</v>
      </c>
      <c r="F58" s="172">
        <f t="shared" si="6"/>
        <v>713710.5199999999</v>
      </c>
      <c r="G58" s="172">
        <f t="shared" si="10"/>
        <v>684111.83</v>
      </c>
    </row>
    <row r="59" spans="1:7" x14ac:dyDescent="0.25">
      <c r="A59" s="29">
        <v>41900</v>
      </c>
      <c r="B59" s="168">
        <f t="shared" si="7"/>
        <v>1</v>
      </c>
      <c r="C59" s="172">
        <f t="shared" si="11"/>
        <v>29892</v>
      </c>
      <c r="D59" s="173">
        <f t="shared" si="0"/>
        <v>29610.86</v>
      </c>
      <c r="E59" s="172">
        <f t="shared" si="9"/>
        <v>281.14</v>
      </c>
      <c r="F59" s="172">
        <f t="shared" si="6"/>
        <v>684111.83</v>
      </c>
      <c r="G59" s="172">
        <f t="shared" si="10"/>
        <v>654500.97</v>
      </c>
    </row>
    <row r="60" spans="1:7" x14ac:dyDescent="0.25">
      <c r="A60" s="29">
        <v>41901</v>
      </c>
      <c r="B60" s="168">
        <f t="shared" si="7"/>
        <v>1</v>
      </c>
      <c r="C60" s="172">
        <f t="shared" si="11"/>
        <v>29892</v>
      </c>
      <c r="D60" s="173">
        <f t="shared" si="0"/>
        <v>29623.03</v>
      </c>
      <c r="E60" s="172">
        <f t="shared" si="9"/>
        <v>268.97000000000003</v>
      </c>
      <c r="F60" s="172">
        <f t="shared" si="6"/>
        <v>654500.97</v>
      </c>
      <c r="G60" s="172">
        <f t="shared" si="10"/>
        <v>624877.93999999994</v>
      </c>
    </row>
    <row r="61" spans="1:7" x14ac:dyDescent="0.25">
      <c r="A61" s="29">
        <v>41902</v>
      </c>
      <c r="B61" s="168">
        <f t="shared" si="7"/>
        <v>1</v>
      </c>
      <c r="C61" s="172">
        <f t="shared" si="11"/>
        <v>29892</v>
      </c>
      <c r="D61" s="173">
        <f t="shared" si="0"/>
        <v>29635.200000000001</v>
      </c>
      <c r="E61" s="172">
        <f t="shared" si="9"/>
        <v>256.8</v>
      </c>
      <c r="F61" s="172">
        <f t="shared" si="6"/>
        <v>624877.93999999994</v>
      </c>
      <c r="G61" s="172">
        <f t="shared" si="10"/>
        <v>595242.74</v>
      </c>
    </row>
    <row r="62" spans="1:7" x14ac:dyDescent="0.25">
      <c r="A62" s="29">
        <v>41903</v>
      </c>
      <c r="B62" s="168">
        <f t="shared" si="7"/>
        <v>1</v>
      </c>
      <c r="C62" s="172">
        <f t="shared" si="11"/>
        <v>29892</v>
      </c>
      <c r="D62" s="173">
        <f t="shared" si="0"/>
        <v>29647.38</v>
      </c>
      <c r="E62" s="172">
        <f t="shared" si="9"/>
        <v>244.62</v>
      </c>
      <c r="F62" s="172">
        <f t="shared" si="6"/>
        <v>595242.74</v>
      </c>
      <c r="G62" s="172">
        <f t="shared" si="10"/>
        <v>565595.36</v>
      </c>
    </row>
    <row r="63" spans="1:7" x14ac:dyDescent="0.25">
      <c r="A63" s="29">
        <v>41904</v>
      </c>
      <c r="B63" s="168">
        <f t="shared" si="7"/>
        <v>1</v>
      </c>
      <c r="C63" s="172">
        <f t="shared" si="11"/>
        <v>29892</v>
      </c>
      <c r="D63" s="173">
        <f t="shared" si="0"/>
        <v>29659.56</v>
      </c>
      <c r="E63" s="172">
        <f t="shared" si="9"/>
        <v>232.44</v>
      </c>
      <c r="F63" s="172">
        <f t="shared" si="6"/>
        <v>565595.36</v>
      </c>
      <c r="G63" s="172">
        <f t="shared" si="10"/>
        <v>535935.79999999993</v>
      </c>
    </row>
    <row r="64" spans="1:7" x14ac:dyDescent="0.25">
      <c r="A64" s="29">
        <v>41905</v>
      </c>
      <c r="B64" s="168">
        <f t="shared" si="7"/>
        <v>1</v>
      </c>
      <c r="C64" s="172">
        <f t="shared" si="11"/>
        <v>29892</v>
      </c>
      <c r="D64" s="173">
        <f t="shared" si="0"/>
        <v>29671.75</v>
      </c>
      <c r="E64" s="172">
        <f t="shared" si="9"/>
        <v>220.25</v>
      </c>
      <c r="F64" s="172">
        <f t="shared" si="6"/>
        <v>535935.79999999993</v>
      </c>
      <c r="G64" s="172">
        <f t="shared" si="10"/>
        <v>506264.04999999993</v>
      </c>
    </row>
    <row r="65" spans="1:7" x14ac:dyDescent="0.25">
      <c r="A65" s="29">
        <v>41906</v>
      </c>
      <c r="B65" s="168">
        <f t="shared" si="7"/>
        <v>1</v>
      </c>
      <c r="C65" s="172">
        <f t="shared" si="11"/>
        <v>29892</v>
      </c>
      <c r="D65" s="173">
        <f t="shared" si="0"/>
        <v>29683.95</v>
      </c>
      <c r="E65" s="172">
        <f t="shared" si="9"/>
        <v>208.05</v>
      </c>
      <c r="F65" s="172">
        <f t="shared" si="6"/>
        <v>506264.04999999993</v>
      </c>
      <c r="G65" s="172">
        <f t="shared" si="10"/>
        <v>476580.09999999992</v>
      </c>
    </row>
    <row r="66" spans="1:7" x14ac:dyDescent="0.25">
      <c r="A66" s="29">
        <v>41907</v>
      </c>
      <c r="B66" s="168">
        <f t="shared" si="7"/>
        <v>1</v>
      </c>
      <c r="C66" s="172">
        <f t="shared" si="11"/>
        <v>29892</v>
      </c>
      <c r="D66" s="173">
        <f t="shared" si="0"/>
        <v>29696.15</v>
      </c>
      <c r="E66" s="172">
        <f t="shared" si="9"/>
        <v>195.85</v>
      </c>
      <c r="F66" s="172">
        <f t="shared" si="6"/>
        <v>476580.09999999992</v>
      </c>
      <c r="G66" s="172">
        <f t="shared" si="10"/>
        <v>446883.9499999999</v>
      </c>
    </row>
    <row r="67" spans="1:7" x14ac:dyDescent="0.25">
      <c r="A67" s="29">
        <v>41908</v>
      </c>
      <c r="B67" s="168">
        <f t="shared" si="7"/>
        <v>1</v>
      </c>
      <c r="C67" s="172">
        <f t="shared" si="11"/>
        <v>29892</v>
      </c>
      <c r="D67" s="173">
        <f t="shared" si="0"/>
        <v>29708.35</v>
      </c>
      <c r="E67" s="172">
        <f t="shared" si="9"/>
        <v>183.65</v>
      </c>
      <c r="F67" s="172">
        <f t="shared" si="6"/>
        <v>446883.9499999999</v>
      </c>
      <c r="G67" s="172">
        <f t="shared" si="10"/>
        <v>417175.59999999992</v>
      </c>
    </row>
    <row r="68" spans="1:7" x14ac:dyDescent="0.25">
      <c r="A68" s="29">
        <v>41909</v>
      </c>
      <c r="B68" s="168">
        <f t="shared" si="7"/>
        <v>1</v>
      </c>
      <c r="C68" s="172">
        <f t="shared" si="11"/>
        <v>29892</v>
      </c>
      <c r="D68" s="173">
        <f t="shared" ref="D68:D106" si="12">C68-E68</f>
        <v>29720.560000000001</v>
      </c>
      <c r="E68" s="172">
        <f t="shared" si="9"/>
        <v>171.44</v>
      </c>
      <c r="F68" s="172">
        <f t="shared" si="6"/>
        <v>417175.59999999992</v>
      </c>
      <c r="G68" s="172">
        <f t="shared" si="10"/>
        <v>387455.03999999992</v>
      </c>
    </row>
    <row r="69" spans="1:7" x14ac:dyDescent="0.25">
      <c r="A69" s="29">
        <v>41910</v>
      </c>
      <c r="B69" s="168">
        <f t="shared" si="7"/>
        <v>1</v>
      </c>
      <c r="C69" s="172">
        <f t="shared" si="11"/>
        <v>29892</v>
      </c>
      <c r="D69" s="173">
        <f t="shared" si="12"/>
        <v>29732.77</v>
      </c>
      <c r="E69" s="172">
        <f t="shared" si="9"/>
        <v>159.22999999999999</v>
      </c>
      <c r="F69" s="172">
        <f t="shared" si="6"/>
        <v>387455.03999999992</v>
      </c>
      <c r="G69" s="172">
        <f t="shared" si="10"/>
        <v>357722.2699999999</v>
      </c>
    </row>
    <row r="70" spans="1:7" x14ac:dyDescent="0.25">
      <c r="A70" s="29">
        <v>41911</v>
      </c>
      <c r="B70" s="168">
        <f t="shared" si="7"/>
        <v>1</v>
      </c>
      <c r="C70" s="172">
        <f t="shared" si="11"/>
        <v>29892</v>
      </c>
      <c r="D70" s="173">
        <f t="shared" si="12"/>
        <v>29744.99</v>
      </c>
      <c r="E70" s="172">
        <f t="shared" si="9"/>
        <v>147.01</v>
      </c>
      <c r="F70" s="172">
        <f t="shared" si="6"/>
        <v>357722.2699999999</v>
      </c>
      <c r="G70" s="172">
        <f t="shared" si="10"/>
        <v>327977.27999999991</v>
      </c>
    </row>
    <row r="71" spans="1:7" x14ac:dyDescent="0.25">
      <c r="A71" s="29">
        <v>41912</v>
      </c>
      <c r="B71" s="168">
        <f t="shared" si="7"/>
        <v>1</v>
      </c>
      <c r="C71" s="172">
        <f t="shared" si="11"/>
        <v>29892</v>
      </c>
      <c r="D71" s="173">
        <f t="shared" si="12"/>
        <v>29757.21</v>
      </c>
      <c r="E71" s="172">
        <f t="shared" si="9"/>
        <v>134.79</v>
      </c>
      <c r="F71" s="172">
        <f t="shared" si="6"/>
        <v>327977.27999999991</v>
      </c>
      <c r="G71" s="172">
        <f t="shared" si="10"/>
        <v>298220.06999999989</v>
      </c>
    </row>
    <row r="72" spans="1:7" x14ac:dyDescent="0.25">
      <c r="A72" s="29">
        <v>41913</v>
      </c>
      <c r="B72" s="168">
        <f t="shared" si="7"/>
        <v>1</v>
      </c>
      <c r="C72" s="172">
        <f t="shared" si="11"/>
        <v>29892</v>
      </c>
      <c r="D72" s="173">
        <f t="shared" si="12"/>
        <v>29769.439999999999</v>
      </c>
      <c r="E72" s="172">
        <f t="shared" si="9"/>
        <v>122.56</v>
      </c>
      <c r="F72" s="172">
        <f t="shared" si="6"/>
        <v>298220.06999999989</v>
      </c>
      <c r="G72" s="172">
        <f t="shared" si="10"/>
        <v>268450.62999999989</v>
      </c>
    </row>
    <row r="73" spans="1:7" x14ac:dyDescent="0.25">
      <c r="A73" s="179">
        <v>41914</v>
      </c>
      <c r="B73" s="169">
        <f t="shared" si="7"/>
        <v>1</v>
      </c>
      <c r="C73" s="170">
        <f>$L$1</f>
        <v>7953</v>
      </c>
      <c r="D73" s="171">
        <f t="shared" si="12"/>
        <v>7842.68</v>
      </c>
      <c r="E73" s="170">
        <f t="shared" si="9"/>
        <v>110.32</v>
      </c>
      <c r="F73" s="170">
        <f t="shared" si="6"/>
        <v>268450.62999999989</v>
      </c>
      <c r="G73" s="170">
        <f t="shared" si="10"/>
        <v>260607.9499999999</v>
      </c>
    </row>
    <row r="74" spans="1:7" x14ac:dyDescent="0.25">
      <c r="A74" s="29">
        <v>41915</v>
      </c>
      <c r="B74" s="168">
        <f t="shared" si="7"/>
        <v>1</v>
      </c>
      <c r="C74" s="172">
        <f>$L$1</f>
        <v>7953</v>
      </c>
      <c r="D74" s="173">
        <f t="shared" si="12"/>
        <v>7845.9</v>
      </c>
      <c r="E74" s="172">
        <f t="shared" si="9"/>
        <v>107.1</v>
      </c>
      <c r="F74" s="172">
        <f t="shared" si="6"/>
        <v>260607.9499999999</v>
      </c>
      <c r="G74" s="172">
        <f t="shared" si="10"/>
        <v>252762.0499999999</v>
      </c>
    </row>
    <row r="75" spans="1:7" x14ac:dyDescent="0.25">
      <c r="A75" s="29">
        <v>41916</v>
      </c>
      <c r="B75" s="168">
        <f t="shared" si="7"/>
        <v>1</v>
      </c>
      <c r="C75" s="172">
        <f t="shared" ref="C75:C106" si="13">$L$1</f>
        <v>7953</v>
      </c>
      <c r="D75" s="173">
        <f t="shared" si="12"/>
        <v>7849.13</v>
      </c>
      <c r="E75" s="172">
        <f t="shared" si="9"/>
        <v>103.87</v>
      </c>
      <c r="F75" s="172">
        <f t="shared" si="6"/>
        <v>252762.0499999999</v>
      </c>
      <c r="G75" s="172">
        <f t="shared" si="10"/>
        <v>244912.9199999999</v>
      </c>
    </row>
    <row r="76" spans="1:7" x14ac:dyDescent="0.25">
      <c r="A76" s="29">
        <v>41917</v>
      </c>
      <c r="B76" s="168">
        <f t="shared" si="7"/>
        <v>1</v>
      </c>
      <c r="C76" s="172">
        <f t="shared" si="13"/>
        <v>7953</v>
      </c>
      <c r="D76" s="173">
        <f t="shared" si="12"/>
        <v>7852.35</v>
      </c>
      <c r="E76" s="172">
        <f t="shared" si="9"/>
        <v>100.65</v>
      </c>
      <c r="F76" s="172">
        <f t="shared" si="6"/>
        <v>244912.9199999999</v>
      </c>
      <c r="G76" s="172">
        <f t="shared" si="10"/>
        <v>237060.56999999989</v>
      </c>
    </row>
    <row r="77" spans="1:7" x14ac:dyDescent="0.25">
      <c r="A77" s="29">
        <v>41918</v>
      </c>
      <c r="B77" s="168">
        <f t="shared" si="7"/>
        <v>1</v>
      </c>
      <c r="C77" s="172">
        <f t="shared" si="13"/>
        <v>7953</v>
      </c>
      <c r="D77" s="173">
        <f t="shared" si="12"/>
        <v>7855.58</v>
      </c>
      <c r="E77" s="172">
        <f t="shared" si="9"/>
        <v>97.42</v>
      </c>
      <c r="F77" s="172">
        <f t="shared" si="6"/>
        <v>237060.56999999989</v>
      </c>
      <c r="G77" s="172">
        <f t="shared" si="10"/>
        <v>229204.9899999999</v>
      </c>
    </row>
    <row r="78" spans="1:7" x14ac:dyDescent="0.25">
      <c r="A78" s="29">
        <v>41919</v>
      </c>
      <c r="B78" s="168">
        <f t="shared" si="7"/>
        <v>1</v>
      </c>
      <c r="C78" s="172">
        <f t="shared" si="13"/>
        <v>7953</v>
      </c>
      <c r="D78" s="173">
        <f t="shared" si="12"/>
        <v>7858.81</v>
      </c>
      <c r="E78" s="172">
        <f t="shared" si="9"/>
        <v>94.19</v>
      </c>
      <c r="F78" s="172">
        <f t="shared" si="6"/>
        <v>229204.9899999999</v>
      </c>
      <c r="G78" s="172">
        <f t="shared" si="10"/>
        <v>221346.17999999991</v>
      </c>
    </row>
    <row r="79" spans="1:7" x14ac:dyDescent="0.25">
      <c r="A79" s="29">
        <v>41920</v>
      </c>
      <c r="B79" s="168">
        <f t="shared" si="7"/>
        <v>1</v>
      </c>
      <c r="C79" s="172">
        <f t="shared" si="13"/>
        <v>7953</v>
      </c>
      <c r="D79" s="173">
        <f t="shared" si="12"/>
        <v>7862.04</v>
      </c>
      <c r="E79" s="172">
        <f t="shared" si="9"/>
        <v>90.96</v>
      </c>
      <c r="F79" s="172">
        <f t="shared" si="6"/>
        <v>221346.17999999991</v>
      </c>
      <c r="G79" s="172">
        <f t="shared" si="10"/>
        <v>213484.1399999999</v>
      </c>
    </row>
    <row r="80" spans="1:7" x14ac:dyDescent="0.25">
      <c r="A80" s="29">
        <v>41921</v>
      </c>
      <c r="B80" s="168">
        <f t="shared" si="7"/>
        <v>1</v>
      </c>
      <c r="C80" s="172">
        <f t="shared" si="13"/>
        <v>7953</v>
      </c>
      <c r="D80" s="173">
        <f t="shared" si="12"/>
        <v>7865.27</v>
      </c>
      <c r="E80" s="172">
        <f t="shared" si="9"/>
        <v>87.73</v>
      </c>
      <c r="F80" s="172">
        <f t="shared" si="6"/>
        <v>213484.1399999999</v>
      </c>
      <c r="G80" s="172">
        <f t="shared" si="10"/>
        <v>205618.86999999991</v>
      </c>
    </row>
    <row r="81" spans="1:7" x14ac:dyDescent="0.25">
      <c r="A81" s="29">
        <v>41922</v>
      </c>
      <c r="B81" s="168">
        <f t="shared" si="7"/>
        <v>1</v>
      </c>
      <c r="C81" s="172">
        <f t="shared" si="13"/>
        <v>7953</v>
      </c>
      <c r="D81" s="173">
        <f t="shared" si="12"/>
        <v>7868.5</v>
      </c>
      <c r="E81" s="172">
        <f t="shared" si="9"/>
        <v>84.5</v>
      </c>
      <c r="F81" s="172">
        <f t="shared" si="6"/>
        <v>205618.86999999991</v>
      </c>
      <c r="G81" s="172">
        <f t="shared" si="10"/>
        <v>197750.36999999991</v>
      </c>
    </row>
    <row r="82" spans="1:7" x14ac:dyDescent="0.25">
      <c r="A82" s="29">
        <v>41923</v>
      </c>
      <c r="B82" s="168">
        <f t="shared" si="7"/>
        <v>1</v>
      </c>
      <c r="C82" s="172">
        <f t="shared" si="13"/>
        <v>7953</v>
      </c>
      <c r="D82" s="173">
        <f t="shared" si="12"/>
        <v>7871.73</v>
      </c>
      <c r="E82" s="172">
        <f t="shared" si="9"/>
        <v>81.27</v>
      </c>
      <c r="F82" s="172">
        <f t="shared" si="6"/>
        <v>197750.36999999991</v>
      </c>
      <c r="G82" s="172">
        <f t="shared" si="10"/>
        <v>189878.6399999999</v>
      </c>
    </row>
    <row r="83" spans="1:7" x14ac:dyDescent="0.25">
      <c r="A83" s="29">
        <v>41924</v>
      </c>
      <c r="B83" s="168">
        <f t="shared" si="7"/>
        <v>1</v>
      </c>
      <c r="C83" s="172">
        <f t="shared" si="13"/>
        <v>7953</v>
      </c>
      <c r="D83" s="173">
        <f t="shared" si="12"/>
        <v>7874.97</v>
      </c>
      <c r="E83" s="172">
        <f t="shared" si="9"/>
        <v>78.03</v>
      </c>
      <c r="F83" s="172">
        <f t="shared" si="6"/>
        <v>189878.6399999999</v>
      </c>
      <c r="G83" s="172">
        <f t="shared" si="10"/>
        <v>182003.6699999999</v>
      </c>
    </row>
    <row r="84" spans="1:7" x14ac:dyDescent="0.25">
      <c r="A84" s="29">
        <v>41925</v>
      </c>
      <c r="B84" s="168">
        <f t="shared" si="7"/>
        <v>1</v>
      </c>
      <c r="C84" s="172">
        <f t="shared" si="13"/>
        <v>7953</v>
      </c>
      <c r="D84" s="173">
        <f t="shared" si="12"/>
        <v>7878.2</v>
      </c>
      <c r="E84" s="172">
        <f t="shared" si="9"/>
        <v>74.8</v>
      </c>
      <c r="F84" s="172">
        <f t="shared" si="6"/>
        <v>182003.6699999999</v>
      </c>
      <c r="G84" s="172">
        <f t="shared" si="10"/>
        <v>174125.46999999988</v>
      </c>
    </row>
    <row r="85" spans="1:7" x14ac:dyDescent="0.25">
      <c r="A85" s="29">
        <v>41926</v>
      </c>
      <c r="B85" s="168">
        <f t="shared" si="7"/>
        <v>1</v>
      </c>
      <c r="C85" s="172">
        <f t="shared" si="13"/>
        <v>7953</v>
      </c>
      <c r="D85" s="173">
        <f t="shared" si="12"/>
        <v>7881.44</v>
      </c>
      <c r="E85" s="172">
        <f t="shared" si="9"/>
        <v>71.56</v>
      </c>
      <c r="F85" s="172">
        <f t="shared" si="6"/>
        <v>174125.46999999988</v>
      </c>
      <c r="G85" s="172">
        <f t="shared" si="10"/>
        <v>166244.02999999988</v>
      </c>
    </row>
    <row r="86" spans="1:7" x14ac:dyDescent="0.25">
      <c r="A86" s="29">
        <v>41927</v>
      </c>
      <c r="B86" s="168">
        <f t="shared" si="7"/>
        <v>1</v>
      </c>
      <c r="C86" s="172">
        <f t="shared" si="13"/>
        <v>7953</v>
      </c>
      <c r="D86" s="173">
        <f t="shared" si="12"/>
        <v>7884.68</v>
      </c>
      <c r="E86" s="172">
        <f t="shared" si="9"/>
        <v>68.319999999999993</v>
      </c>
      <c r="F86" s="172">
        <f t="shared" si="6"/>
        <v>166244.02999999988</v>
      </c>
      <c r="G86" s="172">
        <f t="shared" si="10"/>
        <v>158359.34999999989</v>
      </c>
    </row>
    <row r="87" spans="1:7" x14ac:dyDescent="0.25">
      <c r="A87" s="29">
        <v>41928</v>
      </c>
      <c r="B87" s="168">
        <f t="shared" si="7"/>
        <v>1</v>
      </c>
      <c r="C87" s="172">
        <f t="shared" si="13"/>
        <v>7953</v>
      </c>
      <c r="D87" s="173">
        <f t="shared" si="12"/>
        <v>7887.92</v>
      </c>
      <c r="E87" s="172">
        <f t="shared" si="9"/>
        <v>65.08</v>
      </c>
      <c r="F87" s="172">
        <f t="shared" si="6"/>
        <v>158359.34999999989</v>
      </c>
      <c r="G87" s="172">
        <f t="shared" si="10"/>
        <v>150471.42999999988</v>
      </c>
    </row>
    <row r="88" spans="1:7" x14ac:dyDescent="0.25">
      <c r="A88" s="29">
        <v>41929</v>
      </c>
      <c r="B88" s="168">
        <f t="shared" si="7"/>
        <v>1</v>
      </c>
      <c r="C88" s="172">
        <f t="shared" si="13"/>
        <v>7953</v>
      </c>
      <c r="D88" s="173">
        <f t="shared" si="12"/>
        <v>7891.16</v>
      </c>
      <c r="E88" s="172">
        <f t="shared" si="9"/>
        <v>61.84</v>
      </c>
      <c r="F88" s="172">
        <f t="shared" si="6"/>
        <v>150471.42999999988</v>
      </c>
      <c r="G88" s="172">
        <f t="shared" si="10"/>
        <v>142580.26999999987</v>
      </c>
    </row>
    <row r="89" spans="1:7" x14ac:dyDescent="0.25">
      <c r="A89" s="29">
        <v>41930</v>
      </c>
      <c r="B89" s="168">
        <f t="shared" si="7"/>
        <v>1</v>
      </c>
      <c r="C89" s="172">
        <f t="shared" si="13"/>
        <v>7953</v>
      </c>
      <c r="D89" s="173">
        <f t="shared" si="12"/>
        <v>7894.41</v>
      </c>
      <c r="E89" s="172">
        <f t="shared" si="9"/>
        <v>58.59</v>
      </c>
      <c r="F89" s="172">
        <f t="shared" si="6"/>
        <v>142580.26999999987</v>
      </c>
      <c r="G89" s="172">
        <f t="shared" si="10"/>
        <v>134685.85999999987</v>
      </c>
    </row>
    <row r="90" spans="1:7" x14ac:dyDescent="0.25">
      <c r="A90" s="29">
        <v>41931</v>
      </c>
      <c r="B90" s="168">
        <f t="shared" si="7"/>
        <v>1</v>
      </c>
      <c r="C90" s="172">
        <f t="shared" si="13"/>
        <v>7953</v>
      </c>
      <c r="D90" s="173">
        <f t="shared" si="12"/>
        <v>7897.65</v>
      </c>
      <c r="E90" s="172">
        <f t="shared" si="9"/>
        <v>55.35</v>
      </c>
      <c r="F90" s="172">
        <f t="shared" si="6"/>
        <v>134685.85999999987</v>
      </c>
      <c r="G90" s="172">
        <f t="shared" si="10"/>
        <v>126788.20999999988</v>
      </c>
    </row>
    <row r="91" spans="1:7" x14ac:dyDescent="0.25">
      <c r="A91" s="29">
        <v>41932</v>
      </c>
      <c r="B91" s="168">
        <f t="shared" si="7"/>
        <v>1</v>
      </c>
      <c r="C91" s="172">
        <f t="shared" si="13"/>
        <v>7953</v>
      </c>
      <c r="D91" s="173">
        <f t="shared" si="12"/>
        <v>7900.9</v>
      </c>
      <c r="E91" s="172">
        <f t="shared" si="9"/>
        <v>52.1</v>
      </c>
      <c r="F91" s="172">
        <f t="shared" si="6"/>
        <v>126788.20999999988</v>
      </c>
      <c r="G91" s="172">
        <f t="shared" si="10"/>
        <v>118887.30999999988</v>
      </c>
    </row>
    <row r="92" spans="1:7" x14ac:dyDescent="0.25">
      <c r="A92" s="29">
        <v>41933</v>
      </c>
      <c r="B92" s="168">
        <f t="shared" si="7"/>
        <v>1</v>
      </c>
      <c r="C92" s="172">
        <f t="shared" si="13"/>
        <v>7953</v>
      </c>
      <c r="D92" s="173">
        <f t="shared" si="12"/>
        <v>7904.14</v>
      </c>
      <c r="E92" s="172">
        <f t="shared" si="9"/>
        <v>48.86</v>
      </c>
      <c r="F92" s="172">
        <f t="shared" si="6"/>
        <v>118887.30999999988</v>
      </c>
      <c r="G92" s="172">
        <f t="shared" si="10"/>
        <v>110983.16999999988</v>
      </c>
    </row>
    <row r="93" spans="1:7" x14ac:dyDescent="0.25">
      <c r="A93" s="29">
        <v>41934</v>
      </c>
      <c r="B93" s="168">
        <f t="shared" si="7"/>
        <v>1</v>
      </c>
      <c r="C93" s="172">
        <f t="shared" si="13"/>
        <v>7953</v>
      </c>
      <c r="D93" s="173">
        <f t="shared" si="12"/>
        <v>7907.39</v>
      </c>
      <c r="E93" s="172">
        <f t="shared" si="9"/>
        <v>45.61</v>
      </c>
      <c r="F93" s="172">
        <f t="shared" si="6"/>
        <v>110983.16999999988</v>
      </c>
      <c r="G93" s="172">
        <f t="shared" si="10"/>
        <v>103075.77999999988</v>
      </c>
    </row>
    <row r="94" spans="1:7" x14ac:dyDescent="0.25">
      <c r="A94" s="29">
        <v>41935</v>
      </c>
      <c r="B94" s="168">
        <f t="shared" si="7"/>
        <v>1</v>
      </c>
      <c r="C94" s="172">
        <f t="shared" si="13"/>
        <v>7953</v>
      </c>
      <c r="D94" s="173">
        <f t="shared" si="12"/>
        <v>7910.64</v>
      </c>
      <c r="E94" s="172">
        <f t="shared" si="9"/>
        <v>42.36</v>
      </c>
      <c r="F94" s="172">
        <f t="shared" si="6"/>
        <v>103075.77999999988</v>
      </c>
      <c r="G94" s="172">
        <f t="shared" si="10"/>
        <v>95165.139999999883</v>
      </c>
    </row>
    <row r="95" spans="1:7" x14ac:dyDescent="0.25">
      <c r="A95" s="29">
        <v>41936</v>
      </c>
      <c r="B95" s="168">
        <f t="shared" si="7"/>
        <v>1</v>
      </c>
      <c r="C95" s="172">
        <f t="shared" si="13"/>
        <v>7953</v>
      </c>
      <c r="D95" s="173">
        <f t="shared" si="12"/>
        <v>7913.89</v>
      </c>
      <c r="E95" s="172">
        <f t="shared" si="9"/>
        <v>39.11</v>
      </c>
      <c r="F95" s="172">
        <f t="shared" si="6"/>
        <v>95165.139999999883</v>
      </c>
      <c r="G95" s="172">
        <f t="shared" si="10"/>
        <v>87251.249999999884</v>
      </c>
    </row>
    <row r="96" spans="1:7" x14ac:dyDescent="0.25">
      <c r="A96" s="29">
        <v>41937</v>
      </c>
      <c r="B96" s="168">
        <f t="shared" si="7"/>
        <v>1</v>
      </c>
      <c r="C96" s="172">
        <f t="shared" si="13"/>
        <v>7953</v>
      </c>
      <c r="D96" s="173">
        <f t="shared" si="12"/>
        <v>7917.14</v>
      </c>
      <c r="E96" s="172">
        <f t="shared" si="9"/>
        <v>35.86</v>
      </c>
      <c r="F96" s="172">
        <f t="shared" si="6"/>
        <v>87251.249999999884</v>
      </c>
      <c r="G96" s="172">
        <f t="shared" si="10"/>
        <v>79334.109999999884</v>
      </c>
    </row>
    <row r="97" spans="1:7" x14ac:dyDescent="0.25">
      <c r="A97" s="29">
        <v>41938</v>
      </c>
      <c r="B97" s="168">
        <f t="shared" si="7"/>
        <v>1</v>
      </c>
      <c r="C97" s="172">
        <f t="shared" si="13"/>
        <v>7953</v>
      </c>
      <c r="D97" s="173">
        <f t="shared" si="12"/>
        <v>7920.4</v>
      </c>
      <c r="E97" s="172">
        <f t="shared" si="9"/>
        <v>32.6</v>
      </c>
      <c r="F97" s="172">
        <f t="shared" si="6"/>
        <v>79334.109999999884</v>
      </c>
      <c r="G97" s="172">
        <f t="shared" si="10"/>
        <v>71413.70999999989</v>
      </c>
    </row>
    <row r="98" spans="1:7" x14ac:dyDescent="0.25">
      <c r="A98" s="29">
        <v>41939</v>
      </c>
      <c r="B98" s="168">
        <f t="shared" si="7"/>
        <v>1</v>
      </c>
      <c r="C98" s="172">
        <f t="shared" si="13"/>
        <v>7953</v>
      </c>
      <c r="D98" s="173">
        <f t="shared" si="12"/>
        <v>7923.65</v>
      </c>
      <c r="E98" s="172">
        <f t="shared" si="9"/>
        <v>29.35</v>
      </c>
      <c r="F98" s="172">
        <f t="shared" si="6"/>
        <v>71413.70999999989</v>
      </c>
      <c r="G98" s="172">
        <f t="shared" si="10"/>
        <v>63490.059999999889</v>
      </c>
    </row>
    <row r="99" spans="1:7" x14ac:dyDescent="0.25">
      <c r="A99" s="29">
        <v>41940</v>
      </c>
      <c r="B99" s="168">
        <f t="shared" si="7"/>
        <v>1</v>
      </c>
      <c r="C99" s="172">
        <f t="shared" si="13"/>
        <v>7953</v>
      </c>
      <c r="D99" s="173">
        <f t="shared" si="12"/>
        <v>7926.91</v>
      </c>
      <c r="E99" s="172">
        <f t="shared" si="9"/>
        <v>26.09</v>
      </c>
      <c r="F99" s="172">
        <f t="shared" si="6"/>
        <v>63490.059999999889</v>
      </c>
      <c r="G99" s="172">
        <f t="shared" si="10"/>
        <v>55563.149999999892</v>
      </c>
    </row>
    <row r="100" spans="1:7" x14ac:dyDescent="0.25">
      <c r="A100" s="29">
        <v>41941</v>
      </c>
      <c r="B100" s="168">
        <f t="shared" si="7"/>
        <v>1</v>
      </c>
      <c r="C100" s="172">
        <f t="shared" si="13"/>
        <v>7953</v>
      </c>
      <c r="D100" s="173">
        <f t="shared" si="12"/>
        <v>7930.17</v>
      </c>
      <c r="E100" s="172">
        <f t="shared" si="9"/>
        <v>22.83</v>
      </c>
      <c r="F100" s="172">
        <f t="shared" si="6"/>
        <v>55563.149999999892</v>
      </c>
      <c r="G100" s="172">
        <f t="shared" si="10"/>
        <v>47632.979999999894</v>
      </c>
    </row>
    <row r="101" spans="1:7" x14ac:dyDescent="0.25">
      <c r="A101" s="29">
        <v>41942</v>
      </c>
      <c r="B101" s="168">
        <f t="shared" si="7"/>
        <v>1</v>
      </c>
      <c r="C101" s="172">
        <f t="shared" si="13"/>
        <v>7953</v>
      </c>
      <c r="D101" s="173">
        <f t="shared" si="12"/>
        <v>7933.42</v>
      </c>
      <c r="E101" s="172">
        <f t="shared" si="9"/>
        <v>19.579999999999998</v>
      </c>
      <c r="F101" s="172">
        <f t="shared" si="6"/>
        <v>47632.979999999894</v>
      </c>
      <c r="G101" s="172">
        <f t="shared" si="10"/>
        <v>39699.559999999896</v>
      </c>
    </row>
    <row r="102" spans="1:7" x14ac:dyDescent="0.25">
      <c r="A102" s="29">
        <v>41943</v>
      </c>
      <c r="B102" s="168">
        <f t="shared" si="7"/>
        <v>1</v>
      </c>
      <c r="C102" s="172">
        <f t="shared" si="13"/>
        <v>7953</v>
      </c>
      <c r="D102" s="173">
        <f t="shared" si="12"/>
        <v>7936.69</v>
      </c>
      <c r="E102" s="172">
        <f t="shared" si="9"/>
        <v>16.309999999999999</v>
      </c>
      <c r="F102" s="172">
        <f t="shared" si="6"/>
        <v>39699.559999999896</v>
      </c>
      <c r="G102" s="172">
        <f t="shared" si="10"/>
        <v>31762.869999999897</v>
      </c>
    </row>
    <row r="103" spans="1:7" x14ac:dyDescent="0.25">
      <c r="A103" s="29">
        <v>41944</v>
      </c>
      <c r="B103" s="168">
        <f t="shared" si="7"/>
        <v>1</v>
      </c>
      <c r="C103" s="172">
        <f t="shared" si="13"/>
        <v>7953</v>
      </c>
      <c r="D103" s="173">
        <f t="shared" si="12"/>
        <v>7939.95</v>
      </c>
      <c r="E103" s="172">
        <f t="shared" si="9"/>
        <v>13.05</v>
      </c>
      <c r="F103" s="172">
        <f t="shared" si="6"/>
        <v>31762.869999999897</v>
      </c>
      <c r="G103" s="172">
        <f t="shared" si="10"/>
        <v>23822.919999999896</v>
      </c>
    </row>
    <row r="104" spans="1:7" x14ac:dyDescent="0.25">
      <c r="A104" s="29">
        <v>41945</v>
      </c>
      <c r="B104" s="168">
        <f t="shared" si="7"/>
        <v>1</v>
      </c>
      <c r="C104" s="172">
        <f t="shared" si="13"/>
        <v>7953</v>
      </c>
      <c r="D104" s="173">
        <f t="shared" si="12"/>
        <v>7943.21</v>
      </c>
      <c r="E104" s="172">
        <f t="shared" si="9"/>
        <v>9.7899999999999991</v>
      </c>
      <c r="F104" s="172">
        <f t="shared" si="6"/>
        <v>23822.919999999896</v>
      </c>
      <c r="G104" s="172">
        <f t="shared" si="10"/>
        <v>15879.709999999897</v>
      </c>
    </row>
    <row r="105" spans="1:7" x14ac:dyDescent="0.25">
      <c r="A105" s="29">
        <v>41946</v>
      </c>
      <c r="B105" s="168">
        <f t="shared" si="7"/>
        <v>1</v>
      </c>
      <c r="C105" s="172">
        <f t="shared" si="13"/>
        <v>7953</v>
      </c>
      <c r="D105" s="173">
        <f t="shared" si="12"/>
        <v>7946.47</v>
      </c>
      <c r="E105" s="172">
        <f t="shared" si="9"/>
        <v>6.53</v>
      </c>
      <c r="F105" s="172">
        <f t="shared" si="6"/>
        <v>15879.709999999897</v>
      </c>
      <c r="G105" s="172">
        <f t="shared" si="10"/>
        <v>7933.239999999897</v>
      </c>
    </row>
    <row r="106" spans="1:7" x14ac:dyDescent="0.25">
      <c r="A106" s="29">
        <v>41947</v>
      </c>
      <c r="B106" s="168">
        <f t="shared" si="7"/>
        <v>1</v>
      </c>
      <c r="C106" s="172">
        <f t="shared" si="13"/>
        <v>7953</v>
      </c>
      <c r="D106" s="173">
        <f t="shared" si="12"/>
        <v>7933.239999999897</v>
      </c>
      <c r="E106" s="172">
        <v>19.760000000102771</v>
      </c>
      <c r="F106" s="172">
        <f t="shared" si="6"/>
        <v>7933.239999999897</v>
      </c>
      <c r="G106" s="172">
        <f t="shared" si="10"/>
        <v>0</v>
      </c>
    </row>
  </sheetData>
  <pageMargins left="0.7" right="0.7" top="0.75" bottom="0.75" header="0.3" footer="0.3"/>
  <pageSetup orientation="portrait" r:id="rId1"/>
</worksheet>
</file>

<file path=xl/worksheets/sheet1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6C7DBA-B7B9-4560-B7A0-F8D10EDA832D}">
  <dimension ref="A1:X3"/>
  <sheetViews>
    <sheetView workbookViewId="0">
      <selection activeCell="A3" sqref="A3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4" width="116.28515625" bestFit="1" customWidth="1"/>
  </cols>
  <sheetData>
    <row r="1" spans="1:24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32</v>
      </c>
    </row>
    <row r="2" spans="1:24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0</v>
      </c>
      <c r="J2" s="8" t="s">
        <v>42</v>
      </c>
      <c r="K2" s="8" t="s">
        <v>25</v>
      </c>
      <c r="L2" s="8" t="s">
        <v>326</v>
      </c>
      <c r="M2" s="8" t="s">
        <v>27</v>
      </c>
      <c r="N2" s="7" t="s">
        <v>29</v>
      </c>
      <c r="O2" s="7" t="s">
        <v>439</v>
      </c>
      <c r="P2" s="7" t="s">
        <v>45</v>
      </c>
      <c r="Q2" s="7" t="s">
        <v>46</v>
      </c>
      <c r="R2" s="7" t="s">
        <v>448</v>
      </c>
      <c r="S2" s="7" t="s">
        <v>21</v>
      </c>
      <c r="T2" s="7" t="s">
        <v>79</v>
      </c>
      <c r="U2" s="7" t="s">
        <v>95</v>
      </c>
      <c r="V2" s="7" t="s">
        <v>104</v>
      </c>
      <c r="W2" s="7" t="s">
        <v>444</v>
      </c>
      <c r="X2" s="165" t="s">
        <v>449</v>
      </c>
    </row>
    <row r="3" spans="1:24" x14ac:dyDescent="0.25">
      <c r="A3" s="12" t="s">
        <v>0</v>
      </c>
      <c r="B3" s="7" t="s">
        <v>9</v>
      </c>
      <c r="C3" s="7" t="s">
        <v>39</v>
      </c>
      <c r="D3" s="8" t="s">
        <v>77</v>
      </c>
      <c r="E3" s="8" t="s">
        <v>23</v>
      </c>
      <c r="F3" s="8" t="s">
        <v>41</v>
      </c>
      <c r="G3" s="8" t="s">
        <v>24</v>
      </c>
      <c r="H3" s="8" t="s">
        <v>13</v>
      </c>
      <c r="I3" s="8" t="s">
        <v>29</v>
      </c>
      <c r="J3" s="8" t="s">
        <v>42</v>
      </c>
      <c r="K3" s="8" t="s">
        <v>31</v>
      </c>
      <c r="L3" s="8" t="s">
        <v>26</v>
      </c>
      <c r="M3" s="8" t="s">
        <v>27</v>
      </c>
      <c r="N3" s="7" t="s">
        <v>29</v>
      </c>
      <c r="O3" s="7" t="s">
        <v>44</v>
      </c>
      <c r="P3" s="7" t="s">
        <v>45</v>
      </c>
      <c r="Q3" s="7" t="s">
        <v>46</v>
      </c>
      <c r="R3" s="7" t="s">
        <v>78</v>
      </c>
      <c r="S3" s="7" t="s">
        <v>21</v>
      </c>
      <c r="T3" s="7" t="s">
        <v>79</v>
      </c>
      <c r="U3" s="7" t="s">
        <v>358</v>
      </c>
      <c r="V3" s="7" t="s">
        <v>104</v>
      </c>
      <c r="W3" s="7" t="s">
        <v>107</v>
      </c>
      <c r="X3" s="165" t="s">
        <v>434</v>
      </c>
    </row>
  </sheetData>
  <pageMargins left="0.7" right="0.7" top="0.75" bottom="0.75" header="0.3" footer="0.3"/>
</worksheet>
</file>

<file path=xl/worksheets/sheet1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9412E8-DF56-46A9-A7CA-0A7923340393}">
  <dimension ref="A1:O107"/>
  <sheetViews>
    <sheetView zoomScale="86" zoomScaleNormal="80" workbookViewId="0">
      <pane ySplit="3" topLeftCell="A98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11" width="16.7109375" customWidth="1"/>
    <col min="12" max="12" width="23.7109375" bestFit="1" customWidth="1"/>
    <col min="13" max="13" width="17" customWidth="1"/>
    <col min="14" max="14" width="18.28515625" customWidth="1"/>
    <col min="15" max="15" width="15" customWidth="1"/>
  </cols>
  <sheetData>
    <row r="1" spans="1:15" x14ac:dyDescent="0.25">
      <c r="A1" s="17" t="s">
        <v>33</v>
      </c>
      <c r="B1" s="78">
        <v>41855</v>
      </c>
      <c r="C1" s="17" t="s">
        <v>37</v>
      </c>
      <c r="D1" s="79">
        <f>ROUNDUP(23780281.4126192,0)</f>
        <v>23780282</v>
      </c>
      <c r="E1" s="83" t="s">
        <v>106</v>
      </c>
      <c r="F1" s="166">
        <f>ROUNDUP(23598445.7971135,0)</f>
        <v>23598446</v>
      </c>
      <c r="G1" s="83" t="s">
        <v>52</v>
      </c>
      <c r="H1" s="81">
        <v>41867</v>
      </c>
      <c r="I1" s="222" t="s">
        <v>450</v>
      </c>
      <c r="J1" s="222">
        <v>41877</v>
      </c>
      <c r="K1" s="222" t="s">
        <v>451</v>
      </c>
      <c r="L1" s="73" t="s">
        <v>125</v>
      </c>
      <c r="M1" s="74">
        <v>41887</v>
      </c>
      <c r="N1" s="77" t="s">
        <v>3</v>
      </c>
      <c r="O1" s="79">
        <v>61</v>
      </c>
    </row>
    <row r="2" spans="1:15" x14ac:dyDescent="0.25">
      <c r="A2" s="75" t="s">
        <v>34</v>
      </c>
      <c r="B2" s="76">
        <v>0.15</v>
      </c>
      <c r="C2" s="167">
        <v>990000000</v>
      </c>
      <c r="G2" s="83" t="s">
        <v>127</v>
      </c>
      <c r="H2" s="83">
        <v>5600000</v>
      </c>
      <c r="I2" s="223" t="s">
        <v>452</v>
      </c>
      <c r="J2" s="224">
        <v>0.2</v>
      </c>
      <c r="K2" s="223">
        <f>ROUNDUP(23633957.8656557,0)</f>
        <v>23633958</v>
      </c>
      <c r="L2" s="77" t="s">
        <v>126</v>
      </c>
      <c r="M2" s="79">
        <f>ROUNDUP(8710914.41737308,0)</f>
        <v>8710915</v>
      </c>
    </row>
    <row r="3" spans="1:15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J3" s="59"/>
      <c r="K3" s="59"/>
      <c r="L3" s="59"/>
    </row>
    <row r="4" spans="1:15" x14ac:dyDescent="0.25">
      <c r="A4" s="36">
        <v>41856</v>
      </c>
      <c r="B4" s="46">
        <f>A4-B1</f>
        <v>1</v>
      </c>
      <c r="C4" s="47">
        <v>0</v>
      </c>
      <c r="D4" s="48">
        <v>0</v>
      </c>
      <c r="E4" s="68">
        <v>0</v>
      </c>
      <c r="F4" s="47">
        <v>0</v>
      </c>
      <c r="G4" s="47">
        <v>0</v>
      </c>
    </row>
    <row r="5" spans="1:15" x14ac:dyDescent="0.25">
      <c r="A5" s="36">
        <v>41857</v>
      </c>
      <c r="B5" s="46">
        <f>A5-A4</f>
        <v>1</v>
      </c>
      <c r="C5" s="47">
        <f>$D$1</f>
        <v>23780282</v>
      </c>
      <c r="D5" s="48">
        <f t="shared" ref="D5:D56" si="0">C5-E5</f>
        <v>23373432.68</v>
      </c>
      <c r="E5" s="68">
        <f>ROUND(F5*$B$2*B5/365,2)</f>
        <v>406849.32</v>
      </c>
      <c r="F5" s="47">
        <f>C2</f>
        <v>990000000</v>
      </c>
      <c r="G5" s="47">
        <f>F5-D5</f>
        <v>966626567.32000005</v>
      </c>
    </row>
    <row r="6" spans="1:15" x14ac:dyDescent="0.25">
      <c r="A6" s="36">
        <v>41858</v>
      </c>
      <c r="B6" s="46">
        <f t="shared" ref="B6:B46" si="1">A6-A5</f>
        <v>1</v>
      </c>
      <c r="C6" s="47">
        <f t="shared" ref="C6:C56" si="2">$D$1</f>
        <v>23780282</v>
      </c>
      <c r="D6" s="48">
        <f t="shared" si="0"/>
        <v>23383038.210000001</v>
      </c>
      <c r="E6" s="68">
        <f t="shared" ref="E6:E45" si="3">ROUND(F6*$B$2*B6/365,2)</f>
        <v>397243.79</v>
      </c>
      <c r="F6" s="47">
        <f t="shared" ref="F6:F46" si="4">G5</f>
        <v>966626567.32000005</v>
      </c>
      <c r="G6" s="47">
        <f t="shared" ref="G6:G46" si="5">F6-D6</f>
        <v>943243529.11000001</v>
      </c>
    </row>
    <row r="7" spans="1:15" x14ac:dyDescent="0.25">
      <c r="A7" s="36">
        <v>41859</v>
      </c>
      <c r="B7" s="46">
        <f t="shared" si="1"/>
        <v>1</v>
      </c>
      <c r="C7" s="47">
        <f t="shared" si="2"/>
        <v>23780282</v>
      </c>
      <c r="D7" s="48">
        <f t="shared" si="0"/>
        <v>23392647.670000002</v>
      </c>
      <c r="E7" s="68">
        <f t="shared" si="3"/>
        <v>387634.33</v>
      </c>
      <c r="F7" s="47">
        <f t="shared" si="4"/>
        <v>943243529.11000001</v>
      </c>
      <c r="G7" s="47">
        <f t="shared" si="5"/>
        <v>919850881.44000006</v>
      </c>
    </row>
    <row r="8" spans="1:15" x14ac:dyDescent="0.25">
      <c r="A8" s="36">
        <v>41860</v>
      </c>
      <c r="B8" s="46">
        <f t="shared" si="1"/>
        <v>1</v>
      </c>
      <c r="C8" s="47">
        <f t="shared" si="2"/>
        <v>23780282</v>
      </c>
      <c r="D8" s="48">
        <f t="shared" si="0"/>
        <v>23402261.09</v>
      </c>
      <c r="E8" s="68">
        <f t="shared" si="3"/>
        <v>378020.91</v>
      </c>
      <c r="F8" s="47">
        <f t="shared" si="4"/>
        <v>919850881.44000006</v>
      </c>
      <c r="G8" s="47">
        <f t="shared" si="5"/>
        <v>896448620.35000002</v>
      </c>
    </row>
    <row r="9" spans="1:15" x14ac:dyDescent="0.25">
      <c r="A9" s="36">
        <v>41861</v>
      </c>
      <c r="B9" s="46">
        <f t="shared" si="1"/>
        <v>1</v>
      </c>
      <c r="C9" s="47">
        <f t="shared" si="2"/>
        <v>23780282</v>
      </c>
      <c r="D9" s="48">
        <f t="shared" si="0"/>
        <v>23411878.460000001</v>
      </c>
      <c r="E9" s="68">
        <f t="shared" si="3"/>
        <v>368403.54</v>
      </c>
      <c r="F9" s="47">
        <f t="shared" si="4"/>
        <v>896448620.35000002</v>
      </c>
      <c r="G9" s="47">
        <f t="shared" si="5"/>
        <v>873036741.88999999</v>
      </c>
    </row>
    <row r="10" spans="1:15" x14ac:dyDescent="0.25">
      <c r="A10" s="36">
        <v>41862</v>
      </c>
      <c r="B10" s="46">
        <f t="shared" si="1"/>
        <v>1</v>
      </c>
      <c r="C10" s="47">
        <f t="shared" si="2"/>
        <v>23780282</v>
      </c>
      <c r="D10" s="48">
        <f t="shared" si="0"/>
        <v>23421499.780000001</v>
      </c>
      <c r="E10" s="68">
        <f t="shared" si="3"/>
        <v>358782.22</v>
      </c>
      <c r="F10" s="47">
        <f t="shared" si="4"/>
        <v>873036741.88999999</v>
      </c>
      <c r="G10" s="47">
        <f t="shared" si="5"/>
        <v>849615242.11000001</v>
      </c>
    </row>
    <row r="11" spans="1:15" x14ac:dyDescent="0.25">
      <c r="A11" s="36">
        <v>41863</v>
      </c>
      <c r="B11" s="46">
        <f t="shared" si="1"/>
        <v>1</v>
      </c>
      <c r="C11" s="47">
        <f t="shared" si="2"/>
        <v>23780282</v>
      </c>
      <c r="D11" s="48">
        <f t="shared" si="0"/>
        <v>23431125.050000001</v>
      </c>
      <c r="E11" s="68">
        <f t="shared" si="3"/>
        <v>349156.95</v>
      </c>
      <c r="F11" s="47">
        <f t="shared" si="4"/>
        <v>849615242.11000001</v>
      </c>
      <c r="G11" s="47">
        <f t="shared" si="5"/>
        <v>826184117.06000006</v>
      </c>
    </row>
    <row r="12" spans="1:15" x14ac:dyDescent="0.25">
      <c r="A12" s="36">
        <v>41864</v>
      </c>
      <c r="B12" s="46">
        <f t="shared" si="1"/>
        <v>1</v>
      </c>
      <c r="C12" s="47">
        <f t="shared" si="2"/>
        <v>23780282</v>
      </c>
      <c r="D12" s="48">
        <f t="shared" si="0"/>
        <v>23440754.280000001</v>
      </c>
      <c r="E12" s="68">
        <f t="shared" si="3"/>
        <v>339527.72</v>
      </c>
      <c r="F12" s="47">
        <f t="shared" si="4"/>
        <v>826184117.06000006</v>
      </c>
      <c r="G12" s="47">
        <f t="shared" si="5"/>
        <v>802743362.78000009</v>
      </c>
    </row>
    <row r="13" spans="1:15" x14ac:dyDescent="0.25">
      <c r="A13" s="36">
        <v>41865</v>
      </c>
      <c r="B13" s="46">
        <f t="shared" si="1"/>
        <v>1</v>
      </c>
      <c r="C13" s="47">
        <f t="shared" si="2"/>
        <v>23780282</v>
      </c>
      <c r="D13" s="48">
        <f t="shared" si="0"/>
        <v>23450387.469999999</v>
      </c>
      <c r="E13" s="68">
        <f t="shared" si="3"/>
        <v>329894.53000000003</v>
      </c>
      <c r="F13" s="47">
        <f t="shared" si="4"/>
        <v>802743362.78000009</v>
      </c>
      <c r="G13" s="47">
        <f t="shared" si="5"/>
        <v>779292975.31000006</v>
      </c>
    </row>
    <row r="14" spans="1:15" x14ac:dyDescent="0.25">
      <c r="A14" s="36">
        <v>41866</v>
      </c>
      <c r="B14" s="46">
        <f t="shared" si="1"/>
        <v>1</v>
      </c>
      <c r="C14" s="47">
        <f t="shared" si="2"/>
        <v>23780282</v>
      </c>
      <c r="D14" s="48">
        <f t="shared" si="0"/>
        <v>23460024.609999999</v>
      </c>
      <c r="E14" s="68">
        <f t="shared" si="3"/>
        <v>320257.39</v>
      </c>
      <c r="F14" s="47">
        <f t="shared" si="4"/>
        <v>779292975.31000006</v>
      </c>
      <c r="G14" s="47">
        <f t="shared" si="5"/>
        <v>755832950.70000005</v>
      </c>
    </row>
    <row r="15" spans="1:15" x14ac:dyDescent="0.25">
      <c r="A15" s="36">
        <v>41867</v>
      </c>
      <c r="B15" s="46">
        <f t="shared" si="1"/>
        <v>1</v>
      </c>
      <c r="C15" s="47">
        <f t="shared" si="2"/>
        <v>23780282</v>
      </c>
      <c r="D15" s="48">
        <f t="shared" si="0"/>
        <v>23469665.719999999</v>
      </c>
      <c r="E15" s="68">
        <f t="shared" si="3"/>
        <v>310616.28000000003</v>
      </c>
      <c r="F15" s="47">
        <f t="shared" si="4"/>
        <v>755832950.70000005</v>
      </c>
      <c r="G15" s="47">
        <f t="shared" si="5"/>
        <v>732363284.98000002</v>
      </c>
    </row>
    <row r="16" spans="1:15" x14ac:dyDescent="0.25">
      <c r="A16" s="36">
        <v>41868</v>
      </c>
      <c r="B16" s="46">
        <f t="shared" si="1"/>
        <v>1</v>
      </c>
      <c r="C16" s="47">
        <f t="shared" si="2"/>
        <v>23780282</v>
      </c>
      <c r="D16" s="48">
        <f t="shared" si="0"/>
        <v>23479310.789999999</v>
      </c>
      <c r="E16" s="68">
        <f t="shared" si="3"/>
        <v>300971.21000000002</v>
      </c>
      <c r="F16" s="47">
        <f t="shared" si="4"/>
        <v>732363284.98000002</v>
      </c>
      <c r="G16" s="47">
        <f t="shared" si="5"/>
        <v>708883974.19000006</v>
      </c>
    </row>
    <row r="17" spans="1:7" x14ac:dyDescent="0.25">
      <c r="A17" s="36">
        <v>41869</v>
      </c>
      <c r="B17" s="46">
        <f t="shared" si="1"/>
        <v>1</v>
      </c>
      <c r="C17" s="47">
        <f t="shared" si="2"/>
        <v>23780282</v>
      </c>
      <c r="D17" s="48">
        <f t="shared" si="0"/>
        <v>23488959.82</v>
      </c>
      <c r="E17" s="68">
        <f t="shared" si="3"/>
        <v>291322.18</v>
      </c>
      <c r="F17" s="47">
        <f t="shared" si="4"/>
        <v>708883974.19000006</v>
      </c>
      <c r="G17" s="47">
        <f t="shared" si="5"/>
        <v>685395014.37</v>
      </c>
    </row>
    <row r="18" spans="1:7" x14ac:dyDescent="0.25">
      <c r="A18" s="36">
        <v>41870</v>
      </c>
      <c r="B18" s="46">
        <f t="shared" si="1"/>
        <v>1</v>
      </c>
      <c r="C18" s="47">
        <f t="shared" si="2"/>
        <v>23780282</v>
      </c>
      <c r="D18" s="48">
        <f t="shared" si="0"/>
        <v>23498612.82</v>
      </c>
      <c r="E18" s="68">
        <f t="shared" si="3"/>
        <v>281669.18</v>
      </c>
      <c r="F18" s="47">
        <f t="shared" si="4"/>
        <v>685395014.37</v>
      </c>
      <c r="G18" s="47">
        <f t="shared" si="5"/>
        <v>661896401.54999995</v>
      </c>
    </row>
    <row r="19" spans="1:7" x14ac:dyDescent="0.25">
      <c r="A19" s="36">
        <v>41871</v>
      </c>
      <c r="B19" s="46">
        <f t="shared" si="1"/>
        <v>1</v>
      </c>
      <c r="C19" s="47">
        <f t="shared" si="2"/>
        <v>23780282</v>
      </c>
      <c r="D19" s="48">
        <f t="shared" si="0"/>
        <v>23508269.780000001</v>
      </c>
      <c r="E19" s="68">
        <f t="shared" si="3"/>
        <v>272012.21999999997</v>
      </c>
      <c r="F19" s="47">
        <f t="shared" si="4"/>
        <v>661896401.54999995</v>
      </c>
      <c r="G19" s="47">
        <f t="shared" si="5"/>
        <v>638388131.76999998</v>
      </c>
    </row>
    <row r="20" spans="1:7" x14ac:dyDescent="0.25">
      <c r="A20" s="36">
        <v>41872</v>
      </c>
      <c r="B20" s="46">
        <f t="shared" si="1"/>
        <v>1</v>
      </c>
      <c r="C20" s="47">
        <f t="shared" si="2"/>
        <v>23780282</v>
      </c>
      <c r="D20" s="48">
        <f t="shared" si="0"/>
        <v>23517930.710000001</v>
      </c>
      <c r="E20" s="68">
        <f t="shared" si="3"/>
        <v>262351.28999999998</v>
      </c>
      <c r="F20" s="47">
        <f t="shared" si="4"/>
        <v>638388131.76999998</v>
      </c>
      <c r="G20" s="47">
        <f t="shared" si="5"/>
        <v>614870201.05999994</v>
      </c>
    </row>
    <row r="21" spans="1:7" x14ac:dyDescent="0.25">
      <c r="A21" s="36">
        <v>41873</v>
      </c>
      <c r="B21" s="46">
        <f t="shared" si="1"/>
        <v>1</v>
      </c>
      <c r="C21" s="47">
        <f t="shared" si="2"/>
        <v>23780282</v>
      </c>
      <c r="D21" s="48">
        <f t="shared" si="0"/>
        <v>23527595.620000001</v>
      </c>
      <c r="E21" s="68">
        <f t="shared" si="3"/>
        <v>252686.38</v>
      </c>
      <c r="F21" s="47">
        <f t="shared" si="4"/>
        <v>614870201.05999994</v>
      </c>
      <c r="G21" s="47">
        <f t="shared" si="5"/>
        <v>591342605.43999994</v>
      </c>
    </row>
    <row r="22" spans="1:7" x14ac:dyDescent="0.25">
      <c r="A22" s="36">
        <v>41874</v>
      </c>
      <c r="B22" s="46">
        <f t="shared" si="1"/>
        <v>1</v>
      </c>
      <c r="C22" s="47">
        <f t="shared" si="2"/>
        <v>23780282</v>
      </c>
      <c r="D22" s="48">
        <f t="shared" si="0"/>
        <v>23537264.489999998</v>
      </c>
      <c r="E22" s="68">
        <f t="shared" si="3"/>
        <v>243017.51</v>
      </c>
      <c r="F22" s="47">
        <f t="shared" si="4"/>
        <v>591342605.43999994</v>
      </c>
      <c r="G22" s="47">
        <f t="shared" si="5"/>
        <v>567805340.94999993</v>
      </c>
    </row>
    <row r="23" spans="1:7" x14ac:dyDescent="0.25">
      <c r="A23" s="36">
        <v>41875</v>
      </c>
      <c r="B23" s="46">
        <f t="shared" si="1"/>
        <v>1</v>
      </c>
      <c r="C23" s="47">
        <f t="shared" si="2"/>
        <v>23780282</v>
      </c>
      <c r="D23" s="48">
        <f t="shared" si="0"/>
        <v>23546937.34</v>
      </c>
      <c r="E23" s="68">
        <f t="shared" si="3"/>
        <v>233344.66</v>
      </c>
      <c r="F23" s="47">
        <f t="shared" si="4"/>
        <v>567805340.94999993</v>
      </c>
      <c r="G23" s="47">
        <f t="shared" si="5"/>
        <v>544258403.6099999</v>
      </c>
    </row>
    <row r="24" spans="1:7" x14ac:dyDescent="0.25">
      <c r="A24" s="36">
        <v>41876</v>
      </c>
      <c r="B24" s="46">
        <f t="shared" si="1"/>
        <v>1</v>
      </c>
      <c r="C24" s="47">
        <f t="shared" si="2"/>
        <v>23780282</v>
      </c>
      <c r="D24" s="48">
        <f t="shared" si="0"/>
        <v>23556614.16</v>
      </c>
      <c r="E24" s="68">
        <f t="shared" si="3"/>
        <v>223667.84</v>
      </c>
      <c r="F24" s="47">
        <f t="shared" si="4"/>
        <v>544258403.6099999</v>
      </c>
      <c r="G24" s="47">
        <f t="shared" si="5"/>
        <v>520701789.44999987</v>
      </c>
    </row>
    <row r="25" spans="1:7" x14ac:dyDescent="0.25">
      <c r="A25" s="36">
        <v>41877</v>
      </c>
      <c r="B25" s="46">
        <f t="shared" si="1"/>
        <v>1</v>
      </c>
      <c r="C25" s="47">
        <f t="shared" si="2"/>
        <v>23780282</v>
      </c>
      <c r="D25" s="48">
        <f t="shared" si="0"/>
        <v>23566294.960000001</v>
      </c>
      <c r="E25" s="68">
        <f t="shared" si="3"/>
        <v>213987.04</v>
      </c>
      <c r="F25" s="47">
        <f t="shared" si="4"/>
        <v>520701789.44999987</v>
      </c>
      <c r="G25" s="47">
        <f t="shared" si="5"/>
        <v>497135494.48999989</v>
      </c>
    </row>
    <row r="26" spans="1:7" x14ac:dyDescent="0.25">
      <c r="A26" s="36">
        <v>41878</v>
      </c>
      <c r="B26" s="46">
        <f t="shared" si="1"/>
        <v>1</v>
      </c>
      <c r="C26" s="47">
        <f t="shared" si="2"/>
        <v>23780282</v>
      </c>
      <c r="D26" s="48">
        <f t="shared" si="0"/>
        <v>23575979.739999998</v>
      </c>
      <c r="E26" s="68">
        <f t="shared" si="3"/>
        <v>204302.26</v>
      </c>
      <c r="F26" s="47">
        <f t="shared" si="4"/>
        <v>497135494.48999989</v>
      </c>
      <c r="G26" s="47">
        <f t="shared" si="5"/>
        <v>473559514.74999988</v>
      </c>
    </row>
    <row r="27" spans="1:7" x14ac:dyDescent="0.25">
      <c r="A27" s="36">
        <v>41879</v>
      </c>
      <c r="B27" s="46">
        <f t="shared" si="1"/>
        <v>1</v>
      </c>
      <c r="C27" s="47">
        <f t="shared" si="2"/>
        <v>23780282</v>
      </c>
      <c r="D27" s="48">
        <f t="shared" si="0"/>
        <v>23585668.5</v>
      </c>
      <c r="E27" s="68">
        <f t="shared" si="3"/>
        <v>194613.5</v>
      </c>
      <c r="F27" s="47">
        <f t="shared" si="4"/>
        <v>473559514.74999988</v>
      </c>
      <c r="G27" s="47">
        <f t="shared" si="5"/>
        <v>449973846.24999988</v>
      </c>
    </row>
    <row r="28" spans="1:7" x14ac:dyDescent="0.25">
      <c r="A28" s="36">
        <v>41880</v>
      </c>
      <c r="B28" s="46">
        <f t="shared" si="1"/>
        <v>1</v>
      </c>
      <c r="C28" s="47">
        <f t="shared" si="2"/>
        <v>23780282</v>
      </c>
      <c r="D28" s="48">
        <f t="shared" si="0"/>
        <v>23595361.239999998</v>
      </c>
      <c r="E28" s="68">
        <f t="shared" si="3"/>
        <v>184920.76</v>
      </c>
      <c r="F28" s="47">
        <f t="shared" si="4"/>
        <v>449973846.24999988</v>
      </c>
      <c r="G28" s="47">
        <f t="shared" si="5"/>
        <v>426378485.00999987</v>
      </c>
    </row>
    <row r="29" spans="1:7" x14ac:dyDescent="0.25">
      <c r="A29" s="36">
        <v>41881</v>
      </c>
      <c r="B29" s="46">
        <f t="shared" si="1"/>
        <v>1</v>
      </c>
      <c r="C29" s="47">
        <f t="shared" si="2"/>
        <v>23780282</v>
      </c>
      <c r="D29" s="48">
        <f t="shared" si="0"/>
        <v>23605057.969999999</v>
      </c>
      <c r="E29" s="68">
        <f t="shared" si="3"/>
        <v>175224.03</v>
      </c>
      <c r="F29" s="47">
        <f t="shared" si="4"/>
        <v>426378485.00999987</v>
      </c>
      <c r="G29" s="47">
        <f t="shared" si="5"/>
        <v>402773427.03999984</v>
      </c>
    </row>
    <row r="30" spans="1:7" x14ac:dyDescent="0.25">
      <c r="A30" s="36">
        <v>41882</v>
      </c>
      <c r="B30" s="46">
        <f t="shared" si="1"/>
        <v>1</v>
      </c>
      <c r="C30" s="47">
        <f t="shared" si="2"/>
        <v>23780282</v>
      </c>
      <c r="D30" s="48">
        <f t="shared" si="0"/>
        <v>23614758.670000002</v>
      </c>
      <c r="E30" s="68">
        <f t="shared" si="3"/>
        <v>165523.32999999999</v>
      </c>
      <c r="F30" s="47">
        <f t="shared" si="4"/>
        <v>402773427.03999984</v>
      </c>
      <c r="G30" s="47">
        <f t="shared" si="5"/>
        <v>379158668.36999983</v>
      </c>
    </row>
    <row r="31" spans="1:7" x14ac:dyDescent="0.25">
      <c r="A31" s="36">
        <v>41883</v>
      </c>
      <c r="B31" s="46">
        <f t="shared" si="1"/>
        <v>1</v>
      </c>
      <c r="C31" s="47">
        <f t="shared" si="2"/>
        <v>23780282</v>
      </c>
      <c r="D31" s="48">
        <f t="shared" si="0"/>
        <v>23624463.370000001</v>
      </c>
      <c r="E31" s="68">
        <f t="shared" si="3"/>
        <v>155818.63</v>
      </c>
      <c r="F31" s="47">
        <f t="shared" si="4"/>
        <v>379158668.36999983</v>
      </c>
      <c r="G31" s="47">
        <f t="shared" si="5"/>
        <v>355534204.99999982</v>
      </c>
    </row>
    <row r="32" spans="1:7" x14ac:dyDescent="0.25">
      <c r="A32" s="36">
        <v>41884</v>
      </c>
      <c r="B32" s="46">
        <f t="shared" si="1"/>
        <v>1</v>
      </c>
      <c r="C32" s="47">
        <f t="shared" si="2"/>
        <v>23780282</v>
      </c>
      <c r="D32" s="48">
        <f t="shared" si="0"/>
        <v>23634172.050000001</v>
      </c>
      <c r="E32" s="68">
        <f t="shared" si="3"/>
        <v>146109.95000000001</v>
      </c>
      <c r="F32" s="47">
        <f t="shared" si="4"/>
        <v>355534204.99999982</v>
      </c>
      <c r="G32" s="47">
        <f t="shared" si="5"/>
        <v>331900032.94999981</v>
      </c>
    </row>
    <row r="33" spans="1:7" x14ac:dyDescent="0.25">
      <c r="A33" s="36">
        <v>41885</v>
      </c>
      <c r="B33" s="46">
        <f t="shared" si="1"/>
        <v>1</v>
      </c>
      <c r="C33" s="47">
        <f t="shared" si="2"/>
        <v>23780282</v>
      </c>
      <c r="D33" s="48">
        <f t="shared" si="0"/>
        <v>23643884.73</v>
      </c>
      <c r="E33" s="68">
        <f t="shared" si="3"/>
        <v>136397.26999999999</v>
      </c>
      <c r="F33" s="47">
        <f t="shared" si="4"/>
        <v>331900032.94999981</v>
      </c>
      <c r="G33" s="47">
        <f t="shared" si="5"/>
        <v>308256148.21999979</v>
      </c>
    </row>
    <row r="34" spans="1:7" x14ac:dyDescent="0.25">
      <c r="A34" s="36">
        <v>41886</v>
      </c>
      <c r="B34" s="46">
        <f t="shared" si="1"/>
        <v>1</v>
      </c>
      <c r="C34" s="47">
        <f t="shared" si="2"/>
        <v>23780282</v>
      </c>
      <c r="D34" s="48">
        <f t="shared" si="0"/>
        <v>23653601.390000001</v>
      </c>
      <c r="E34" s="68">
        <f t="shared" si="3"/>
        <v>126680.61</v>
      </c>
      <c r="F34" s="47">
        <f t="shared" si="4"/>
        <v>308256148.21999979</v>
      </c>
      <c r="G34" s="47">
        <f t="shared" si="5"/>
        <v>284602546.8299998</v>
      </c>
    </row>
    <row r="35" spans="1:7" x14ac:dyDescent="0.25">
      <c r="A35" s="36">
        <v>41887</v>
      </c>
      <c r="B35" s="46">
        <f t="shared" si="1"/>
        <v>1</v>
      </c>
      <c r="C35" s="47">
        <f t="shared" si="2"/>
        <v>23780282</v>
      </c>
      <c r="D35" s="48">
        <f t="shared" si="0"/>
        <v>23663322.050000001</v>
      </c>
      <c r="E35" s="68">
        <f t="shared" si="3"/>
        <v>116959.95</v>
      </c>
      <c r="F35" s="47">
        <f t="shared" si="4"/>
        <v>284602546.8299998</v>
      </c>
      <c r="G35" s="47">
        <f t="shared" si="5"/>
        <v>260939224.77999979</v>
      </c>
    </row>
    <row r="36" spans="1:7" x14ac:dyDescent="0.25">
      <c r="A36" s="36">
        <v>41888</v>
      </c>
      <c r="B36" s="46">
        <f t="shared" si="1"/>
        <v>1</v>
      </c>
      <c r="C36" s="47">
        <f t="shared" si="2"/>
        <v>23780282</v>
      </c>
      <c r="D36" s="48">
        <f t="shared" si="0"/>
        <v>23673046.699999999</v>
      </c>
      <c r="E36" s="68">
        <f t="shared" si="3"/>
        <v>107235.3</v>
      </c>
      <c r="F36" s="47">
        <f t="shared" si="4"/>
        <v>260939224.77999979</v>
      </c>
      <c r="G36" s="47">
        <f t="shared" si="5"/>
        <v>237266178.0799998</v>
      </c>
    </row>
    <row r="37" spans="1:7" x14ac:dyDescent="0.25">
      <c r="A37" s="36">
        <v>41889</v>
      </c>
      <c r="B37" s="46">
        <f t="shared" si="1"/>
        <v>1</v>
      </c>
      <c r="C37" s="47">
        <f t="shared" si="2"/>
        <v>23780282</v>
      </c>
      <c r="D37" s="48">
        <f t="shared" si="0"/>
        <v>23682775.350000001</v>
      </c>
      <c r="E37" s="68">
        <f t="shared" si="3"/>
        <v>97506.65</v>
      </c>
      <c r="F37" s="47">
        <f t="shared" si="4"/>
        <v>237266178.0799998</v>
      </c>
      <c r="G37" s="47">
        <f t="shared" si="5"/>
        <v>213583402.72999981</v>
      </c>
    </row>
    <row r="38" spans="1:7" x14ac:dyDescent="0.25">
      <c r="A38" s="36">
        <v>41890</v>
      </c>
      <c r="B38" s="46">
        <f t="shared" si="1"/>
        <v>1</v>
      </c>
      <c r="C38" s="47">
        <f t="shared" si="2"/>
        <v>23780282</v>
      </c>
      <c r="D38" s="48">
        <f t="shared" si="0"/>
        <v>23692508</v>
      </c>
      <c r="E38" s="68">
        <f t="shared" si="3"/>
        <v>87774</v>
      </c>
      <c r="F38" s="47">
        <f t="shared" si="4"/>
        <v>213583402.72999981</v>
      </c>
      <c r="G38" s="47">
        <f t="shared" si="5"/>
        <v>189890894.72999981</v>
      </c>
    </row>
    <row r="39" spans="1:7" x14ac:dyDescent="0.25">
      <c r="A39" s="36">
        <v>41891</v>
      </c>
      <c r="B39" s="46">
        <f t="shared" si="1"/>
        <v>1</v>
      </c>
      <c r="C39" s="47">
        <f t="shared" si="2"/>
        <v>23780282</v>
      </c>
      <c r="D39" s="48">
        <f t="shared" si="0"/>
        <v>23702244.649999999</v>
      </c>
      <c r="E39" s="68">
        <f t="shared" si="3"/>
        <v>78037.350000000006</v>
      </c>
      <c r="F39" s="47">
        <f t="shared" si="4"/>
        <v>189890894.72999981</v>
      </c>
      <c r="G39" s="47">
        <f t="shared" si="5"/>
        <v>166188650.0799998</v>
      </c>
    </row>
    <row r="40" spans="1:7" x14ac:dyDescent="0.25">
      <c r="A40" s="36">
        <v>41892</v>
      </c>
      <c r="B40" s="46">
        <f t="shared" si="1"/>
        <v>1</v>
      </c>
      <c r="C40" s="47">
        <f t="shared" si="2"/>
        <v>23780282</v>
      </c>
      <c r="D40" s="48">
        <f t="shared" si="0"/>
        <v>23711985.289999999</v>
      </c>
      <c r="E40" s="68">
        <f t="shared" si="3"/>
        <v>68296.710000000006</v>
      </c>
      <c r="F40" s="47">
        <f t="shared" si="4"/>
        <v>166188650.0799998</v>
      </c>
      <c r="G40" s="47">
        <f t="shared" si="5"/>
        <v>142476664.78999981</v>
      </c>
    </row>
    <row r="41" spans="1:7" x14ac:dyDescent="0.25">
      <c r="A41" s="36">
        <v>41893</v>
      </c>
      <c r="B41" s="46">
        <f t="shared" si="1"/>
        <v>1</v>
      </c>
      <c r="C41" s="47">
        <f t="shared" si="2"/>
        <v>23780282</v>
      </c>
      <c r="D41" s="48">
        <f t="shared" si="0"/>
        <v>23721729.949999999</v>
      </c>
      <c r="E41" s="68">
        <f t="shared" si="3"/>
        <v>58552.05</v>
      </c>
      <c r="F41" s="47">
        <f t="shared" si="4"/>
        <v>142476664.78999981</v>
      </c>
      <c r="G41" s="47">
        <f t="shared" si="5"/>
        <v>118754934.83999981</v>
      </c>
    </row>
    <row r="42" spans="1:7" x14ac:dyDescent="0.25">
      <c r="A42" s="36">
        <v>41894</v>
      </c>
      <c r="B42" s="46">
        <f t="shared" si="1"/>
        <v>1</v>
      </c>
      <c r="C42" s="47">
        <f t="shared" si="2"/>
        <v>23780282</v>
      </c>
      <c r="D42" s="48">
        <f t="shared" si="0"/>
        <v>23731478.600000001</v>
      </c>
      <c r="E42" s="68">
        <f t="shared" si="3"/>
        <v>48803.4</v>
      </c>
      <c r="F42" s="47">
        <f t="shared" si="4"/>
        <v>118754934.83999981</v>
      </c>
      <c r="G42" s="47">
        <f t="shared" si="5"/>
        <v>95023456.239999801</v>
      </c>
    </row>
    <row r="43" spans="1:7" x14ac:dyDescent="0.25">
      <c r="A43" s="36">
        <v>41895</v>
      </c>
      <c r="B43" s="46">
        <f t="shared" si="1"/>
        <v>1</v>
      </c>
      <c r="C43" s="47">
        <f t="shared" si="2"/>
        <v>23780282</v>
      </c>
      <c r="D43" s="48">
        <f t="shared" si="0"/>
        <v>23741231.260000002</v>
      </c>
      <c r="E43" s="68">
        <f t="shared" si="3"/>
        <v>39050.74</v>
      </c>
      <c r="F43" s="47">
        <f t="shared" si="4"/>
        <v>95023456.239999801</v>
      </c>
      <c r="G43" s="47">
        <f t="shared" si="5"/>
        <v>71282224.979999796</v>
      </c>
    </row>
    <row r="44" spans="1:7" x14ac:dyDescent="0.25">
      <c r="A44" s="36">
        <v>41896</v>
      </c>
      <c r="B44" s="46">
        <f t="shared" si="1"/>
        <v>1</v>
      </c>
      <c r="C44" s="47">
        <f t="shared" si="2"/>
        <v>23780282</v>
      </c>
      <c r="D44" s="48">
        <f t="shared" si="0"/>
        <v>23750987.93</v>
      </c>
      <c r="E44" s="68">
        <f t="shared" si="3"/>
        <v>29294.07</v>
      </c>
      <c r="F44" s="47">
        <f t="shared" si="4"/>
        <v>71282224.979999796</v>
      </c>
      <c r="G44" s="47">
        <f t="shared" si="5"/>
        <v>47531237.049999796</v>
      </c>
    </row>
    <row r="45" spans="1:7" x14ac:dyDescent="0.25">
      <c r="A45" s="36">
        <v>41897</v>
      </c>
      <c r="B45" s="46">
        <f t="shared" si="1"/>
        <v>1</v>
      </c>
      <c r="C45" s="47">
        <f t="shared" si="2"/>
        <v>23780282</v>
      </c>
      <c r="D45" s="48">
        <f t="shared" si="0"/>
        <v>23760748.609999999</v>
      </c>
      <c r="E45" s="68">
        <f t="shared" si="3"/>
        <v>19533.39</v>
      </c>
      <c r="F45" s="47">
        <f t="shared" si="4"/>
        <v>47531237.049999796</v>
      </c>
      <c r="G45" s="47">
        <f t="shared" si="5"/>
        <v>23770488.439999796</v>
      </c>
    </row>
    <row r="46" spans="1:7" x14ac:dyDescent="0.25">
      <c r="A46" s="36">
        <v>41898</v>
      </c>
      <c r="B46" s="46">
        <f t="shared" si="1"/>
        <v>1</v>
      </c>
      <c r="C46" s="47">
        <f t="shared" si="2"/>
        <v>23780282</v>
      </c>
      <c r="D46" s="48">
        <f t="shared" si="0"/>
        <v>23770488.439999796</v>
      </c>
      <c r="E46" s="68">
        <v>9793.5600002022093</v>
      </c>
      <c r="F46" s="47">
        <f t="shared" si="4"/>
        <v>23770488.439999796</v>
      </c>
      <c r="G46" s="47">
        <f t="shared" si="5"/>
        <v>0</v>
      </c>
    </row>
    <row r="47" spans="1:7" x14ac:dyDescent="0.25">
      <c r="A47" s="174">
        <v>41857</v>
      </c>
      <c r="B47" s="175">
        <f t="shared" ref="B47:G47" si="6">B5</f>
        <v>1</v>
      </c>
      <c r="C47" s="176">
        <f t="shared" si="6"/>
        <v>23780282</v>
      </c>
      <c r="D47" s="177">
        <f t="shared" si="6"/>
        <v>23373432.68</v>
      </c>
      <c r="E47" s="176">
        <f t="shared" si="6"/>
        <v>406849.32</v>
      </c>
      <c r="F47" s="176">
        <f t="shared" si="6"/>
        <v>990000000</v>
      </c>
      <c r="G47" s="176">
        <f t="shared" si="6"/>
        <v>966626567.32000005</v>
      </c>
    </row>
    <row r="48" spans="1:7" x14ac:dyDescent="0.25">
      <c r="A48" s="36">
        <v>41858</v>
      </c>
      <c r="B48" s="46">
        <f t="shared" ref="B48:B56" si="7">A48-A47</f>
        <v>1</v>
      </c>
      <c r="C48" s="47">
        <f t="shared" si="2"/>
        <v>23780282</v>
      </c>
      <c r="D48" s="48">
        <f t="shared" si="0"/>
        <v>23383038.210000001</v>
      </c>
      <c r="E48" s="68">
        <f t="shared" ref="E48:E56" si="8">ROUND(F48*$B$2*B48/365,2)</f>
        <v>397243.79</v>
      </c>
      <c r="F48" s="47">
        <f t="shared" ref="F48:F56" si="9">G47</f>
        <v>966626567.32000005</v>
      </c>
      <c r="G48" s="47">
        <f t="shared" ref="G48:G56" si="10">F48-D48</f>
        <v>943243529.11000001</v>
      </c>
    </row>
    <row r="49" spans="1:7" x14ac:dyDescent="0.25">
      <c r="A49" s="36">
        <v>41859</v>
      </c>
      <c r="B49" s="46">
        <f t="shared" si="7"/>
        <v>1</v>
      </c>
      <c r="C49" s="47">
        <f t="shared" si="2"/>
        <v>23780282</v>
      </c>
      <c r="D49" s="48">
        <f t="shared" si="0"/>
        <v>23392647.670000002</v>
      </c>
      <c r="E49" s="68">
        <f t="shared" si="8"/>
        <v>387634.33</v>
      </c>
      <c r="F49" s="47">
        <f t="shared" si="9"/>
        <v>943243529.11000001</v>
      </c>
      <c r="G49" s="47">
        <f t="shared" si="10"/>
        <v>919850881.44000006</v>
      </c>
    </row>
    <row r="50" spans="1:7" x14ac:dyDescent="0.25">
      <c r="A50" s="36">
        <v>41860</v>
      </c>
      <c r="B50" s="46">
        <f t="shared" si="7"/>
        <v>1</v>
      </c>
      <c r="C50" s="47">
        <f t="shared" si="2"/>
        <v>23780282</v>
      </c>
      <c r="D50" s="48">
        <f t="shared" si="0"/>
        <v>23402261.09</v>
      </c>
      <c r="E50" s="68">
        <f t="shared" si="8"/>
        <v>378020.91</v>
      </c>
      <c r="F50" s="47">
        <f t="shared" si="9"/>
        <v>919850881.44000006</v>
      </c>
      <c r="G50" s="47">
        <f t="shared" si="10"/>
        <v>896448620.35000002</v>
      </c>
    </row>
    <row r="51" spans="1:7" x14ac:dyDescent="0.25">
      <c r="A51" s="36">
        <v>41861</v>
      </c>
      <c r="B51" s="46">
        <f t="shared" si="7"/>
        <v>1</v>
      </c>
      <c r="C51" s="47">
        <f t="shared" si="2"/>
        <v>23780282</v>
      </c>
      <c r="D51" s="48">
        <f t="shared" si="0"/>
        <v>23411878.460000001</v>
      </c>
      <c r="E51" s="68">
        <f t="shared" si="8"/>
        <v>368403.54</v>
      </c>
      <c r="F51" s="47">
        <f t="shared" si="9"/>
        <v>896448620.35000002</v>
      </c>
      <c r="G51" s="47">
        <f t="shared" si="10"/>
        <v>873036741.88999999</v>
      </c>
    </row>
    <row r="52" spans="1:7" x14ac:dyDescent="0.25">
      <c r="A52" s="36">
        <v>41862</v>
      </c>
      <c r="B52" s="46">
        <f t="shared" si="7"/>
        <v>1</v>
      </c>
      <c r="C52" s="47">
        <f t="shared" si="2"/>
        <v>23780282</v>
      </c>
      <c r="D52" s="48">
        <f t="shared" si="0"/>
        <v>23421499.780000001</v>
      </c>
      <c r="E52" s="68">
        <f t="shared" si="8"/>
        <v>358782.22</v>
      </c>
      <c r="F52" s="47">
        <f t="shared" si="9"/>
        <v>873036741.88999999</v>
      </c>
      <c r="G52" s="47">
        <f t="shared" si="10"/>
        <v>849615242.11000001</v>
      </c>
    </row>
    <row r="53" spans="1:7" x14ac:dyDescent="0.25">
      <c r="A53" s="36">
        <v>41863</v>
      </c>
      <c r="B53" s="46">
        <f t="shared" si="7"/>
        <v>1</v>
      </c>
      <c r="C53" s="47">
        <f t="shared" si="2"/>
        <v>23780282</v>
      </c>
      <c r="D53" s="48">
        <f t="shared" si="0"/>
        <v>23431125.050000001</v>
      </c>
      <c r="E53" s="68">
        <f t="shared" si="8"/>
        <v>349156.95</v>
      </c>
      <c r="F53" s="47">
        <f t="shared" si="9"/>
        <v>849615242.11000001</v>
      </c>
      <c r="G53" s="47">
        <f t="shared" si="10"/>
        <v>826184117.06000006</v>
      </c>
    </row>
    <row r="54" spans="1:7" x14ac:dyDescent="0.25">
      <c r="A54" s="36">
        <v>41864</v>
      </c>
      <c r="B54" s="46">
        <f t="shared" si="7"/>
        <v>1</v>
      </c>
      <c r="C54" s="47">
        <f t="shared" si="2"/>
        <v>23780282</v>
      </c>
      <c r="D54" s="48">
        <f t="shared" si="0"/>
        <v>23440754.280000001</v>
      </c>
      <c r="E54" s="68">
        <f t="shared" si="8"/>
        <v>339527.72</v>
      </c>
      <c r="F54" s="47">
        <f t="shared" si="9"/>
        <v>826184117.06000006</v>
      </c>
      <c r="G54" s="47">
        <f t="shared" si="10"/>
        <v>802743362.78000009</v>
      </c>
    </row>
    <row r="55" spans="1:7" x14ac:dyDescent="0.25">
      <c r="A55" s="36">
        <v>41865</v>
      </c>
      <c r="B55" s="46">
        <f t="shared" si="7"/>
        <v>1</v>
      </c>
      <c r="C55" s="47">
        <f t="shared" si="2"/>
        <v>23780282</v>
      </c>
      <c r="D55" s="48">
        <f t="shared" si="0"/>
        <v>23450387.469999999</v>
      </c>
      <c r="E55" s="68">
        <f t="shared" si="8"/>
        <v>329894.53000000003</v>
      </c>
      <c r="F55" s="47">
        <f t="shared" si="9"/>
        <v>802743362.78000009</v>
      </c>
      <c r="G55" s="47">
        <f t="shared" si="10"/>
        <v>779292975.31000006</v>
      </c>
    </row>
    <row r="56" spans="1:7" x14ac:dyDescent="0.25">
      <c r="A56" s="36">
        <v>41866</v>
      </c>
      <c r="B56" s="46">
        <f t="shared" si="7"/>
        <v>1</v>
      </c>
      <c r="C56" s="47">
        <f t="shared" si="2"/>
        <v>23780282</v>
      </c>
      <c r="D56" s="48">
        <f t="shared" si="0"/>
        <v>23460024.609999999</v>
      </c>
      <c r="E56" s="68">
        <f t="shared" si="8"/>
        <v>320257.39</v>
      </c>
      <c r="F56" s="47">
        <f t="shared" si="9"/>
        <v>779292975.31000006</v>
      </c>
      <c r="G56" s="47">
        <f t="shared" si="10"/>
        <v>755832950.70000005</v>
      </c>
    </row>
    <row r="57" spans="1:7" x14ac:dyDescent="0.25">
      <c r="A57" s="36">
        <v>41867</v>
      </c>
      <c r="B57" s="46">
        <f t="shared" ref="B57:G57" si="11">B15</f>
        <v>1</v>
      </c>
      <c r="C57" s="47">
        <f t="shared" si="11"/>
        <v>23780282</v>
      </c>
      <c r="D57" s="48">
        <f t="shared" si="11"/>
        <v>23469665.719999999</v>
      </c>
      <c r="E57" s="68">
        <f t="shared" si="11"/>
        <v>310616.28000000003</v>
      </c>
      <c r="F57" s="47">
        <f t="shared" si="11"/>
        <v>755832950.70000005</v>
      </c>
      <c r="G57" s="47">
        <f t="shared" si="11"/>
        <v>732363284.98000002</v>
      </c>
    </row>
    <row r="58" spans="1:7" x14ac:dyDescent="0.25">
      <c r="A58" s="179">
        <v>41868</v>
      </c>
      <c r="B58" s="169">
        <f t="shared" ref="B58:B107" si="12">A58-A57</f>
        <v>1</v>
      </c>
      <c r="C58" s="170">
        <f t="shared" ref="C58:C67" si="13">$F$1</f>
        <v>23598446</v>
      </c>
      <c r="D58" s="171">
        <f t="shared" ref="D58:D107" si="14">C58-E58</f>
        <v>23299776.16</v>
      </c>
      <c r="E58" s="170">
        <f>ROUND(F58*$B$2*B58/365,2)</f>
        <v>298669.84000000003</v>
      </c>
      <c r="F58" s="170">
        <f>G57-H2</f>
        <v>726763284.98000002</v>
      </c>
      <c r="G58" s="170">
        <f t="shared" ref="G58:G107" si="15">F58-D58</f>
        <v>703463508.82000005</v>
      </c>
    </row>
    <row r="59" spans="1:7" x14ac:dyDescent="0.25">
      <c r="A59" s="36">
        <v>41869</v>
      </c>
      <c r="B59" s="46">
        <f t="shared" si="12"/>
        <v>1</v>
      </c>
      <c r="C59" s="172">
        <f t="shared" si="13"/>
        <v>23598446</v>
      </c>
      <c r="D59" s="48">
        <f t="shared" si="14"/>
        <v>23309351.41</v>
      </c>
      <c r="E59" s="68">
        <f t="shared" ref="E59:E67" si="16">ROUND(F59*$B$2*B59/365,2)</f>
        <v>289094.59000000003</v>
      </c>
      <c r="F59" s="47">
        <f t="shared" ref="F59:F107" si="17">G58</f>
        <v>703463508.82000005</v>
      </c>
      <c r="G59" s="47">
        <f t="shared" si="15"/>
        <v>680154157.41000009</v>
      </c>
    </row>
    <row r="60" spans="1:7" x14ac:dyDescent="0.25">
      <c r="A60" s="36">
        <v>41870</v>
      </c>
      <c r="B60" s="168">
        <f t="shared" si="12"/>
        <v>1</v>
      </c>
      <c r="C60" s="172">
        <f t="shared" si="13"/>
        <v>23598446</v>
      </c>
      <c r="D60" s="173">
        <f t="shared" si="14"/>
        <v>23318930.59</v>
      </c>
      <c r="E60" s="172">
        <f t="shared" si="16"/>
        <v>279515.40999999997</v>
      </c>
      <c r="F60" s="172">
        <f t="shared" si="17"/>
        <v>680154157.41000009</v>
      </c>
      <c r="G60" s="172">
        <f t="shared" si="15"/>
        <v>656835226.82000005</v>
      </c>
    </row>
    <row r="61" spans="1:7" x14ac:dyDescent="0.25">
      <c r="A61" s="36">
        <v>41871</v>
      </c>
      <c r="B61" s="168">
        <f t="shared" si="12"/>
        <v>1</v>
      </c>
      <c r="C61" s="172">
        <f t="shared" si="13"/>
        <v>23598446</v>
      </c>
      <c r="D61" s="173">
        <f t="shared" si="14"/>
        <v>23328513.719999999</v>
      </c>
      <c r="E61" s="172">
        <f t="shared" si="16"/>
        <v>269932.28000000003</v>
      </c>
      <c r="F61" s="172">
        <f t="shared" si="17"/>
        <v>656835226.82000005</v>
      </c>
      <c r="G61" s="172">
        <f t="shared" si="15"/>
        <v>633506713.10000002</v>
      </c>
    </row>
    <row r="62" spans="1:7" x14ac:dyDescent="0.25">
      <c r="A62" s="36">
        <v>41872</v>
      </c>
      <c r="B62" s="168">
        <f t="shared" si="12"/>
        <v>1</v>
      </c>
      <c r="C62" s="172">
        <f t="shared" si="13"/>
        <v>23598446</v>
      </c>
      <c r="D62" s="173">
        <f t="shared" si="14"/>
        <v>23338100.780000001</v>
      </c>
      <c r="E62" s="172">
        <f t="shared" si="16"/>
        <v>260345.22</v>
      </c>
      <c r="F62" s="172">
        <f t="shared" si="17"/>
        <v>633506713.10000002</v>
      </c>
      <c r="G62" s="172">
        <f t="shared" si="15"/>
        <v>610168612.32000005</v>
      </c>
    </row>
    <row r="63" spans="1:7" x14ac:dyDescent="0.25">
      <c r="A63" s="36">
        <v>41873</v>
      </c>
      <c r="B63" s="168">
        <f t="shared" si="12"/>
        <v>1</v>
      </c>
      <c r="C63" s="172">
        <f t="shared" si="13"/>
        <v>23598446</v>
      </c>
      <c r="D63" s="173">
        <f t="shared" si="14"/>
        <v>23347691.780000001</v>
      </c>
      <c r="E63" s="172">
        <f t="shared" si="16"/>
        <v>250754.22</v>
      </c>
      <c r="F63" s="172">
        <f t="shared" si="17"/>
        <v>610168612.32000005</v>
      </c>
      <c r="G63" s="172">
        <f t="shared" si="15"/>
        <v>586820920.54000008</v>
      </c>
    </row>
    <row r="64" spans="1:7" x14ac:dyDescent="0.25">
      <c r="A64" s="36">
        <v>41874</v>
      </c>
      <c r="B64" s="168">
        <f t="shared" si="12"/>
        <v>1</v>
      </c>
      <c r="C64" s="172">
        <f t="shared" si="13"/>
        <v>23598446</v>
      </c>
      <c r="D64" s="173">
        <f t="shared" si="14"/>
        <v>23357286.719999999</v>
      </c>
      <c r="E64" s="172">
        <f t="shared" si="16"/>
        <v>241159.28</v>
      </c>
      <c r="F64" s="172">
        <f t="shared" si="17"/>
        <v>586820920.54000008</v>
      </c>
      <c r="G64" s="172">
        <f t="shared" si="15"/>
        <v>563463633.82000005</v>
      </c>
    </row>
    <row r="65" spans="1:7" x14ac:dyDescent="0.25">
      <c r="A65" s="36">
        <v>41875</v>
      </c>
      <c r="B65" s="168">
        <f t="shared" si="12"/>
        <v>1</v>
      </c>
      <c r="C65" s="172">
        <f t="shared" si="13"/>
        <v>23598446</v>
      </c>
      <c r="D65" s="173">
        <f t="shared" si="14"/>
        <v>23366885.600000001</v>
      </c>
      <c r="E65" s="172">
        <f t="shared" si="16"/>
        <v>231560.4</v>
      </c>
      <c r="F65" s="172">
        <f t="shared" si="17"/>
        <v>563463633.82000005</v>
      </c>
      <c r="G65" s="172">
        <f t="shared" si="15"/>
        <v>540096748.22000003</v>
      </c>
    </row>
    <row r="66" spans="1:7" x14ac:dyDescent="0.25">
      <c r="A66" s="36">
        <v>41876</v>
      </c>
      <c r="B66" s="168">
        <f t="shared" si="12"/>
        <v>1</v>
      </c>
      <c r="C66" s="172">
        <f t="shared" si="13"/>
        <v>23598446</v>
      </c>
      <c r="D66" s="173">
        <f t="shared" si="14"/>
        <v>23376488.43</v>
      </c>
      <c r="E66" s="172">
        <f t="shared" si="16"/>
        <v>221957.57</v>
      </c>
      <c r="F66" s="172">
        <f t="shared" si="17"/>
        <v>540096748.22000003</v>
      </c>
      <c r="G66" s="172">
        <f t="shared" si="15"/>
        <v>516720259.79000002</v>
      </c>
    </row>
    <row r="67" spans="1:7" x14ac:dyDescent="0.25">
      <c r="A67" s="29">
        <v>41877</v>
      </c>
      <c r="B67" s="168">
        <f t="shared" si="12"/>
        <v>1</v>
      </c>
      <c r="C67" s="172">
        <f t="shared" si="13"/>
        <v>23598446</v>
      </c>
      <c r="D67" s="173">
        <f t="shared" si="14"/>
        <v>23386095.210000001</v>
      </c>
      <c r="E67" s="172">
        <f t="shared" si="16"/>
        <v>212350.79</v>
      </c>
      <c r="F67" s="172">
        <f t="shared" si="17"/>
        <v>516720259.79000002</v>
      </c>
      <c r="G67" s="172">
        <f t="shared" si="15"/>
        <v>493334164.58000004</v>
      </c>
    </row>
    <row r="68" spans="1:7" x14ac:dyDescent="0.25">
      <c r="A68" s="179">
        <v>41878</v>
      </c>
      <c r="B68" s="169">
        <f t="shared" si="12"/>
        <v>1</v>
      </c>
      <c r="C68" s="170">
        <f>$K$2</f>
        <v>23633958</v>
      </c>
      <c r="D68" s="171">
        <f t="shared" si="14"/>
        <v>23363637.91</v>
      </c>
      <c r="E68" s="170">
        <f>ROUND(F68*$J$2*B68/365,2)</f>
        <v>270320.09000000003</v>
      </c>
      <c r="F68" s="170">
        <f t="shared" si="17"/>
        <v>493334164.58000004</v>
      </c>
      <c r="G68" s="170">
        <f t="shared" si="15"/>
        <v>469970526.67000002</v>
      </c>
    </row>
    <row r="69" spans="1:7" x14ac:dyDescent="0.25">
      <c r="A69" s="29">
        <v>41879</v>
      </c>
      <c r="B69" s="168">
        <f t="shared" si="12"/>
        <v>1</v>
      </c>
      <c r="C69" s="172">
        <f t="shared" ref="C69:C77" si="18">$K$2</f>
        <v>23633958</v>
      </c>
      <c r="D69" s="173">
        <f t="shared" si="14"/>
        <v>23376439.899999999</v>
      </c>
      <c r="E69" s="172">
        <f t="shared" ref="E69:E106" si="19">ROUND(F69*$J$2*B69/365,2)</f>
        <v>257518.1</v>
      </c>
      <c r="F69" s="172">
        <f t="shared" si="17"/>
        <v>469970526.67000002</v>
      </c>
      <c r="G69" s="172">
        <f t="shared" si="15"/>
        <v>446594086.77000004</v>
      </c>
    </row>
    <row r="70" spans="1:7" x14ac:dyDescent="0.25">
      <c r="A70" s="29">
        <v>41880</v>
      </c>
      <c r="B70" s="168">
        <f t="shared" si="12"/>
        <v>1</v>
      </c>
      <c r="C70" s="172">
        <f t="shared" si="18"/>
        <v>23633958</v>
      </c>
      <c r="D70" s="173">
        <f t="shared" si="14"/>
        <v>23389248.91</v>
      </c>
      <c r="E70" s="172">
        <f t="shared" si="19"/>
        <v>244709.09</v>
      </c>
      <c r="F70" s="172">
        <f t="shared" si="17"/>
        <v>446594086.77000004</v>
      </c>
      <c r="G70" s="172">
        <f t="shared" si="15"/>
        <v>423204837.86000001</v>
      </c>
    </row>
    <row r="71" spans="1:7" x14ac:dyDescent="0.25">
      <c r="A71" s="29">
        <v>41881</v>
      </c>
      <c r="B71" s="168">
        <f t="shared" si="12"/>
        <v>1</v>
      </c>
      <c r="C71" s="172">
        <f t="shared" si="18"/>
        <v>23633958</v>
      </c>
      <c r="D71" s="173">
        <f t="shared" si="14"/>
        <v>23402064.940000001</v>
      </c>
      <c r="E71" s="172">
        <f t="shared" si="19"/>
        <v>231893.06</v>
      </c>
      <c r="F71" s="172">
        <f t="shared" si="17"/>
        <v>423204837.86000001</v>
      </c>
      <c r="G71" s="172">
        <f t="shared" si="15"/>
        <v>399802772.92000002</v>
      </c>
    </row>
    <row r="72" spans="1:7" x14ac:dyDescent="0.25">
      <c r="A72" s="29">
        <v>41882</v>
      </c>
      <c r="B72" s="168">
        <f t="shared" si="12"/>
        <v>1</v>
      </c>
      <c r="C72" s="172">
        <f t="shared" si="18"/>
        <v>23633958</v>
      </c>
      <c r="D72" s="173">
        <f t="shared" si="14"/>
        <v>23414887.989999998</v>
      </c>
      <c r="E72" s="172">
        <f t="shared" si="19"/>
        <v>219070.01</v>
      </c>
      <c r="F72" s="172">
        <f t="shared" si="17"/>
        <v>399802772.92000002</v>
      </c>
      <c r="G72" s="172">
        <f t="shared" si="15"/>
        <v>376387884.93000001</v>
      </c>
    </row>
    <row r="73" spans="1:7" x14ac:dyDescent="0.25">
      <c r="A73" s="29">
        <v>41883</v>
      </c>
      <c r="B73" s="168">
        <f t="shared" si="12"/>
        <v>1</v>
      </c>
      <c r="C73" s="172">
        <f t="shared" si="18"/>
        <v>23633958</v>
      </c>
      <c r="D73" s="173">
        <f t="shared" si="14"/>
        <v>23427718.059999999</v>
      </c>
      <c r="E73" s="172">
        <f t="shared" si="19"/>
        <v>206239.94</v>
      </c>
      <c r="F73" s="172">
        <f t="shared" si="17"/>
        <v>376387884.93000001</v>
      </c>
      <c r="G73" s="172">
        <f t="shared" si="15"/>
        <v>352960166.87</v>
      </c>
    </row>
    <row r="74" spans="1:7" x14ac:dyDescent="0.25">
      <c r="A74" s="29">
        <v>41884</v>
      </c>
      <c r="B74" s="168">
        <f t="shared" si="12"/>
        <v>1</v>
      </c>
      <c r="C74" s="172">
        <f t="shared" si="18"/>
        <v>23633958</v>
      </c>
      <c r="D74" s="173">
        <f t="shared" si="14"/>
        <v>23440555.170000002</v>
      </c>
      <c r="E74" s="172">
        <f t="shared" si="19"/>
        <v>193402.83</v>
      </c>
      <c r="F74" s="172">
        <f t="shared" si="17"/>
        <v>352960166.87</v>
      </c>
      <c r="G74" s="172">
        <f t="shared" si="15"/>
        <v>329519611.69999999</v>
      </c>
    </row>
    <row r="75" spans="1:7" x14ac:dyDescent="0.25">
      <c r="A75" s="29">
        <v>41885</v>
      </c>
      <c r="B75" s="168">
        <f t="shared" si="12"/>
        <v>1</v>
      </c>
      <c r="C75" s="172">
        <f t="shared" si="18"/>
        <v>23633958</v>
      </c>
      <c r="D75" s="173">
        <f t="shared" si="14"/>
        <v>23453399.309999999</v>
      </c>
      <c r="E75" s="172">
        <f t="shared" si="19"/>
        <v>180558.69</v>
      </c>
      <c r="F75" s="172">
        <f t="shared" si="17"/>
        <v>329519611.69999999</v>
      </c>
      <c r="G75" s="172">
        <f t="shared" si="15"/>
        <v>306066212.38999999</v>
      </c>
    </row>
    <row r="76" spans="1:7" x14ac:dyDescent="0.25">
      <c r="A76" s="36">
        <v>41886</v>
      </c>
      <c r="B76" s="168">
        <f t="shared" si="12"/>
        <v>1</v>
      </c>
      <c r="C76" s="172">
        <f t="shared" si="18"/>
        <v>23633958</v>
      </c>
      <c r="D76" s="173">
        <f t="shared" si="14"/>
        <v>23466250.489999998</v>
      </c>
      <c r="E76" s="172">
        <f t="shared" si="19"/>
        <v>167707.51</v>
      </c>
      <c r="F76" s="172">
        <f t="shared" si="17"/>
        <v>306066212.38999999</v>
      </c>
      <c r="G76" s="172">
        <f t="shared" si="15"/>
        <v>282599961.89999998</v>
      </c>
    </row>
    <row r="77" spans="1:7" x14ac:dyDescent="0.25">
      <c r="A77" s="36">
        <v>41887</v>
      </c>
      <c r="B77" s="168">
        <f t="shared" si="12"/>
        <v>1</v>
      </c>
      <c r="C77" s="172">
        <f t="shared" si="18"/>
        <v>23633958</v>
      </c>
      <c r="D77" s="173">
        <f t="shared" si="14"/>
        <v>23479108.710000001</v>
      </c>
      <c r="E77" s="172">
        <f t="shared" si="19"/>
        <v>154849.29</v>
      </c>
      <c r="F77" s="172">
        <f t="shared" si="17"/>
        <v>282599961.89999998</v>
      </c>
      <c r="G77" s="172">
        <f t="shared" si="15"/>
        <v>259120853.18999997</v>
      </c>
    </row>
    <row r="78" spans="1:7" x14ac:dyDescent="0.25">
      <c r="A78" s="179">
        <v>41888</v>
      </c>
      <c r="B78" s="169">
        <f t="shared" si="12"/>
        <v>1</v>
      </c>
      <c r="C78" s="170">
        <f>$M$2</f>
        <v>8710915</v>
      </c>
      <c r="D78" s="171">
        <f t="shared" si="14"/>
        <v>8568930.9700000007</v>
      </c>
      <c r="E78" s="170">
        <f t="shared" si="19"/>
        <v>141984.03</v>
      </c>
      <c r="F78" s="170">
        <f t="shared" si="17"/>
        <v>259120853.18999997</v>
      </c>
      <c r="G78" s="170">
        <f t="shared" si="15"/>
        <v>250551922.21999997</v>
      </c>
    </row>
    <row r="79" spans="1:7" x14ac:dyDescent="0.25">
      <c r="A79" s="36">
        <v>41889</v>
      </c>
      <c r="B79" s="168">
        <f t="shared" si="12"/>
        <v>1</v>
      </c>
      <c r="C79" s="172">
        <f>$M$2</f>
        <v>8710915</v>
      </c>
      <c r="D79" s="173">
        <f t="shared" si="14"/>
        <v>8573626.2799999993</v>
      </c>
      <c r="E79" s="172">
        <f t="shared" si="19"/>
        <v>137288.72</v>
      </c>
      <c r="F79" s="172">
        <f t="shared" si="17"/>
        <v>250551922.21999997</v>
      </c>
      <c r="G79" s="172">
        <f t="shared" si="15"/>
        <v>241978295.93999997</v>
      </c>
    </row>
    <row r="80" spans="1:7" x14ac:dyDescent="0.25">
      <c r="A80" s="36">
        <v>41890</v>
      </c>
      <c r="B80" s="168">
        <f t="shared" si="12"/>
        <v>1</v>
      </c>
      <c r="C80" s="172">
        <f t="shared" ref="C80:C107" si="20">$M$2</f>
        <v>8710915</v>
      </c>
      <c r="D80" s="173">
        <f t="shared" si="14"/>
        <v>8578324.1500000004</v>
      </c>
      <c r="E80" s="172">
        <f t="shared" si="19"/>
        <v>132590.85</v>
      </c>
      <c r="F80" s="172">
        <f t="shared" si="17"/>
        <v>241978295.93999997</v>
      </c>
      <c r="G80" s="172">
        <f t="shared" si="15"/>
        <v>233399971.78999996</v>
      </c>
    </row>
    <row r="81" spans="1:7" x14ac:dyDescent="0.25">
      <c r="A81" s="36">
        <v>41891</v>
      </c>
      <c r="B81" s="168">
        <f t="shared" si="12"/>
        <v>1</v>
      </c>
      <c r="C81" s="172">
        <f t="shared" si="20"/>
        <v>8710915</v>
      </c>
      <c r="D81" s="173">
        <f t="shared" si="14"/>
        <v>8583024.5999999996</v>
      </c>
      <c r="E81" s="172">
        <f t="shared" si="19"/>
        <v>127890.4</v>
      </c>
      <c r="F81" s="172">
        <f t="shared" si="17"/>
        <v>233399971.78999996</v>
      </c>
      <c r="G81" s="172">
        <f t="shared" si="15"/>
        <v>224816947.18999997</v>
      </c>
    </row>
    <row r="82" spans="1:7" x14ac:dyDescent="0.25">
      <c r="A82" s="36">
        <v>41892</v>
      </c>
      <c r="B82" s="168">
        <f t="shared" si="12"/>
        <v>1</v>
      </c>
      <c r="C82" s="172">
        <f t="shared" si="20"/>
        <v>8710915</v>
      </c>
      <c r="D82" s="173">
        <f t="shared" si="14"/>
        <v>8587727.6300000008</v>
      </c>
      <c r="E82" s="172">
        <f t="shared" si="19"/>
        <v>123187.37</v>
      </c>
      <c r="F82" s="172">
        <f t="shared" si="17"/>
        <v>224816947.18999997</v>
      </c>
      <c r="G82" s="172">
        <f t="shared" si="15"/>
        <v>216229219.55999997</v>
      </c>
    </row>
    <row r="83" spans="1:7" x14ac:dyDescent="0.25">
      <c r="A83" s="36">
        <v>41893</v>
      </c>
      <c r="B83" s="168">
        <f t="shared" si="12"/>
        <v>1</v>
      </c>
      <c r="C83" s="172">
        <f t="shared" si="20"/>
        <v>8710915</v>
      </c>
      <c r="D83" s="173">
        <f t="shared" si="14"/>
        <v>8592433.2400000002</v>
      </c>
      <c r="E83" s="172">
        <f t="shared" si="19"/>
        <v>118481.76</v>
      </c>
      <c r="F83" s="172">
        <f t="shared" si="17"/>
        <v>216229219.55999997</v>
      </c>
      <c r="G83" s="172">
        <f t="shared" si="15"/>
        <v>207636786.31999996</v>
      </c>
    </row>
    <row r="84" spans="1:7" x14ac:dyDescent="0.25">
      <c r="A84" s="36">
        <v>41894</v>
      </c>
      <c r="B84" s="168">
        <f t="shared" si="12"/>
        <v>1</v>
      </c>
      <c r="C84" s="172">
        <f t="shared" si="20"/>
        <v>8710915</v>
      </c>
      <c r="D84" s="173">
        <f t="shared" si="14"/>
        <v>8597141.4199999999</v>
      </c>
      <c r="E84" s="172">
        <f t="shared" si="19"/>
        <v>113773.58</v>
      </c>
      <c r="F84" s="172">
        <f t="shared" si="17"/>
        <v>207636786.31999996</v>
      </c>
      <c r="G84" s="172">
        <f t="shared" si="15"/>
        <v>199039644.89999998</v>
      </c>
    </row>
    <row r="85" spans="1:7" x14ac:dyDescent="0.25">
      <c r="A85" s="36">
        <v>41895</v>
      </c>
      <c r="B85" s="168">
        <f t="shared" si="12"/>
        <v>1</v>
      </c>
      <c r="C85" s="172">
        <f t="shared" si="20"/>
        <v>8710915</v>
      </c>
      <c r="D85" s="173">
        <f t="shared" si="14"/>
        <v>8601852.1799999997</v>
      </c>
      <c r="E85" s="172">
        <f t="shared" si="19"/>
        <v>109062.82</v>
      </c>
      <c r="F85" s="172">
        <f t="shared" si="17"/>
        <v>199039644.89999998</v>
      </c>
      <c r="G85" s="172">
        <f t="shared" si="15"/>
        <v>190437792.71999997</v>
      </c>
    </row>
    <row r="86" spans="1:7" x14ac:dyDescent="0.25">
      <c r="A86" s="36">
        <v>41896</v>
      </c>
      <c r="B86" s="168">
        <f t="shared" si="12"/>
        <v>1</v>
      </c>
      <c r="C86" s="172">
        <f t="shared" si="20"/>
        <v>8710915</v>
      </c>
      <c r="D86" s="173">
        <f t="shared" si="14"/>
        <v>8606565.5199999996</v>
      </c>
      <c r="E86" s="172">
        <f t="shared" si="19"/>
        <v>104349.48</v>
      </c>
      <c r="F86" s="172">
        <f t="shared" si="17"/>
        <v>190437792.71999997</v>
      </c>
      <c r="G86" s="172">
        <f t="shared" si="15"/>
        <v>181831227.19999996</v>
      </c>
    </row>
    <row r="87" spans="1:7" x14ac:dyDescent="0.25">
      <c r="A87" s="36">
        <v>41897</v>
      </c>
      <c r="B87" s="168">
        <f t="shared" si="12"/>
        <v>1</v>
      </c>
      <c r="C87" s="172">
        <f t="shared" si="20"/>
        <v>8710915</v>
      </c>
      <c r="D87" s="173">
        <f t="shared" si="14"/>
        <v>8611281.4499999993</v>
      </c>
      <c r="E87" s="172">
        <f t="shared" si="19"/>
        <v>99633.55</v>
      </c>
      <c r="F87" s="172">
        <f t="shared" si="17"/>
        <v>181831227.19999996</v>
      </c>
      <c r="G87" s="172">
        <f t="shared" si="15"/>
        <v>173219945.74999997</v>
      </c>
    </row>
    <row r="88" spans="1:7" x14ac:dyDescent="0.25">
      <c r="A88" s="36">
        <v>41898</v>
      </c>
      <c r="B88" s="168">
        <f t="shared" si="12"/>
        <v>1</v>
      </c>
      <c r="C88" s="172">
        <f t="shared" si="20"/>
        <v>8710915</v>
      </c>
      <c r="D88" s="173">
        <f t="shared" si="14"/>
        <v>8615999.9600000009</v>
      </c>
      <c r="E88" s="172">
        <f t="shared" si="19"/>
        <v>94915.04</v>
      </c>
      <c r="F88" s="172">
        <f t="shared" si="17"/>
        <v>173219945.74999997</v>
      </c>
      <c r="G88" s="172">
        <f t="shared" si="15"/>
        <v>164603945.78999996</v>
      </c>
    </row>
    <row r="89" spans="1:7" x14ac:dyDescent="0.25">
      <c r="A89" s="36">
        <v>41899</v>
      </c>
      <c r="B89" s="168">
        <f t="shared" si="12"/>
        <v>1</v>
      </c>
      <c r="C89" s="172">
        <f t="shared" si="20"/>
        <v>8710915</v>
      </c>
      <c r="D89" s="173">
        <f t="shared" si="14"/>
        <v>8620721.0600000005</v>
      </c>
      <c r="E89" s="172">
        <f t="shared" si="19"/>
        <v>90193.94</v>
      </c>
      <c r="F89" s="172">
        <f t="shared" si="17"/>
        <v>164603945.78999996</v>
      </c>
      <c r="G89" s="172">
        <f t="shared" si="15"/>
        <v>155983224.72999996</v>
      </c>
    </row>
    <row r="90" spans="1:7" x14ac:dyDescent="0.25">
      <c r="A90" s="36">
        <v>41900</v>
      </c>
      <c r="B90" s="168">
        <f t="shared" si="12"/>
        <v>1</v>
      </c>
      <c r="C90" s="172">
        <f t="shared" si="20"/>
        <v>8710915</v>
      </c>
      <c r="D90" s="173">
        <f t="shared" si="14"/>
        <v>8625444.7400000002</v>
      </c>
      <c r="E90" s="172">
        <f t="shared" si="19"/>
        <v>85470.26</v>
      </c>
      <c r="F90" s="172">
        <f t="shared" si="17"/>
        <v>155983224.72999996</v>
      </c>
      <c r="G90" s="172">
        <f t="shared" si="15"/>
        <v>147357779.98999995</v>
      </c>
    </row>
    <row r="91" spans="1:7" x14ac:dyDescent="0.25">
      <c r="A91" s="36">
        <v>41901</v>
      </c>
      <c r="B91" s="168">
        <f t="shared" si="12"/>
        <v>1</v>
      </c>
      <c r="C91" s="172">
        <f t="shared" si="20"/>
        <v>8710915</v>
      </c>
      <c r="D91" s="173">
        <f t="shared" si="14"/>
        <v>8630171.0099999998</v>
      </c>
      <c r="E91" s="172">
        <f t="shared" si="19"/>
        <v>80743.990000000005</v>
      </c>
      <c r="F91" s="172">
        <f t="shared" si="17"/>
        <v>147357779.98999995</v>
      </c>
      <c r="G91" s="172">
        <f t="shared" si="15"/>
        <v>138727608.97999996</v>
      </c>
    </row>
    <row r="92" spans="1:7" x14ac:dyDescent="0.25">
      <c r="A92" s="36">
        <v>41902</v>
      </c>
      <c r="B92" s="168">
        <f t="shared" si="12"/>
        <v>1</v>
      </c>
      <c r="C92" s="172">
        <f t="shared" si="20"/>
        <v>8710915</v>
      </c>
      <c r="D92" s="173">
        <f t="shared" si="14"/>
        <v>8634899.8699999992</v>
      </c>
      <c r="E92" s="172">
        <f t="shared" si="19"/>
        <v>76015.13</v>
      </c>
      <c r="F92" s="172">
        <f t="shared" si="17"/>
        <v>138727608.97999996</v>
      </c>
      <c r="G92" s="172">
        <f t="shared" si="15"/>
        <v>130092709.10999995</v>
      </c>
    </row>
    <row r="93" spans="1:7" x14ac:dyDescent="0.25">
      <c r="A93" s="36">
        <v>41903</v>
      </c>
      <c r="B93" s="168">
        <f t="shared" si="12"/>
        <v>1</v>
      </c>
      <c r="C93" s="172">
        <f t="shared" si="20"/>
        <v>8710915</v>
      </c>
      <c r="D93" s="173">
        <f t="shared" si="14"/>
        <v>8639631.3200000003</v>
      </c>
      <c r="E93" s="172">
        <f t="shared" si="19"/>
        <v>71283.679999999993</v>
      </c>
      <c r="F93" s="172">
        <f t="shared" si="17"/>
        <v>130092709.10999995</v>
      </c>
      <c r="G93" s="172">
        <f t="shared" si="15"/>
        <v>121453077.78999996</v>
      </c>
    </row>
    <row r="94" spans="1:7" x14ac:dyDescent="0.25">
      <c r="A94" s="36">
        <v>41904</v>
      </c>
      <c r="B94" s="168">
        <f t="shared" si="12"/>
        <v>1</v>
      </c>
      <c r="C94" s="172">
        <f t="shared" si="20"/>
        <v>8710915</v>
      </c>
      <c r="D94" s="173">
        <f t="shared" si="14"/>
        <v>8644365.3699999992</v>
      </c>
      <c r="E94" s="172">
        <f t="shared" si="19"/>
        <v>66549.63</v>
      </c>
      <c r="F94" s="172">
        <f t="shared" si="17"/>
        <v>121453077.78999996</v>
      </c>
      <c r="G94" s="172">
        <f t="shared" si="15"/>
        <v>112808712.41999996</v>
      </c>
    </row>
    <row r="95" spans="1:7" x14ac:dyDescent="0.25">
      <c r="A95" s="36">
        <v>41905</v>
      </c>
      <c r="B95" s="168">
        <f t="shared" si="12"/>
        <v>1</v>
      </c>
      <c r="C95" s="172">
        <f t="shared" si="20"/>
        <v>8710915</v>
      </c>
      <c r="D95" s="173">
        <f t="shared" si="14"/>
        <v>8649102.0099999998</v>
      </c>
      <c r="E95" s="172">
        <f t="shared" si="19"/>
        <v>61812.99</v>
      </c>
      <c r="F95" s="172">
        <f t="shared" si="17"/>
        <v>112808712.41999996</v>
      </c>
      <c r="G95" s="172">
        <f t="shared" si="15"/>
        <v>104159610.40999995</v>
      </c>
    </row>
    <row r="96" spans="1:7" x14ac:dyDescent="0.25">
      <c r="A96" s="36">
        <v>41906</v>
      </c>
      <c r="B96" s="168">
        <f t="shared" si="12"/>
        <v>1</v>
      </c>
      <c r="C96" s="172">
        <f t="shared" si="20"/>
        <v>8710915</v>
      </c>
      <c r="D96" s="173">
        <f t="shared" si="14"/>
        <v>8653841.2400000002</v>
      </c>
      <c r="E96" s="172">
        <f t="shared" si="19"/>
        <v>57073.760000000002</v>
      </c>
      <c r="F96" s="172">
        <f t="shared" si="17"/>
        <v>104159610.40999995</v>
      </c>
      <c r="G96" s="172">
        <f t="shared" si="15"/>
        <v>95505769.169999957</v>
      </c>
    </row>
    <row r="97" spans="1:7" x14ac:dyDescent="0.25">
      <c r="A97" s="36">
        <v>41907</v>
      </c>
      <c r="B97" s="168">
        <f t="shared" si="12"/>
        <v>1</v>
      </c>
      <c r="C97" s="172">
        <f t="shared" si="20"/>
        <v>8710915</v>
      </c>
      <c r="D97" s="173">
        <f t="shared" si="14"/>
        <v>8658583.0700000003</v>
      </c>
      <c r="E97" s="172">
        <f t="shared" si="19"/>
        <v>52331.93</v>
      </c>
      <c r="F97" s="172">
        <f t="shared" si="17"/>
        <v>95505769.169999957</v>
      </c>
      <c r="G97" s="172">
        <f t="shared" si="15"/>
        <v>86847186.099999964</v>
      </c>
    </row>
    <row r="98" spans="1:7" x14ac:dyDescent="0.25">
      <c r="A98" s="36">
        <v>41908</v>
      </c>
      <c r="B98" s="168">
        <f t="shared" si="12"/>
        <v>1</v>
      </c>
      <c r="C98" s="172">
        <f t="shared" si="20"/>
        <v>8710915</v>
      </c>
      <c r="D98" s="173">
        <f t="shared" si="14"/>
        <v>8663327.5</v>
      </c>
      <c r="E98" s="172">
        <f t="shared" si="19"/>
        <v>47587.5</v>
      </c>
      <c r="F98" s="172">
        <f t="shared" si="17"/>
        <v>86847186.099999964</v>
      </c>
      <c r="G98" s="172">
        <f t="shared" si="15"/>
        <v>78183858.599999964</v>
      </c>
    </row>
    <row r="99" spans="1:7" x14ac:dyDescent="0.25">
      <c r="A99" s="36">
        <v>41909</v>
      </c>
      <c r="B99" s="168">
        <f t="shared" si="12"/>
        <v>1</v>
      </c>
      <c r="C99" s="172">
        <f t="shared" si="20"/>
        <v>8710915</v>
      </c>
      <c r="D99" s="173">
        <f t="shared" si="14"/>
        <v>8668074.5299999993</v>
      </c>
      <c r="E99" s="172">
        <f t="shared" si="19"/>
        <v>42840.47</v>
      </c>
      <c r="F99" s="172">
        <f t="shared" si="17"/>
        <v>78183858.599999964</v>
      </c>
      <c r="G99" s="172">
        <f t="shared" si="15"/>
        <v>69515784.069999963</v>
      </c>
    </row>
    <row r="100" spans="1:7" x14ac:dyDescent="0.25">
      <c r="A100" s="36">
        <v>41910</v>
      </c>
      <c r="B100" s="168">
        <f t="shared" si="12"/>
        <v>1</v>
      </c>
      <c r="C100" s="172">
        <f t="shared" si="20"/>
        <v>8710915</v>
      </c>
      <c r="D100" s="173">
        <f t="shared" si="14"/>
        <v>8672824.1600000001</v>
      </c>
      <c r="E100" s="172">
        <f t="shared" si="19"/>
        <v>38090.839999999997</v>
      </c>
      <c r="F100" s="172">
        <f t="shared" si="17"/>
        <v>69515784.069999963</v>
      </c>
      <c r="G100" s="172">
        <f t="shared" si="15"/>
        <v>60842959.909999967</v>
      </c>
    </row>
    <row r="101" spans="1:7" x14ac:dyDescent="0.25">
      <c r="A101" s="36">
        <v>41911</v>
      </c>
      <c r="B101" s="168">
        <f t="shared" si="12"/>
        <v>1</v>
      </c>
      <c r="C101" s="172">
        <f t="shared" si="20"/>
        <v>8710915</v>
      </c>
      <c r="D101" s="173">
        <f t="shared" si="14"/>
        <v>8677576.3900000006</v>
      </c>
      <c r="E101" s="172">
        <f t="shared" si="19"/>
        <v>33338.61</v>
      </c>
      <c r="F101" s="172">
        <f t="shared" si="17"/>
        <v>60842959.909999967</v>
      </c>
      <c r="G101" s="172">
        <f t="shared" si="15"/>
        <v>52165383.519999966</v>
      </c>
    </row>
    <row r="102" spans="1:7" x14ac:dyDescent="0.25">
      <c r="A102" s="36">
        <v>41912</v>
      </c>
      <c r="B102" s="168">
        <f t="shared" si="12"/>
        <v>1</v>
      </c>
      <c r="C102" s="172">
        <f t="shared" si="20"/>
        <v>8710915</v>
      </c>
      <c r="D102" s="173">
        <f t="shared" si="14"/>
        <v>8682331.2300000004</v>
      </c>
      <c r="E102" s="172">
        <f t="shared" si="19"/>
        <v>28583.77</v>
      </c>
      <c r="F102" s="172">
        <f t="shared" si="17"/>
        <v>52165383.519999966</v>
      </c>
      <c r="G102" s="172">
        <f t="shared" si="15"/>
        <v>43483052.289999962</v>
      </c>
    </row>
    <row r="103" spans="1:7" x14ac:dyDescent="0.25">
      <c r="A103" s="36">
        <v>41913</v>
      </c>
      <c r="B103" s="168">
        <f t="shared" si="12"/>
        <v>1</v>
      </c>
      <c r="C103" s="172">
        <f t="shared" si="20"/>
        <v>8710915</v>
      </c>
      <c r="D103" s="173">
        <f t="shared" si="14"/>
        <v>8687088.6699999999</v>
      </c>
      <c r="E103" s="172">
        <f t="shared" si="19"/>
        <v>23826.33</v>
      </c>
      <c r="F103" s="172">
        <f t="shared" si="17"/>
        <v>43483052.289999962</v>
      </c>
      <c r="G103" s="172">
        <f t="shared" si="15"/>
        <v>34795963.61999996</v>
      </c>
    </row>
    <row r="104" spans="1:7" x14ac:dyDescent="0.25">
      <c r="A104" s="36">
        <v>41914</v>
      </c>
      <c r="B104" s="168">
        <f t="shared" si="12"/>
        <v>1</v>
      </c>
      <c r="C104" s="172">
        <f t="shared" si="20"/>
        <v>8710915</v>
      </c>
      <c r="D104" s="173">
        <f t="shared" si="14"/>
        <v>8691848.7200000007</v>
      </c>
      <c r="E104" s="172">
        <f t="shared" si="19"/>
        <v>19066.28</v>
      </c>
      <c r="F104" s="172">
        <f t="shared" si="17"/>
        <v>34795963.61999996</v>
      </c>
      <c r="G104" s="172">
        <f t="shared" si="15"/>
        <v>26104114.899999961</v>
      </c>
    </row>
    <row r="105" spans="1:7" x14ac:dyDescent="0.25">
      <c r="A105" s="36">
        <v>41915</v>
      </c>
      <c r="B105" s="168">
        <f t="shared" si="12"/>
        <v>1</v>
      </c>
      <c r="C105" s="172">
        <f t="shared" si="20"/>
        <v>8710915</v>
      </c>
      <c r="D105" s="173">
        <f t="shared" si="14"/>
        <v>8696611.3800000008</v>
      </c>
      <c r="E105" s="172">
        <f t="shared" si="19"/>
        <v>14303.62</v>
      </c>
      <c r="F105" s="172">
        <f t="shared" si="17"/>
        <v>26104114.899999961</v>
      </c>
      <c r="G105" s="172">
        <f t="shared" si="15"/>
        <v>17407503.519999959</v>
      </c>
    </row>
    <row r="106" spans="1:7" x14ac:dyDescent="0.25">
      <c r="A106" s="36">
        <v>41916</v>
      </c>
      <c r="B106" s="168">
        <f t="shared" si="12"/>
        <v>1</v>
      </c>
      <c r="C106" s="172">
        <f t="shared" si="20"/>
        <v>8710915</v>
      </c>
      <c r="D106" s="173">
        <f t="shared" si="14"/>
        <v>8701376.6400000006</v>
      </c>
      <c r="E106" s="172">
        <f t="shared" si="19"/>
        <v>9538.36</v>
      </c>
      <c r="F106" s="172">
        <f t="shared" si="17"/>
        <v>17407503.519999959</v>
      </c>
      <c r="G106" s="172">
        <f t="shared" si="15"/>
        <v>8706126.879999958</v>
      </c>
    </row>
    <row r="107" spans="1:7" x14ac:dyDescent="0.25">
      <c r="A107" s="36">
        <v>41917</v>
      </c>
      <c r="B107" s="168">
        <f t="shared" si="12"/>
        <v>1</v>
      </c>
      <c r="C107" s="172">
        <f t="shared" si="20"/>
        <v>8710915</v>
      </c>
      <c r="D107" s="173">
        <f t="shared" si="14"/>
        <v>8706126.879999958</v>
      </c>
      <c r="E107" s="172">
        <v>4788.1200000415738</v>
      </c>
      <c r="F107" s="172">
        <f t="shared" si="17"/>
        <v>8706126.879999958</v>
      </c>
      <c r="G107" s="172">
        <f t="shared" si="15"/>
        <v>0</v>
      </c>
    </row>
  </sheetData>
  <pageMargins left="0.7" right="0.7" top="0.75" bottom="0.75" header="0.3" footer="0.3"/>
  <pageSetup orientation="portrait" r:id="rId1"/>
</worksheet>
</file>

<file path=xl/worksheets/sheet1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996227-1471-4B7B-8AD8-B7A5E3EEEB3D}">
  <dimension ref="A1:AA2"/>
  <sheetViews>
    <sheetView workbookViewId="0">
      <selection activeCell="A2" sqref="A2"/>
    </sheetView>
  </sheetViews>
  <sheetFormatPr defaultRowHeight="15" x14ac:dyDescent="0.25"/>
  <cols>
    <col min="1" max="1" width="9.5703125" bestFit="1" customWidth="1"/>
    <col min="2" max="2" width="12.5703125" bestFit="1" customWidth="1"/>
    <col min="3" max="3" width="12.7109375" bestFit="1" customWidth="1"/>
    <col min="4" max="4" width="13.28515625" bestFit="1" customWidth="1"/>
    <col min="5" max="5" width="16" bestFit="1" customWidth="1"/>
    <col min="6" max="6" width="14" bestFit="1" customWidth="1"/>
    <col min="7" max="7" width="8.5703125" bestFit="1" customWidth="1"/>
    <col min="8" max="8" width="7" bestFit="1" customWidth="1"/>
    <col min="9" max="9" width="8.42578125" bestFit="1" customWidth="1"/>
    <col min="10" max="10" width="24" bestFit="1" customWidth="1"/>
    <col min="11" max="11" width="15.7109375" bestFit="1" customWidth="1"/>
    <col min="12" max="12" width="10" bestFit="1" customWidth="1"/>
    <col min="13" max="13" width="19.85546875" bestFit="1" customWidth="1"/>
    <col min="14" max="14" width="12.85546875" bestFit="1" customWidth="1"/>
    <col min="15" max="16" width="17" bestFit="1" customWidth="1"/>
    <col min="17" max="17" width="16.85546875" bestFit="1" customWidth="1"/>
    <col min="18" max="19" width="17" bestFit="1" customWidth="1"/>
    <col min="20" max="20" width="16.85546875" bestFit="1" customWidth="1"/>
    <col min="21" max="22" width="17" bestFit="1" customWidth="1"/>
    <col min="23" max="23" width="16.85546875" bestFit="1" customWidth="1"/>
    <col min="24" max="26" width="16.85546875" customWidth="1"/>
    <col min="27" max="27" width="116.28515625" bestFit="1" customWidth="1"/>
  </cols>
  <sheetData>
    <row r="1" spans="1:27" x14ac:dyDescent="0.25">
      <c r="A1" s="11" t="s">
        <v>30</v>
      </c>
      <c r="B1" s="6" t="s">
        <v>1</v>
      </c>
      <c r="C1" s="6" t="s">
        <v>2</v>
      </c>
      <c r="D1" s="6" t="s">
        <v>10</v>
      </c>
      <c r="E1" s="6" t="s">
        <v>11</v>
      </c>
      <c r="F1" s="6" t="s">
        <v>12</v>
      </c>
      <c r="G1" s="6" t="s">
        <v>16</v>
      </c>
      <c r="H1" s="6" t="s">
        <v>3</v>
      </c>
      <c r="I1" s="6" t="s">
        <v>4</v>
      </c>
      <c r="J1" s="6" t="s">
        <v>5</v>
      </c>
      <c r="K1" s="6" t="s">
        <v>6</v>
      </c>
      <c r="L1" s="6" t="s">
        <v>7</v>
      </c>
      <c r="M1" s="6" t="s">
        <v>8</v>
      </c>
      <c r="N1" s="6" t="s">
        <v>43</v>
      </c>
      <c r="O1" s="6" t="s">
        <v>47</v>
      </c>
      <c r="P1" s="6" t="s">
        <v>48</v>
      </c>
      <c r="Q1" s="6" t="s">
        <v>49</v>
      </c>
      <c r="R1" s="6" t="s">
        <v>129</v>
      </c>
      <c r="S1" s="6" t="s">
        <v>130</v>
      </c>
      <c r="T1" s="6" t="s">
        <v>131</v>
      </c>
      <c r="U1" s="6" t="s">
        <v>132</v>
      </c>
      <c r="V1" s="6" t="s">
        <v>133</v>
      </c>
      <c r="W1" s="6" t="s">
        <v>134</v>
      </c>
      <c r="X1" s="6" t="s">
        <v>164</v>
      </c>
      <c r="Y1" s="6" t="s">
        <v>165</v>
      </c>
      <c r="Z1" s="6" t="s">
        <v>166</v>
      </c>
      <c r="AA1" s="6" t="s">
        <v>32</v>
      </c>
    </row>
    <row r="2" spans="1:27" x14ac:dyDescent="0.25">
      <c r="A2" s="12" t="s">
        <v>0</v>
      </c>
      <c r="B2" s="7" t="s">
        <v>9</v>
      </c>
      <c r="C2" s="7" t="s">
        <v>39</v>
      </c>
      <c r="D2" s="8" t="s">
        <v>40</v>
      </c>
      <c r="E2" s="8" t="s">
        <v>23</v>
      </c>
      <c r="F2" s="8" t="s">
        <v>41</v>
      </c>
      <c r="G2" s="8" t="s">
        <v>24</v>
      </c>
      <c r="H2" s="8" t="s">
        <v>325</v>
      </c>
      <c r="I2" s="8" t="s">
        <v>0</v>
      </c>
      <c r="J2" s="8" t="s">
        <v>42</v>
      </c>
      <c r="K2" s="8" t="s">
        <v>25</v>
      </c>
      <c r="L2" s="8" t="s">
        <v>326</v>
      </c>
      <c r="M2" s="8" t="s">
        <v>27</v>
      </c>
      <c r="N2" s="7" t="s">
        <v>29</v>
      </c>
      <c r="O2" s="7" t="s">
        <v>439</v>
      </c>
      <c r="P2" s="7" t="s">
        <v>45</v>
      </c>
      <c r="Q2" s="7" t="s">
        <v>46</v>
      </c>
      <c r="R2" s="7" t="s">
        <v>448</v>
      </c>
      <c r="S2" s="7" t="s">
        <v>21</v>
      </c>
      <c r="T2" s="7" t="s">
        <v>79</v>
      </c>
      <c r="U2" s="7" t="s">
        <v>95</v>
      </c>
      <c r="V2" s="7" t="s">
        <v>104</v>
      </c>
      <c r="W2" s="7" t="s">
        <v>444</v>
      </c>
      <c r="X2" s="7" t="s">
        <v>206</v>
      </c>
      <c r="Y2" s="7" t="s">
        <v>141</v>
      </c>
      <c r="Z2" s="7" t="s">
        <v>453</v>
      </c>
      <c r="AA2" s="165" t="s">
        <v>449</v>
      </c>
    </row>
  </sheetData>
  <pageMargins left="0.7" right="0.7" top="0.75" bottom="0.75" header="0.3" footer="0.3"/>
</worksheet>
</file>

<file path=xl/worksheets/sheet1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2F6C4E-41F2-47EC-8947-FE511693491F}">
  <dimension ref="A1:Q108"/>
  <sheetViews>
    <sheetView zoomScale="86" zoomScaleNormal="80" workbookViewId="0">
      <pane ySplit="3" topLeftCell="A4" activePane="bottomLeft" state="frozen"/>
      <selection activeCell="K82" sqref="K82"/>
      <selection pane="bottomLeft" activeCell="K82" sqref="K82"/>
    </sheetView>
  </sheetViews>
  <sheetFormatPr defaultRowHeight="15" x14ac:dyDescent="0.25"/>
  <cols>
    <col min="1" max="1" width="16.7109375" customWidth="1"/>
    <col min="2" max="2" width="13.5703125" bestFit="1" customWidth="1"/>
    <col min="3" max="3" width="25.140625" bestFit="1" customWidth="1"/>
    <col min="4" max="4" width="14" bestFit="1" customWidth="1"/>
    <col min="5" max="5" width="17.140625" bestFit="1" customWidth="1"/>
    <col min="6" max="6" width="17" bestFit="1" customWidth="1"/>
    <col min="7" max="7" width="24.140625" customWidth="1"/>
    <col min="8" max="8" width="16.7109375" bestFit="1" customWidth="1"/>
    <col min="9" max="11" width="16.7109375" customWidth="1"/>
    <col min="12" max="12" width="23.7109375" bestFit="1" customWidth="1"/>
    <col min="13" max="13" width="17" customWidth="1"/>
    <col min="14" max="14" width="18.28515625" customWidth="1"/>
    <col min="15" max="15" width="15" customWidth="1"/>
    <col min="16" max="16" width="25.7109375" customWidth="1"/>
    <col min="17" max="17" width="10.28515625" bestFit="1" customWidth="1"/>
  </cols>
  <sheetData>
    <row r="1" spans="1:17" x14ac:dyDescent="0.25">
      <c r="A1" s="17" t="s">
        <v>33</v>
      </c>
      <c r="B1" s="78">
        <v>41855</v>
      </c>
      <c r="C1" s="17" t="s">
        <v>37</v>
      </c>
      <c r="D1" s="79">
        <f>ROUNDUP(23780281.4126192,0)</f>
        <v>23780282</v>
      </c>
      <c r="E1" s="83" t="s">
        <v>106</v>
      </c>
      <c r="F1" s="166">
        <f>ROUNDUP(23598445.7971135,0)</f>
        <v>23598446</v>
      </c>
      <c r="G1" s="83" t="s">
        <v>52</v>
      </c>
      <c r="H1" s="81">
        <v>41867</v>
      </c>
      <c r="I1" s="222" t="s">
        <v>450</v>
      </c>
      <c r="J1" s="222">
        <v>41877</v>
      </c>
      <c r="K1" s="222" t="s">
        <v>451</v>
      </c>
      <c r="L1" s="73" t="s">
        <v>125</v>
      </c>
      <c r="M1" s="74">
        <v>41887</v>
      </c>
      <c r="N1" s="77" t="s">
        <v>3</v>
      </c>
      <c r="O1" s="79">
        <v>61</v>
      </c>
      <c r="P1" s="73" t="s">
        <v>173</v>
      </c>
      <c r="Q1" s="74">
        <v>41913</v>
      </c>
    </row>
    <row r="2" spans="1:17" x14ac:dyDescent="0.25">
      <c r="A2" s="75" t="s">
        <v>34</v>
      </c>
      <c r="B2" s="76">
        <v>0.15</v>
      </c>
      <c r="C2" s="167">
        <v>990000000</v>
      </c>
      <c r="G2" s="83" t="s">
        <v>127</v>
      </c>
      <c r="H2" s="83">
        <v>5600000</v>
      </c>
      <c r="I2" s="223" t="s">
        <v>452</v>
      </c>
      <c r="J2" s="224">
        <v>0.2</v>
      </c>
      <c r="K2" s="223">
        <f>ROUNDUP(23633957.8656557,0)</f>
        <v>23633958</v>
      </c>
      <c r="L2" s="77" t="s">
        <v>126</v>
      </c>
      <c r="M2" s="79">
        <f>ROUNDUP(8710914.41737308,0)</f>
        <v>8710915</v>
      </c>
      <c r="P2" s="77" t="s">
        <v>174</v>
      </c>
      <c r="Q2" s="83">
        <v>7000000</v>
      </c>
    </row>
    <row r="3" spans="1:17" x14ac:dyDescent="0.25">
      <c r="A3" s="58" t="s">
        <v>17</v>
      </c>
      <c r="B3" s="58" t="s">
        <v>18</v>
      </c>
      <c r="C3" s="58" t="s">
        <v>14</v>
      </c>
      <c r="D3" s="58" t="s">
        <v>22</v>
      </c>
      <c r="E3" s="58" t="s">
        <v>21</v>
      </c>
      <c r="F3" s="58" t="s">
        <v>19</v>
      </c>
      <c r="G3" s="58" t="s">
        <v>20</v>
      </c>
      <c r="H3" s="59" t="s">
        <v>35</v>
      </c>
      <c r="I3" s="59" t="s">
        <v>36</v>
      </c>
      <c r="J3" s="59"/>
      <c r="K3" s="59"/>
      <c r="L3" s="59"/>
    </row>
    <row r="4" spans="1:17" x14ac:dyDescent="0.25">
      <c r="A4" s="36">
        <v>41856</v>
      </c>
      <c r="B4" s="46">
        <f>A4-B1</f>
        <v>1</v>
      </c>
      <c r="C4" s="47">
        <v>0</v>
      </c>
      <c r="D4" s="48">
        <v>0</v>
      </c>
      <c r="E4" s="68">
        <v>0</v>
      </c>
      <c r="F4" s="47">
        <v>0</v>
      </c>
      <c r="G4" s="47">
        <v>0</v>
      </c>
    </row>
    <row r="5" spans="1:17" x14ac:dyDescent="0.25">
      <c r="A5" s="36">
        <v>41857</v>
      </c>
      <c r="B5" s="46">
        <f>A5-A4</f>
        <v>1</v>
      </c>
      <c r="C5" s="47">
        <f>$D$1</f>
        <v>23780282</v>
      </c>
      <c r="D5" s="48">
        <f t="shared" ref="D5:D56" si="0">C5-E5</f>
        <v>23373432.68</v>
      </c>
      <c r="E5" s="68">
        <f>ROUND(F5*$B$2*B5/365,2)</f>
        <v>406849.32</v>
      </c>
      <c r="F5" s="47">
        <f>C2</f>
        <v>990000000</v>
      </c>
      <c r="G5" s="47">
        <f>F5-D5</f>
        <v>966626567.32000005</v>
      </c>
    </row>
    <row r="6" spans="1:17" x14ac:dyDescent="0.25">
      <c r="A6" s="36">
        <v>41858</v>
      </c>
      <c r="B6" s="46">
        <f t="shared" ref="B6:B46" si="1">A6-A5</f>
        <v>1</v>
      </c>
      <c r="C6" s="47">
        <f t="shared" ref="C6:C56" si="2">$D$1</f>
        <v>23780282</v>
      </c>
      <c r="D6" s="48">
        <f t="shared" si="0"/>
        <v>23383038.210000001</v>
      </c>
      <c r="E6" s="68">
        <f t="shared" ref="E6:E45" si="3">ROUND(F6*$B$2*B6/365,2)</f>
        <v>397243.79</v>
      </c>
      <c r="F6" s="47">
        <f t="shared" ref="F6:F46" si="4">G5</f>
        <v>966626567.32000005</v>
      </c>
      <c r="G6" s="47">
        <f t="shared" ref="G6:G46" si="5">F6-D6</f>
        <v>943243529.11000001</v>
      </c>
    </row>
    <row r="7" spans="1:17" x14ac:dyDescent="0.25">
      <c r="A7" s="36">
        <v>41859</v>
      </c>
      <c r="B7" s="46">
        <f t="shared" si="1"/>
        <v>1</v>
      </c>
      <c r="C7" s="47">
        <f t="shared" si="2"/>
        <v>23780282</v>
      </c>
      <c r="D7" s="48">
        <f t="shared" si="0"/>
        <v>23392647.670000002</v>
      </c>
      <c r="E7" s="68">
        <f t="shared" si="3"/>
        <v>387634.33</v>
      </c>
      <c r="F7" s="47">
        <f t="shared" si="4"/>
        <v>943243529.11000001</v>
      </c>
      <c r="G7" s="47">
        <f t="shared" si="5"/>
        <v>919850881.44000006</v>
      </c>
    </row>
    <row r="8" spans="1:17" x14ac:dyDescent="0.25">
      <c r="A8" s="36">
        <v>41860</v>
      </c>
      <c r="B8" s="46">
        <f t="shared" si="1"/>
        <v>1</v>
      </c>
      <c r="C8" s="47">
        <f t="shared" si="2"/>
        <v>23780282</v>
      </c>
      <c r="D8" s="48">
        <f t="shared" si="0"/>
        <v>23402261.09</v>
      </c>
      <c r="E8" s="68">
        <f t="shared" si="3"/>
        <v>378020.91</v>
      </c>
      <c r="F8" s="47">
        <f t="shared" si="4"/>
        <v>919850881.44000006</v>
      </c>
      <c r="G8" s="47">
        <f t="shared" si="5"/>
        <v>896448620.35000002</v>
      </c>
    </row>
    <row r="9" spans="1:17" x14ac:dyDescent="0.25">
      <c r="A9" s="36">
        <v>41861</v>
      </c>
      <c r="B9" s="46">
        <f t="shared" si="1"/>
        <v>1</v>
      </c>
      <c r="C9" s="47">
        <f t="shared" si="2"/>
        <v>23780282</v>
      </c>
      <c r="D9" s="48">
        <f t="shared" si="0"/>
        <v>23411878.460000001</v>
      </c>
      <c r="E9" s="68">
        <f t="shared" si="3"/>
        <v>368403.54</v>
      </c>
      <c r="F9" s="47">
        <f t="shared" si="4"/>
        <v>896448620.35000002</v>
      </c>
      <c r="G9" s="47">
        <f t="shared" si="5"/>
        <v>873036741.88999999</v>
      </c>
    </row>
    <row r="10" spans="1:17" x14ac:dyDescent="0.25">
      <c r="A10" s="36">
        <v>41862</v>
      </c>
      <c r="B10" s="46">
        <f t="shared" si="1"/>
        <v>1</v>
      </c>
      <c r="C10" s="47">
        <f t="shared" si="2"/>
        <v>23780282</v>
      </c>
      <c r="D10" s="48">
        <f t="shared" si="0"/>
        <v>23421499.780000001</v>
      </c>
      <c r="E10" s="68">
        <f t="shared" si="3"/>
        <v>358782.22</v>
      </c>
      <c r="F10" s="47">
        <f t="shared" si="4"/>
        <v>873036741.88999999</v>
      </c>
      <c r="G10" s="47">
        <f t="shared" si="5"/>
        <v>849615242.11000001</v>
      </c>
    </row>
    <row r="11" spans="1:17" x14ac:dyDescent="0.25">
      <c r="A11" s="36">
        <v>41863</v>
      </c>
      <c r="B11" s="46">
        <f t="shared" si="1"/>
        <v>1</v>
      </c>
      <c r="C11" s="47">
        <f t="shared" si="2"/>
        <v>23780282</v>
      </c>
      <c r="D11" s="48">
        <f t="shared" si="0"/>
        <v>23431125.050000001</v>
      </c>
      <c r="E11" s="68">
        <f t="shared" si="3"/>
        <v>349156.95</v>
      </c>
      <c r="F11" s="47">
        <f t="shared" si="4"/>
        <v>849615242.11000001</v>
      </c>
      <c r="G11" s="47">
        <f t="shared" si="5"/>
        <v>826184117.06000006</v>
      </c>
    </row>
    <row r="12" spans="1:17" x14ac:dyDescent="0.25">
      <c r="A12" s="36">
        <v>41864</v>
      </c>
      <c r="B12" s="46">
        <f t="shared" si="1"/>
        <v>1</v>
      </c>
      <c r="C12" s="47">
        <f t="shared" si="2"/>
        <v>23780282</v>
      </c>
      <c r="D12" s="48">
        <f t="shared" si="0"/>
        <v>23440754.280000001</v>
      </c>
      <c r="E12" s="68">
        <f t="shared" si="3"/>
        <v>339527.72</v>
      </c>
      <c r="F12" s="47">
        <f t="shared" si="4"/>
        <v>826184117.06000006</v>
      </c>
      <c r="G12" s="47">
        <f t="shared" si="5"/>
        <v>802743362.78000009</v>
      </c>
    </row>
    <row r="13" spans="1:17" x14ac:dyDescent="0.25">
      <c r="A13" s="36">
        <v>41865</v>
      </c>
      <c r="B13" s="46">
        <f t="shared" si="1"/>
        <v>1</v>
      </c>
      <c r="C13" s="47">
        <f t="shared" si="2"/>
        <v>23780282</v>
      </c>
      <c r="D13" s="48">
        <f t="shared" si="0"/>
        <v>23450387.469999999</v>
      </c>
      <c r="E13" s="68">
        <f t="shared" si="3"/>
        <v>329894.53000000003</v>
      </c>
      <c r="F13" s="47">
        <f t="shared" si="4"/>
        <v>802743362.78000009</v>
      </c>
      <c r="G13" s="47">
        <f t="shared" si="5"/>
        <v>779292975.31000006</v>
      </c>
    </row>
    <row r="14" spans="1:17" x14ac:dyDescent="0.25">
      <c r="A14" s="36">
        <v>41866</v>
      </c>
      <c r="B14" s="46">
        <f t="shared" si="1"/>
        <v>1</v>
      </c>
      <c r="C14" s="47">
        <f t="shared" si="2"/>
        <v>23780282</v>
      </c>
      <c r="D14" s="48">
        <f t="shared" si="0"/>
        <v>23460024.609999999</v>
      </c>
      <c r="E14" s="68">
        <f t="shared" si="3"/>
        <v>320257.39</v>
      </c>
      <c r="F14" s="47">
        <f t="shared" si="4"/>
        <v>779292975.31000006</v>
      </c>
      <c r="G14" s="47">
        <f t="shared" si="5"/>
        <v>755832950.70000005</v>
      </c>
    </row>
    <row r="15" spans="1:17" x14ac:dyDescent="0.25">
      <c r="A15" s="36">
        <v>41867</v>
      </c>
      <c r="B15" s="46">
        <f t="shared" si="1"/>
        <v>1</v>
      </c>
      <c r="C15" s="47">
        <f t="shared" si="2"/>
        <v>23780282</v>
      </c>
      <c r="D15" s="48">
        <f t="shared" si="0"/>
        <v>23469665.719999999</v>
      </c>
      <c r="E15" s="68">
        <f t="shared" si="3"/>
        <v>310616.28000000003</v>
      </c>
      <c r="F15" s="47">
        <f t="shared" si="4"/>
        <v>755832950.70000005</v>
      </c>
      <c r="G15" s="47">
        <f t="shared" si="5"/>
        <v>732363284.98000002</v>
      </c>
    </row>
    <row r="16" spans="1:17" x14ac:dyDescent="0.25">
      <c r="A16" s="36">
        <v>41868</v>
      </c>
      <c r="B16" s="46">
        <f t="shared" si="1"/>
        <v>1</v>
      </c>
      <c r="C16" s="47">
        <f t="shared" si="2"/>
        <v>23780282</v>
      </c>
      <c r="D16" s="48">
        <f t="shared" si="0"/>
        <v>23479310.789999999</v>
      </c>
      <c r="E16" s="68">
        <f t="shared" si="3"/>
        <v>300971.21000000002</v>
      </c>
      <c r="F16" s="47">
        <f t="shared" si="4"/>
        <v>732363284.98000002</v>
      </c>
      <c r="G16" s="47">
        <f t="shared" si="5"/>
        <v>708883974.19000006</v>
      </c>
    </row>
    <row r="17" spans="1:7" x14ac:dyDescent="0.25">
      <c r="A17" s="36">
        <v>41869</v>
      </c>
      <c r="B17" s="46">
        <f t="shared" si="1"/>
        <v>1</v>
      </c>
      <c r="C17" s="47">
        <f t="shared" si="2"/>
        <v>23780282</v>
      </c>
      <c r="D17" s="48">
        <f t="shared" si="0"/>
        <v>23488959.82</v>
      </c>
      <c r="E17" s="68">
        <f t="shared" si="3"/>
        <v>291322.18</v>
      </c>
      <c r="F17" s="47">
        <f t="shared" si="4"/>
        <v>708883974.19000006</v>
      </c>
      <c r="G17" s="47">
        <f t="shared" si="5"/>
        <v>685395014.37</v>
      </c>
    </row>
    <row r="18" spans="1:7" x14ac:dyDescent="0.25">
      <c r="A18" s="36">
        <v>41870</v>
      </c>
      <c r="B18" s="46">
        <f t="shared" si="1"/>
        <v>1</v>
      </c>
      <c r="C18" s="47">
        <f t="shared" si="2"/>
        <v>23780282</v>
      </c>
      <c r="D18" s="48">
        <f t="shared" si="0"/>
        <v>23498612.82</v>
      </c>
      <c r="E18" s="68">
        <f t="shared" si="3"/>
        <v>281669.18</v>
      </c>
      <c r="F18" s="47">
        <f t="shared" si="4"/>
        <v>685395014.37</v>
      </c>
      <c r="G18" s="47">
        <f t="shared" si="5"/>
        <v>661896401.54999995</v>
      </c>
    </row>
    <row r="19" spans="1:7" x14ac:dyDescent="0.25">
      <c r="A19" s="36">
        <v>41871</v>
      </c>
      <c r="B19" s="46">
        <f t="shared" si="1"/>
        <v>1</v>
      </c>
      <c r="C19" s="47">
        <f t="shared" si="2"/>
        <v>23780282</v>
      </c>
      <c r="D19" s="48">
        <f t="shared" si="0"/>
        <v>23508269.780000001</v>
      </c>
      <c r="E19" s="68">
        <f t="shared" si="3"/>
        <v>272012.21999999997</v>
      </c>
      <c r="F19" s="47">
        <f t="shared" si="4"/>
        <v>661896401.54999995</v>
      </c>
      <c r="G19" s="47">
        <f t="shared" si="5"/>
        <v>638388131.76999998</v>
      </c>
    </row>
    <row r="20" spans="1:7" x14ac:dyDescent="0.25">
      <c r="A20" s="36">
        <v>41872</v>
      </c>
      <c r="B20" s="46">
        <f t="shared" si="1"/>
        <v>1</v>
      </c>
      <c r="C20" s="47">
        <f t="shared" si="2"/>
        <v>23780282</v>
      </c>
      <c r="D20" s="48">
        <f t="shared" si="0"/>
        <v>23517930.710000001</v>
      </c>
      <c r="E20" s="68">
        <f t="shared" si="3"/>
        <v>262351.28999999998</v>
      </c>
      <c r="F20" s="47">
        <f t="shared" si="4"/>
        <v>638388131.76999998</v>
      </c>
      <c r="G20" s="47">
        <f t="shared" si="5"/>
        <v>614870201.05999994</v>
      </c>
    </row>
    <row r="21" spans="1:7" x14ac:dyDescent="0.25">
      <c r="A21" s="36">
        <v>41873</v>
      </c>
      <c r="B21" s="46">
        <f t="shared" si="1"/>
        <v>1</v>
      </c>
      <c r="C21" s="47">
        <f t="shared" si="2"/>
        <v>23780282</v>
      </c>
      <c r="D21" s="48">
        <f t="shared" si="0"/>
        <v>23527595.620000001</v>
      </c>
      <c r="E21" s="68">
        <f t="shared" si="3"/>
        <v>252686.38</v>
      </c>
      <c r="F21" s="47">
        <f t="shared" si="4"/>
        <v>614870201.05999994</v>
      </c>
      <c r="G21" s="47">
        <f t="shared" si="5"/>
        <v>591342605.43999994</v>
      </c>
    </row>
    <row r="22" spans="1:7" x14ac:dyDescent="0.25">
      <c r="A22" s="36">
        <v>41874</v>
      </c>
      <c r="B22" s="46">
        <f t="shared" si="1"/>
        <v>1</v>
      </c>
      <c r="C22" s="47">
        <f t="shared" si="2"/>
        <v>23780282</v>
      </c>
      <c r="D22" s="48">
        <f t="shared" si="0"/>
        <v>23537264.489999998</v>
      </c>
      <c r="E22" s="68">
        <f t="shared" si="3"/>
        <v>243017.51</v>
      </c>
      <c r="F22" s="47">
        <f t="shared" si="4"/>
        <v>591342605.43999994</v>
      </c>
      <c r="G22" s="47">
        <f t="shared" si="5"/>
        <v>567805340.94999993</v>
      </c>
    </row>
    <row r="23" spans="1:7" x14ac:dyDescent="0.25">
      <c r="A23" s="36">
        <v>41875</v>
      </c>
      <c r="B23" s="46">
        <f t="shared" si="1"/>
        <v>1</v>
      </c>
      <c r="C23" s="47">
        <f t="shared" si="2"/>
        <v>23780282</v>
      </c>
      <c r="D23" s="48">
        <f t="shared" si="0"/>
        <v>23546937.34</v>
      </c>
      <c r="E23" s="68">
        <f t="shared" si="3"/>
        <v>233344.66</v>
      </c>
      <c r="F23" s="47">
        <f t="shared" si="4"/>
        <v>567805340.94999993</v>
      </c>
      <c r="G23" s="47">
        <f t="shared" si="5"/>
        <v>544258403.6099999</v>
      </c>
    </row>
    <row r="24" spans="1:7" x14ac:dyDescent="0.25">
      <c r="A24" s="36">
        <v>41876</v>
      </c>
      <c r="B24" s="46">
        <f t="shared" si="1"/>
        <v>1</v>
      </c>
      <c r="C24" s="47">
        <f t="shared" si="2"/>
        <v>23780282</v>
      </c>
      <c r="D24" s="48">
        <f t="shared" si="0"/>
        <v>23556614.16</v>
      </c>
      <c r="E24" s="68">
        <f t="shared" si="3"/>
        <v>223667.84</v>
      </c>
      <c r="F24" s="47">
        <f t="shared" si="4"/>
        <v>544258403.6099999</v>
      </c>
      <c r="G24" s="47">
        <f t="shared" si="5"/>
        <v>520701789.44999987</v>
      </c>
    </row>
    <row r="25" spans="1:7" x14ac:dyDescent="0.25">
      <c r="A25" s="36">
        <v>41877</v>
      </c>
      <c r="B25" s="46">
        <f t="shared" si="1"/>
        <v>1</v>
      </c>
      <c r="C25" s="47">
        <f t="shared" si="2"/>
        <v>23780282</v>
      </c>
      <c r="D25" s="48">
        <f t="shared" si="0"/>
        <v>23566294.960000001</v>
      </c>
      <c r="E25" s="68">
        <f t="shared" si="3"/>
        <v>213987.04</v>
      </c>
      <c r="F25" s="47">
        <f t="shared" si="4"/>
        <v>520701789.44999987</v>
      </c>
      <c r="G25" s="47">
        <f t="shared" si="5"/>
        <v>497135494.48999989</v>
      </c>
    </row>
    <row r="26" spans="1:7" x14ac:dyDescent="0.25">
      <c r="A26" s="36">
        <v>41878</v>
      </c>
      <c r="B26" s="46">
        <f t="shared" si="1"/>
        <v>1</v>
      </c>
      <c r="C26" s="47">
        <f t="shared" si="2"/>
        <v>23780282</v>
      </c>
      <c r="D26" s="48">
        <f t="shared" si="0"/>
        <v>23575979.739999998</v>
      </c>
      <c r="E26" s="68">
        <f t="shared" si="3"/>
        <v>204302.26</v>
      </c>
      <c r="F26" s="47">
        <f t="shared" si="4"/>
        <v>497135494.48999989</v>
      </c>
      <c r="G26" s="47">
        <f t="shared" si="5"/>
        <v>473559514.74999988</v>
      </c>
    </row>
    <row r="27" spans="1:7" x14ac:dyDescent="0.25">
      <c r="A27" s="36">
        <v>41879</v>
      </c>
      <c r="B27" s="46">
        <f t="shared" si="1"/>
        <v>1</v>
      </c>
      <c r="C27" s="47">
        <f t="shared" si="2"/>
        <v>23780282</v>
      </c>
      <c r="D27" s="48">
        <f t="shared" si="0"/>
        <v>23585668.5</v>
      </c>
      <c r="E27" s="68">
        <f t="shared" si="3"/>
        <v>194613.5</v>
      </c>
      <c r="F27" s="47">
        <f t="shared" si="4"/>
        <v>473559514.74999988</v>
      </c>
      <c r="G27" s="47">
        <f t="shared" si="5"/>
        <v>449973846.24999988</v>
      </c>
    </row>
    <row r="28" spans="1:7" x14ac:dyDescent="0.25">
      <c r="A28" s="36">
        <v>41880</v>
      </c>
      <c r="B28" s="46">
        <f t="shared" si="1"/>
        <v>1</v>
      </c>
      <c r="C28" s="47">
        <f t="shared" si="2"/>
        <v>23780282</v>
      </c>
      <c r="D28" s="48">
        <f t="shared" si="0"/>
        <v>23595361.239999998</v>
      </c>
      <c r="E28" s="68">
        <f t="shared" si="3"/>
        <v>184920.76</v>
      </c>
      <c r="F28" s="47">
        <f t="shared" si="4"/>
        <v>449973846.24999988</v>
      </c>
      <c r="G28" s="47">
        <f t="shared" si="5"/>
        <v>426378485.00999987</v>
      </c>
    </row>
    <row r="29" spans="1:7" x14ac:dyDescent="0.25">
      <c r="A29" s="36">
        <v>41881</v>
      </c>
      <c r="B29" s="46">
        <f t="shared" si="1"/>
        <v>1</v>
      </c>
      <c r="C29" s="47">
        <f t="shared" si="2"/>
        <v>23780282</v>
      </c>
      <c r="D29" s="48">
        <f t="shared" si="0"/>
        <v>23605057.969999999</v>
      </c>
      <c r="E29" s="68">
        <f t="shared" si="3"/>
        <v>175224.03</v>
      </c>
      <c r="F29" s="47">
        <f t="shared" si="4"/>
        <v>426378485.00999987</v>
      </c>
      <c r="G29" s="47">
        <f t="shared" si="5"/>
        <v>402773427.03999984</v>
      </c>
    </row>
    <row r="30" spans="1:7" x14ac:dyDescent="0.25">
      <c r="A30" s="36">
        <v>41882</v>
      </c>
      <c r="B30" s="46">
        <f t="shared" si="1"/>
        <v>1</v>
      </c>
      <c r="C30" s="47">
        <f t="shared" si="2"/>
        <v>23780282</v>
      </c>
      <c r="D30" s="48">
        <f t="shared" si="0"/>
        <v>23614758.670000002</v>
      </c>
      <c r="E30" s="68">
        <f t="shared" si="3"/>
        <v>165523.32999999999</v>
      </c>
      <c r="F30" s="47">
        <f t="shared" si="4"/>
        <v>402773427.03999984</v>
      </c>
      <c r="G30" s="47">
        <f t="shared" si="5"/>
        <v>379158668.36999983</v>
      </c>
    </row>
    <row r="31" spans="1:7" x14ac:dyDescent="0.25">
      <c r="A31" s="36">
        <v>41883</v>
      </c>
      <c r="B31" s="46">
        <f t="shared" si="1"/>
        <v>1</v>
      </c>
      <c r="C31" s="47">
        <f t="shared" si="2"/>
        <v>23780282</v>
      </c>
      <c r="D31" s="48">
        <f t="shared" si="0"/>
        <v>23624463.370000001</v>
      </c>
      <c r="E31" s="68">
        <f t="shared" si="3"/>
        <v>155818.63</v>
      </c>
      <c r="F31" s="47">
        <f t="shared" si="4"/>
        <v>379158668.36999983</v>
      </c>
      <c r="G31" s="47">
        <f t="shared" si="5"/>
        <v>355534204.99999982</v>
      </c>
    </row>
    <row r="32" spans="1:7" x14ac:dyDescent="0.25">
      <c r="A32" s="36">
        <v>41884</v>
      </c>
      <c r="B32" s="46">
        <f t="shared" si="1"/>
        <v>1</v>
      </c>
      <c r="C32" s="47">
        <f t="shared" si="2"/>
        <v>23780282</v>
      </c>
      <c r="D32" s="48">
        <f t="shared" si="0"/>
        <v>23634172.050000001</v>
      </c>
      <c r="E32" s="68">
        <f t="shared" si="3"/>
        <v>146109.95000000001</v>
      </c>
      <c r="F32" s="47">
        <f t="shared" si="4"/>
        <v>355534204.99999982</v>
      </c>
      <c r="G32" s="47">
        <f t="shared" si="5"/>
        <v>331900032.94999981</v>
      </c>
    </row>
    <row r="33" spans="1:7" x14ac:dyDescent="0.25">
      <c r="A33" s="36">
        <v>41885</v>
      </c>
      <c r="B33" s="46">
        <f t="shared" si="1"/>
        <v>1</v>
      </c>
      <c r="C33" s="47">
        <f t="shared" si="2"/>
        <v>23780282</v>
      </c>
      <c r="D33" s="48">
        <f t="shared" si="0"/>
        <v>23643884.73</v>
      </c>
      <c r="E33" s="68">
        <f t="shared" si="3"/>
        <v>136397.26999999999</v>
      </c>
      <c r="F33" s="47">
        <f t="shared" si="4"/>
        <v>331900032.94999981</v>
      </c>
      <c r="G33" s="47">
        <f t="shared" si="5"/>
        <v>308256148.21999979</v>
      </c>
    </row>
    <row r="34" spans="1:7" x14ac:dyDescent="0.25">
      <c r="A34" s="36">
        <v>41886</v>
      </c>
      <c r="B34" s="46">
        <f t="shared" si="1"/>
        <v>1</v>
      </c>
      <c r="C34" s="47">
        <f t="shared" si="2"/>
        <v>23780282</v>
      </c>
      <c r="D34" s="48">
        <f t="shared" si="0"/>
        <v>23653601.390000001</v>
      </c>
      <c r="E34" s="68">
        <f t="shared" si="3"/>
        <v>126680.61</v>
      </c>
      <c r="F34" s="47">
        <f t="shared" si="4"/>
        <v>308256148.21999979</v>
      </c>
      <c r="G34" s="47">
        <f t="shared" si="5"/>
        <v>284602546.8299998</v>
      </c>
    </row>
    <row r="35" spans="1:7" x14ac:dyDescent="0.25">
      <c r="A35" s="36">
        <v>41887</v>
      </c>
      <c r="B35" s="46">
        <f t="shared" si="1"/>
        <v>1</v>
      </c>
      <c r="C35" s="47">
        <f t="shared" si="2"/>
        <v>23780282</v>
      </c>
      <c r="D35" s="48">
        <f t="shared" si="0"/>
        <v>23663322.050000001</v>
      </c>
      <c r="E35" s="68">
        <f t="shared" si="3"/>
        <v>116959.95</v>
      </c>
      <c r="F35" s="47">
        <f t="shared" si="4"/>
        <v>284602546.8299998</v>
      </c>
      <c r="G35" s="47">
        <f t="shared" si="5"/>
        <v>260939224.77999979</v>
      </c>
    </row>
    <row r="36" spans="1:7" x14ac:dyDescent="0.25">
      <c r="A36" s="36">
        <v>41888</v>
      </c>
      <c r="B36" s="46">
        <f t="shared" si="1"/>
        <v>1</v>
      </c>
      <c r="C36" s="47">
        <f t="shared" si="2"/>
        <v>23780282</v>
      </c>
      <c r="D36" s="48">
        <f t="shared" si="0"/>
        <v>23673046.699999999</v>
      </c>
      <c r="E36" s="68">
        <f t="shared" si="3"/>
        <v>107235.3</v>
      </c>
      <c r="F36" s="47">
        <f t="shared" si="4"/>
        <v>260939224.77999979</v>
      </c>
      <c r="G36" s="47">
        <f t="shared" si="5"/>
        <v>237266178.0799998</v>
      </c>
    </row>
    <row r="37" spans="1:7" x14ac:dyDescent="0.25">
      <c r="A37" s="36">
        <v>41889</v>
      </c>
      <c r="B37" s="46">
        <f t="shared" si="1"/>
        <v>1</v>
      </c>
      <c r="C37" s="47">
        <f t="shared" si="2"/>
        <v>23780282</v>
      </c>
      <c r="D37" s="48">
        <f t="shared" si="0"/>
        <v>23682775.350000001</v>
      </c>
      <c r="E37" s="68">
        <f t="shared" si="3"/>
        <v>97506.65</v>
      </c>
      <c r="F37" s="47">
        <f t="shared" si="4"/>
        <v>237266178.0799998</v>
      </c>
      <c r="G37" s="47">
        <f t="shared" si="5"/>
        <v>213583402.72999981</v>
      </c>
    </row>
    <row r="38" spans="1:7" x14ac:dyDescent="0.25">
      <c r="A38" s="36">
        <v>41890</v>
      </c>
      <c r="B38" s="46">
        <f t="shared" si="1"/>
        <v>1</v>
      </c>
      <c r="C38" s="47">
        <f t="shared" si="2"/>
        <v>23780282</v>
      </c>
      <c r="D38" s="48">
        <f t="shared" si="0"/>
        <v>23692508</v>
      </c>
      <c r="E38" s="68">
        <f t="shared" si="3"/>
        <v>87774</v>
      </c>
      <c r="F38" s="47">
        <f t="shared" si="4"/>
        <v>213583402.72999981</v>
      </c>
      <c r="G38" s="47">
        <f t="shared" si="5"/>
        <v>189890894.72999981</v>
      </c>
    </row>
    <row r="39" spans="1:7" x14ac:dyDescent="0.25">
      <c r="A39" s="36">
        <v>41891</v>
      </c>
      <c r="B39" s="46">
        <f t="shared" si="1"/>
        <v>1</v>
      </c>
      <c r="C39" s="47">
        <f t="shared" si="2"/>
        <v>23780282</v>
      </c>
      <c r="D39" s="48">
        <f t="shared" si="0"/>
        <v>23702244.649999999</v>
      </c>
      <c r="E39" s="68">
        <f t="shared" si="3"/>
        <v>78037.350000000006</v>
      </c>
      <c r="F39" s="47">
        <f t="shared" si="4"/>
        <v>189890894.72999981</v>
      </c>
      <c r="G39" s="47">
        <f t="shared" si="5"/>
        <v>166188650.0799998</v>
      </c>
    </row>
    <row r="40" spans="1:7" x14ac:dyDescent="0.25">
      <c r="A40" s="36">
        <v>41892</v>
      </c>
      <c r="B40" s="46">
        <f t="shared" si="1"/>
        <v>1</v>
      </c>
      <c r="C40" s="47">
        <f t="shared" si="2"/>
        <v>23780282</v>
      </c>
      <c r="D40" s="48">
        <f t="shared" si="0"/>
        <v>23711985.289999999</v>
      </c>
      <c r="E40" s="68">
        <f t="shared" si="3"/>
        <v>68296.710000000006</v>
      </c>
      <c r="F40" s="47">
        <f t="shared" si="4"/>
        <v>166188650.0799998</v>
      </c>
      <c r="G40" s="47">
        <f t="shared" si="5"/>
        <v>142476664.78999981</v>
      </c>
    </row>
    <row r="41" spans="1:7" x14ac:dyDescent="0.25">
      <c r="A41" s="36">
        <v>41893</v>
      </c>
      <c r="B41" s="46">
        <f t="shared" si="1"/>
        <v>1</v>
      </c>
      <c r="C41" s="47">
        <f t="shared" si="2"/>
        <v>23780282</v>
      </c>
      <c r="D41" s="48">
        <f t="shared" si="0"/>
        <v>23721729.949999999</v>
      </c>
      <c r="E41" s="68">
        <f t="shared" si="3"/>
        <v>58552.05</v>
      </c>
      <c r="F41" s="47">
        <f t="shared" si="4"/>
        <v>142476664.78999981</v>
      </c>
      <c r="G41" s="47">
        <f t="shared" si="5"/>
        <v>118754934.83999981</v>
      </c>
    </row>
    <row r="42" spans="1:7" x14ac:dyDescent="0.25">
      <c r="A42" s="36">
        <v>41894</v>
      </c>
      <c r="B42" s="46">
        <f t="shared" si="1"/>
        <v>1</v>
      </c>
      <c r="C42" s="47">
        <f t="shared" si="2"/>
        <v>23780282</v>
      </c>
      <c r="D42" s="48">
        <f t="shared" si="0"/>
        <v>23731478.600000001</v>
      </c>
      <c r="E42" s="68">
        <f t="shared" si="3"/>
        <v>48803.4</v>
      </c>
      <c r="F42" s="47">
        <f t="shared" si="4"/>
        <v>118754934.83999981</v>
      </c>
      <c r="G42" s="47">
        <f t="shared" si="5"/>
        <v>95023456.239999801</v>
      </c>
    </row>
    <row r="43" spans="1:7" x14ac:dyDescent="0.25">
      <c r="A43" s="36">
        <v>41895</v>
      </c>
      <c r="B43" s="46">
        <f t="shared" si="1"/>
        <v>1</v>
      </c>
      <c r="C43" s="47">
        <f t="shared" si="2"/>
        <v>23780282</v>
      </c>
      <c r="D43" s="48">
        <f t="shared" si="0"/>
        <v>23741231.260000002</v>
      </c>
      <c r="E43" s="68">
        <f t="shared" si="3"/>
        <v>39050.74</v>
      </c>
      <c r="F43" s="47">
        <f t="shared" si="4"/>
        <v>95023456.239999801</v>
      </c>
      <c r="G43" s="47">
        <f t="shared" si="5"/>
        <v>71282224.979999796</v>
      </c>
    </row>
    <row r="44" spans="1:7" x14ac:dyDescent="0.25">
      <c r="A44" s="36">
        <v>41896</v>
      </c>
      <c r="B44" s="46">
        <f t="shared" si="1"/>
        <v>1</v>
      </c>
      <c r="C44" s="47">
        <f t="shared" si="2"/>
        <v>23780282</v>
      </c>
      <c r="D44" s="48">
        <f t="shared" si="0"/>
        <v>23750987.93</v>
      </c>
      <c r="E44" s="68">
        <f t="shared" si="3"/>
        <v>29294.07</v>
      </c>
      <c r="F44" s="47">
        <f t="shared" si="4"/>
        <v>71282224.979999796</v>
      </c>
      <c r="G44" s="47">
        <f t="shared" si="5"/>
        <v>47531237.049999796</v>
      </c>
    </row>
    <row r="45" spans="1:7" x14ac:dyDescent="0.25">
      <c r="A45" s="36">
        <v>41897</v>
      </c>
      <c r="B45" s="46">
        <f t="shared" si="1"/>
        <v>1</v>
      </c>
      <c r="C45" s="47">
        <f t="shared" si="2"/>
        <v>23780282</v>
      </c>
      <c r="D45" s="48">
        <f t="shared" si="0"/>
        <v>23760748.609999999</v>
      </c>
      <c r="E45" s="68">
        <f t="shared" si="3"/>
        <v>19533.39</v>
      </c>
      <c r="F45" s="47">
        <f t="shared" si="4"/>
        <v>47531237.049999796</v>
      </c>
      <c r="G45" s="47">
        <f t="shared" si="5"/>
        <v>23770488.439999796</v>
      </c>
    </row>
    <row r="46" spans="1:7" x14ac:dyDescent="0.25">
      <c r="A46" s="36">
        <v>41898</v>
      </c>
      <c r="B46" s="46">
        <f t="shared" si="1"/>
        <v>1</v>
      </c>
      <c r="C46" s="47">
        <f t="shared" si="2"/>
        <v>23780282</v>
      </c>
      <c r="D46" s="48">
        <f t="shared" si="0"/>
        <v>23770488.439999796</v>
      </c>
      <c r="E46" s="68">
        <v>9793.5600002022093</v>
      </c>
      <c r="F46" s="47">
        <f t="shared" si="4"/>
        <v>23770488.439999796</v>
      </c>
      <c r="G46" s="47">
        <f t="shared" si="5"/>
        <v>0</v>
      </c>
    </row>
    <row r="47" spans="1:7" x14ac:dyDescent="0.25">
      <c r="A47" s="174">
        <v>41857</v>
      </c>
      <c r="B47" s="175">
        <f t="shared" ref="B47:G47" si="6">B5</f>
        <v>1</v>
      </c>
      <c r="C47" s="176">
        <f t="shared" si="6"/>
        <v>23780282</v>
      </c>
      <c r="D47" s="177">
        <f t="shared" si="6"/>
        <v>23373432.68</v>
      </c>
      <c r="E47" s="176">
        <f t="shared" si="6"/>
        <v>406849.32</v>
      </c>
      <c r="F47" s="176">
        <f t="shared" si="6"/>
        <v>990000000</v>
      </c>
      <c r="G47" s="176">
        <f t="shared" si="6"/>
        <v>966626567.32000005</v>
      </c>
    </row>
    <row r="48" spans="1:7" x14ac:dyDescent="0.25">
      <c r="A48" s="36">
        <v>41858</v>
      </c>
      <c r="B48" s="46">
        <f t="shared" ref="B48:B56" si="7">A48-A47</f>
        <v>1</v>
      </c>
      <c r="C48" s="47">
        <f t="shared" si="2"/>
        <v>23780282</v>
      </c>
      <c r="D48" s="48">
        <f t="shared" si="0"/>
        <v>23383038.210000001</v>
      </c>
      <c r="E48" s="68">
        <f t="shared" ref="E48:E56" si="8">ROUND(F48*$B$2*B48/365,2)</f>
        <v>397243.79</v>
      </c>
      <c r="F48" s="47">
        <f t="shared" ref="F48:F56" si="9">G47</f>
        <v>966626567.32000005</v>
      </c>
      <c r="G48" s="47">
        <f t="shared" ref="G48:G56" si="10">F48-D48</f>
        <v>943243529.11000001</v>
      </c>
    </row>
    <row r="49" spans="1:7" x14ac:dyDescent="0.25">
      <c r="A49" s="36">
        <v>41859</v>
      </c>
      <c r="B49" s="46">
        <f t="shared" si="7"/>
        <v>1</v>
      </c>
      <c r="C49" s="47">
        <f t="shared" si="2"/>
        <v>23780282</v>
      </c>
      <c r="D49" s="48">
        <f t="shared" si="0"/>
        <v>23392647.670000002</v>
      </c>
      <c r="E49" s="68">
        <f t="shared" si="8"/>
        <v>387634.33</v>
      </c>
      <c r="F49" s="47">
        <f t="shared" si="9"/>
        <v>943243529.11000001</v>
      </c>
      <c r="G49" s="47">
        <f t="shared" si="10"/>
        <v>919850881.44000006</v>
      </c>
    </row>
    <row r="50" spans="1:7" x14ac:dyDescent="0.25">
      <c r="A50" s="36">
        <v>41860</v>
      </c>
      <c r="B50" s="46">
        <f t="shared" si="7"/>
        <v>1</v>
      </c>
      <c r="C50" s="47">
        <f t="shared" si="2"/>
        <v>23780282</v>
      </c>
      <c r="D50" s="48">
        <f t="shared" si="0"/>
        <v>23402261.09</v>
      </c>
      <c r="E50" s="68">
        <f t="shared" si="8"/>
        <v>378020.91</v>
      </c>
      <c r="F50" s="47">
        <f t="shared" si="9"/>
        <v>919850881.44000006</v>
      </c>
      <c r="G50" s="47">
        <f t="shared" si="10"/>
        <v>896448620.35000002</v>
      </c>
    </row>
    <row r="51" spans="1:7" x14ac:dyDescent="0.25">
      <c r="A51" s="36">
        <v>41861</v>
      </c>
      <c r="B51" s="46">
        <f t="shared" si="7"/>
        <v>1</v>
      </c>
      <c r="C51" s="47">
        <f t="shared" si="2"/>
        <v>23780282</v>
      </c>
      <c r="D51" s="48">
        <f t="shared" si="0"/>
        <v>23411878.460000001</v>
      </c>
      <c r="E51" s="68">
        <f t="shared" si="8"/>
        <v>368403.54</v>
      </c>
      <c r="F51" s="47">
        <f t="shared" si="9"/>
        <v>896448620.35000002</v>
      </c>
      <c r="G51" s="47">
        <f t="shared" si="10"/>
        <v>873036741.88999999</v>
      </c>
    </row>
    <row r="52" spans="1:7" x14ac:dyDescent="0.25">
      <c r="A52" s="36">
        <v>41862</v>
      </c>
      <c r="B52" s="46">
        <f t="shared" si="7"/>
        <v>1</v>
      </c>
      <c r="C52" s="47">
        <f t="shared" si="2"/>
        <v>23780282</v>
      </c>
      <c r="D52" s="48">
        <f t="shared" si="0"/>
        <v>23421499.780000001</v>
      </c>
      <c r="E52" s="68">
        <f t="shared" si="8"/>
        <v>358782.22</v>
      </c>
      <c r="F52" s="47">
        <f t="shared" si="9"/>
        <v>873036741.88999999</v>
      </c>
      <c r="G52" s="47">
        <f t="shared" si="10"/>
        <v>849615242.11000001</v>
      </c>
    </row>
    <row r="53" spans="1:7" x14ac:dyDescent="0.25">
      <c r="A53" s="36">
        <v>41863</v>
      </c>
      <c r="B53" s="46">
        <f t="shared" si="7"/>
        <v>1</v>
      </c>
      <c r="C53" s="47">
        <f t="shared" si="2"/>
        <v>23780282</v>
      </c>
      <c r="D53" s="48">
        <f t="shared" si="0"/>
        <v>23431125.050000001</v>
      </c>
      <c r="E53" s="68">
        <f t="shared" si="8"/>
        <v>349156.95</v>
      </c>
      <c r="F53" s="47">
        <f t="shared" si="9"/>
        <v>849615242.11000001</v>
      </c>
      <c r="G53" s="47">
        <f t="shared" si="10"/>
        <v>826184117.06000006</v>
      </c>
    </row>
    <row r="54" spans="1:7" x14ac:dyDescent="0.25">
      <c r="A54" s="36">
        <v>41864</v>
      </c>
      <c r="B54" s="46">
        <f t="shared" si="7"/>
        <v>1</v>
      </c>
      <c r="C54" s="47">
        <f t="shared" si="2"/>
        <v>23780282</v>
      </c>
      <c r="D54" s="48">
        <f t="shared" si="0"/>
        <v>23440754.280000001</v>
      </c>
      <c r="E54" s="68">
        <f t="shared" si="8"/>
        <v>339527.72</v>
      </c>
      <c r="F54" s="47">
        <f t="shared" si="9"/>
        <v>826184117.06000006</v>
      </c>
      <c r="G54" s="47">
        <f t="shared" si="10"/>
        <v>802743362.78000009</v>
      </c>
    </row>
    <row r="55" spans="1:7" x14ac:dyDescent="0.25">
      <c r="A55" s="36">
        <v>41865</v>
      </c>
      <c r="B55" s="46">
        <f t="shared" si="7"/>
        <v>1</v>
      </c>
      <c r="C55" s="47">
        <f t="shared" si="2"/>
        <v>23780282</v>
      </c>
      <c r="D55" s="48">
        <f t="shared" si="0"/>
        <v>23450387.469999999</v>
      </c>
      <c r="E55" s="68">
        <f t="shared" si="8"/>
        <v>329894.53000000003</v>
      </c>
      <c r="F55" s="47">
        <f t="shared" si="9"/>
        <v>802743362.78000009</v>
      </c>
      <c r="G55" s="47">
        <f t="shared" si="10"/>
        <v>779292975.31000006</v>
      </c>
    </row>
    <row r="56" spans="1:7" x14ac:dyDescent="0.25">
      <c r="A56" s="36">
        <v>41866</v>
      </c>
      <c r="B56" s="46">
        <f t="shared" si="7"/>
        <v>1</v>
      </c>
      <c r="C56" s="47">
        <f t="shared" si="2"/>
        <v>23780282</v>
      </c>
      <c r="D56" s="48">
        <f t="shared" si="0"/>
        <v>23460024.609999999</v>
      </c>
      <c r="E56" s="68">
        <f t="shared" si="8"/>
        <v>320257.39</v>
      </c>
      <c r="F56" s="47">
        <f t="shared" si="9"/>
        <v>779292975.31000006</v>
      </c>
      <c r="G56" s="47">
        <f t="shared" si="10"/>
        <v>755832950.70000005</v>
      </c>
    </row>
    <row r="57" spans="1:7" x14ac:dyDescent="0.25">
      <c r="A57" s="36">
        <v>41867</v>
      </c>
      <c r="B57" s="46">
        <f t="shared" ref="B57:G57" si="11">B15</f>
        <v>1</v>
      </c>
      <c r="C57" s="47">
        <f t="shared" si="11"/>
        <v>23780282</v>
      </c>
      <c r="D57" s="48">
        <f t="shared" si="11"/>
        <v>23469665.719999999</v>
      </c>
      <c r="E57" s="68">
        <f t="shared" si="11"/>
        <v>310616.28000000003</v>
      </c>
      <c r="F57" s="47">
        <f t="shared" si="11"/>
        <v>755832950.70000005</v>
      </c>
      <c r="G57" s="47">
        <f t="shared" si="11"/>
        <v>732363284.98000002</v>
      </c>
    </row>
    <row r="58" spans="1:7" x14ac:dyDescent="0.25">
      <c r="A58" s="179">
        <v>41868</v>
      </c>
      <c r="B58" s="169">
        <f t="shared" ref="B58:B108" si="12">A58-A57</f>
        <v>1</v>
      </c>
      <c r="C58" s="170">
        <f t="shared" ref="C58:C67" si="13">$F$1</f>
        <v>23598446</v>
      </c>
      <c r="D58" s="171">
        <f t="shared" ref="D58:D108" si="14">C58-E58</f>
        <v>23299776.16</v>
      </c>
      <c r="E58" s="170">
        <f>ROUND(F58*$B$2*B58/365,2)</f>
        <v>298669.84000000003</v>
      </c>
      <c r="F58" s="170">
        <f>G57-H2</f>
        <v>726763284.98000002</v>
      </c>
      <c r="G58" s="170">
        <f t="shared" ref="G58:G108" si="15">F58-D58</f>
        <v>703463508.82000005</v>
      </c>
    </row>
    <row r="59" spans="1:7" x14ac:dyDescent="0.25">
      <c r="A59" s="36">
        <v>41869</v>
      </c>
      <c r="B59" s="46">
        <f t="shared" si="12"/>
        <v>1</v>
      </c>
      <c r="C59" s="172">
        <f t="shared" si="13"/>
        <v>23598446</v>
      </c>
      <c r="D59" s="48">
        <f t="shared" si="14"/>
        <v>23309351.41</v>
      </c>
      <c r="E59" s="68">
        <f t="shared" ref="E59:E67" si="16">ROUND(F59*$B$2*B59/365,2)</f>
        <v>289094.59000000003</v>
      </c>
      <c r="F59" s="47">
        <f t="shared" ref="F59:F108" si="17">G58</f>
        <v>703463508.82000005</v>
      </c>
      <c r="G59" s="47">
        <f t="shared" si="15"/>
        <v>680154157.41000009</v>
      </c>
    </row>
    <row r="60" spans="1:7" x14ac:dyDescent="0.25">
      <c r="A60" s="36">
        <v>41870</v>
      </c>
      <c r="B60" s="168">
        <f t="shared" si="12"/>
        <v>1</v>
      </c>
      <c r="C60" s="172">
        <f t="shared" si="13"/>
        <v>23598446</v>
      </c>
      <c r="D60" s="173">
        <f t="shared" si="14"/>
        <v>23318930.59</v>
      </c>
      <c r="E60" s="172">
        <f t="shared" si="16"/>
        <v>279515.40999999997</v>
      </c>
      <c r="F60" s="172">
        <f t="shared" si="17"/>
        <v>680154157.41000009</v>
      </c>
      <c r="G60" s="172">
        <f t="shared" si="15"/>
        <v>656835226.82000005</v>
      </c>
    </row>
    <row r="61" spans="1:7" x14ac:dyDescent="0.25">
      <c r="A61" s="36">
        <v>41871</v>
      </c>
      <c r="B61" s="168">
        <f t="shared" si="12"/>
        <v>1</v>
      </c>
      <c r="C61" s="172">
        <f t="shared" si="13"/>
        <v>23598446</v>
      </c>
      <c r="D61" s="173">
        <f t="shared" si="14"/>
        <v>23328513.719999999</v>
      </c>
      <c r="E61" s="172">
        <f t="shared" si="16"/>
        <v>269932.28000000003</v>
      </c>
      <c r="F61" s="172">
        <f t="shared" si="17"/>
        <v>656835226.82000005</v>
      </c>
      <c r="G61" s="172">
        <f t="shared" si="15"/>
        <v>633506713.10000002</v>
      </c>
    </row>
    <row r="62" spans="1:7" x14ac:dyDescent="0.25">
      <c r="A62" s="36">
        <v>41872</v>
      </c>
      <c r="B62" s="168">
        <f t="shared" si="12"/>
        <v>1</v>
      </c>
      <c r="C62" s="172">
        <f t="shared" si="13"/>
        <v>23598446</v>
      </c>
      <c r="D62" s="173">
        <f t="shared" si="14"/>
        <v>23338100.780000001</v>
      </c>
      <c r="E62" s="172">
        <f t="shared" si="16"/>
        <v>260345.22</v>
      </c>
      <c r="F62" s="172">
        <f t="shared" si="17"/>
        <v>633506713.10000002</v>
      </c>
      <c r="G62" s="172">
        <f t="shared" si="15"/>
        <v>610168612.32000005</v>
      </c>
    </row>
    <row r="63" spans="1:7" x14ac:dyDescent="0.25">
      <c r="A63" s="36">
        <v>41873</v>
      </c>
      <c r="B63" s="168">
        <f t="shared" si="12"/>
        <v>1</v>
      </c>
      <c r="C63" s="172">
        <f t="shared" si="13"/>
        <v>23598446</v>
      </c>
      <c r="D63" s="173">
        <f t="shared" si="14"/>
        <v>23347691.780000001</v>
      </c>
      <c r="E63" s="172">
        <f t="shared" si="16"/>
        <v>250754.22</v>
      </c>
      <c r="F63" s="172">
        <f t="shared" si="17"/>
        <v>610168612.32000005</v>
      </c>
      <c r="G63" s="172">
        <f t="shared" si="15"/>
        <v>586820920.54000008</v>
      </c>
    </row>
    <row r="64" spans="1:7" x14ac:dyDescent="0.25">
      <c r="A64" s="36">
        <v>41874</v>
      </c>
      <c r="B64" s="168">
        <f t="shared" si="12"/>
        <v>1</v>
      </c>
      <c r="C64" s="172">
        <f t="shared" si="13"/>
        <v>23598446</v>
      </c>
      <c r="D64" s="173">
        <f t="shared" si="14"/>
        <v>23357286.719999999</v>
      </c>
      <c r="E64" s="172">
        <f t="shared" si="16"/>
        <v>241159.28</v>
      </c>
      <c r="F64" s="172">
        <f t="shared" si="17"/>
        <v>586820920.54000008</v>
      </c>
      <c r="G64" s="172">
        <f t="shared" si="15"/>
        <v>563463633.82000005</v>
      </c>
    </row>
    <row r="65" spans="1:7" x14ac:dyDescent="0.25">
      <c r="A65" s="36">
        <v>41875</v>
      </c>
      <c r="B65" s="168">
        <f t="shared" si="12"/>
        <v>1</v>
      </c>
      <c r="C65" s="172">
        <f t="shared" si="13"/>
        <v>23598446</v>
      </c>
      <c r="D65" s="173">
        <f t="shared" si="14"/>
        <v>23366885.600000001</v>
      </c>
      <c r="E65" s="172">
        <f t="shared" si="16"/>
        <v>231560.4</v>
      </c>
      <c r="F65" s="172">
        <f t="shared" si="17"/>
        <v>563463633.82000005</v>
      </c>
      <c r="G65" s="172">
        <f t="shared" si="15"/>
        <v>540096748.22000003</v>
      </c>
    </row>
    <row r="66" spans="1:7" x14ac:dyDescent="0.25">
      <c r="A66" s="36">
        <v>41876</v>
      </c>
      <c r="B66" s="168">
        <f t="shared" si="12"/>
        <v>1</v>
      </c>
      <c r="C66" s="172">
        <f t="shared" si="13"/>
        <v>23598446</v>
      </c>
      <c r="D66" s="173">
        <f t="shared" si="14"/>
        <v>23376488.43</v>
      </c>
      <c r="E66" s="172">
        <f t="shared" si="16"/>
        <v>221957.57</v>
      </c>
      <c r="F66" s="172">
        <f t="shared" si="17"/>
        <v>540096748.22000003</v>
      </c>
      <c r="G66" s="172">
        <f t="shared" si="15"/>
        <v>516720259.79000002</v>
      </c>
    </row>
    <row r="67" spans="1:7" x14ac:dyDescent="0.25">
      <c r="A67" s="29">
        <v>41877</v>
      </c>
      <c r="B67" s="168">
        <f t="shared" si="12"/>
        <v>1</v>
      </c>
      <c r="C67" s="172">
        <f t="shared" si="13"/>
        <v>23598446</v>
      </c>
      <c r="D67" s="173">
        <f t="shared" si="14"/>
        <v>23386095.210000001</v>
      </c>
      <c r="E67" s="172">
        <f t="shared" si="16"/>
        <v>212350.79</v>
      </c>
      <c r="F67" s="172">
        <f t="shared" si="17"/>
        <v>516720259.79000002</v>
      </c>
      <c r="G67" s="172">
        <f t="shared" si="15"/>
        <v>493334164.58000004</v>
      </c>
    </row>
    <row r="68" spans="1:7" x14ac:dyDescent="0.25">
      <c r="A68" s="179">
        <v>41878</v>
      </c>
      <c r="B68" s="169">
        <f t="shared" si="12"/>
        <v>1</v>
      </c>
      <c r="C68" s="170">
        <f>$K$2</f>
        <v>23633958</v>
      </c>
      <c r="D68" s="171">
        <f t="shared" si="14"/>
        <v>23363637.91</v>
      </c>
      <c r="E68" s="170">
        <f>ROUND(F68*$J$2*B68/365,2)</f>
        <v>270320.09000000003</v>
      </c>
      <c r="F68" s="170">
        <f t="shared" si="17"/>
        <v>493334164.58000004</v>
      </c>
      <c r="G68" s="170">
        <f t="shared" si="15"/>
        <v>469970526.67000002</v>
      </c>
    </row>
    <row r="69" spans="1:7" x14ac:dyDescent="0.25">
      <c r="A69" s="29">
        <v>41879</v>
      </c>
      <c r="B69" s="168">
        <f t="shared" si="12"/>
        <v>1</v>
      </c>
      <c r="C69" s="172">
        <f t="shared" ref="C69:C77" si="18">$K$2</f>
        <v>23633958</v>
      </c>
      <c r="D69" s="173">
        <f t="shared" si="14"/>
        <v>23376439.899999999</v>
      </c>
      <c r="E69" s="172">
        <f t="shared" ref="E69:E108" si="19">ROUND(F69*$J$2*B69/365,2)</f>
        <v>257518.1</v>
      </c>
      <c r="F69" s="172">
        <f t="shared" si="17"/>
        <v>469970526.67000002</v>
      </c>
      <c r="G69" s="172">
        <f t="shared" si="15"/>
        <v>446594086.77000004</v>
      </c>
    </row>
    <row r="70" spans="1:7" x14ac:dyDescent="0.25">
      <c r="A70" s="29">
        <v>41880</v>
      </c>
      <c r="B70" s="168">
        <f t="shared" si="12"/>
        <v>1</v>
      </c>
      <c r="C70" s="172">
        <f t="shared" si="18"/>
        <v>23633958</v>
      </c>
      <c r="D70" s="173">
        <f t="shared" si="14"/>
        <v>23389248.91</v>
      </c>
      <c r="E70" s="172">
        <f t="shared" si="19"/>
        <v>244709.09</v>
      </c>
      <c r="F70" s="172">
        <f t="shared" si="17"/>
        <v>446594086.77000004</v>
      </c>
      <c r="G70" s="172">
        <f t="shared" si="15"/>
        <v>423204837.86000001</v>
      </c>
    </row>
    <row r="71" spans="1:7" x14ac:dyDescent="0.25">
      <c r="A71" s="29">
        <v>41881</v>
      </c>
      <c r="B71" s="168">
        <f t="shared" si="12"/>
        <v>1</v>
      </c>
      <c r="C71" s="172">
        <f t="shared" si="18"/>
        <v>23633958</v>
      </c>
      <c r="D71" s="173">
        <f t="shared" si="14"/>
        <v>23402064.940000001</v>
      </c>
      <c r="E71" s="172">
        <f t="shared" si="19"/>
        <v>231893.06</v>
      </c>
      <c r="F71" s="172">
        <f t="shared" si="17"/>
        <v>423204837.86000001</v>
      </c>
      <c r="G71" s="172">
        <f t="shared" si="15"/>
        <v>399802772.92000002</v>
      </c>
    </row>
    <row r="72" spans="1:7" x14ac:dyDescent="0.25">
      <c r="A72" s="29">
        <v>41882</v>
      </c>
      <c r="B72" s="168">
        <f t="shared" si="12"/>
        <v>1</v>
      </c>
      <c r="C72" s="172">
        <f t="shared" si="18"/>
        <v>23633958</v>
      </c>
      <c r="D72" s="173">
        <f t="shared" si="14"/>
        <v>23414887.989999998</v>
      </c>
      <c r="E72" s="172">
        <f t="shared" si="19"/>
        <v>219070.01</v>
      </c>
      <c r="F72" s="172">
        <f t="shared" si="17"/>
        <v>399802772.92000002</v>
      </c>
      <c r="G72" s="172">
        <f t="shared" si="15"/>
        <v>376387884.93000001</v>
      </c>
    </row>
    <row r="73" spans="1:7" x14ac:dyDescent="0.25">
      <c r="A73" s="29">
        <v>41883</v>
      </c>
      <c r="B73" s="168">
        <f t="shared" si="12"/>
        <v>1</v>
      </c>
      <c r="C73" s="172">
        <f t="shared" si="18"/>
        <v>23633958</v>
      </c>
      <c r="D73" s="173">
        <f t="shared" si="14"/>
        <v>23427718.059999999</v>
      </c>
      <c r="E73" s="172">
        <f t="shared" si="19"/>
        <v>206239.94</v>
      </c>
      <c r="F73" s="172">
        <f t="shared" si="17"/>
        <v>376387884.93000001</v>
      </c>
      <c r="G73" s="172">
        <f t="shared" si="15"/>
        <v>352960166.87</v>
      </c>
    </row>
    <row r="74" spans="1:7" x14ac:dyDescent="0.25">
      <c r="A74" s="29">
        <v>41884</v>
      </c>
      <c r="B74" s="168">
        <f t="shared" si="12"/>
        <v>1</v>
      </c>
      <c r="C74" s="172">
        <f t="shared" si="18"/>
        <v>23633958</v>
      </c>
      <c r="D74" s="173">
        <f t="shared" si="14"/>
        <v>23440555.170000002</v>
      </c>
      <c r="E74" s="172">
        <f t="shared" si="19"/>
        <v>193402.83</v>
      </c>
      <c r="F74" s="172">
        <f t="shared" si="17"/>
        <v>352960166.87</v>
      </c>
      <c r="G74" s="172">
        <f t="shared" si="15"/>
        <v>329519611.69999999</v>
      </c>
    </row>
    <row r="75" spans="1:7" x14ac:dyDescent="0.25">
      <c r="A75" s="29">
        <v>41885</v>
      </c>
      <c r="B75" s="168">
        <f t="shared" si="12"/>
        <v>1</v>
      </c>
      <c r="C75" s="172">
        <f t="shared" si="18"/>
        <v>23633958</v>
      </c>
      <c r="D75" s="173">
        <f t="shared" si="14"/>
        <v>23453399.309999999</v>
      </c>
      <c r="E75" s="172">
        <f t="shared" si="19"/>
        <v>180558.69</v>
      </c>
      <c r="F75" s="172">
        <f t="shared" si="17"/>
        <v>329519611.69999999</v>
      </c>
      <c r="G75" s="172">
        <f t="shared" si="15"/>
        <v>306066212.38999999</v>
      </c>
    </row>
    <row r="76" spans="1:7" x14ac:dyDescent="0.25">
      <c r="A76" s="36">
        <v>41886</v>
      </c>
      <c r="B76" s="168">
        <f t="shared" si="12"/>
        <v>1</v>
      </c>
      <c r="C76" s="172">
        <f t="shared" si="18"/>
        <v>23633958</v>
      </c>
      <c r="D76" s="173">
        <f t="shared" si="14"/>
        <v>23466250.489999998</v>
      </c>
      <c r="E76" s="172">
        <f t="shared" si="19"/>
        <v>167707.51</v>
      </c>
      <c r="F76" s="172">
        <f t="shared" si="17"/>
        <v>306066212.38999999</v>
      </c>
      <c r="G76" s="172">
        <f t="shared" si="15"/>
        <v>282599961.89999998</v>
      </c>
    </row>
    <row r="77" spans="1:7" x14ac:dyDescent="0.25">
      <c r="A77" s="36">
        <v>41887</v>
      </c>
      <c r="B77" s="168">
        <f t="shared" si="12"/>
        <v>1</v>
      </c>
      <c r="C77" s="172">
        <f t="shared" si="18"/>
        <v>23633958</v>
      </c>
      <c r="D77" s="173">
        <f t="shared" si="14"/>
        <v>23479108.710000001</v>
      </c>
      <c r="E77" s="172">
        <f t="shared" si="19"/>
        <v>154849.29</v>
      </c>
      <c r="F77" s="172">
        <f t="shared" si="17"/>
        <v>282599961.89999998</v>
      </c>
      <c r="G77" s="172">
        <f t="shared" si="15"/>
        <v>259120853.18999997</v>
      </c>
    </row>
    <row r="78" spans="1:7" x14ac:dyDescent="0.25">
      <c r="A78" s="179">
        <v>41888</v>
      </c>
      <c r="B78" s="169">
        <f t="shared" si="12"/>
        <v>1</v>
      </c>
      <c r="C78" s="170">
        <f>$M$2</f>
        <v>8710915</v>
      </c>
      <c r="D78" s="171">
        <f t="shared" si="14"/>
        <v>8568930.9700000007</v>
      </c>
      <c r="E78" s="170">
        <f t="shared" si="19"/>
        <v>141984.03</v>
      </c>
      <c r="F78" s="170">
        <f t="shared" si="17"/>
        <v>259120853.18999997</v>
      </c>
      <c r="G78" s="170">
        <f t="shared" si="15"/>
        <v>250551922.21999997</v>
      </c>
    </row>
    <row r="79" spans="1:7" x14ac:dyDescent="0.25">
      <c r="A79" s="36">
        <v>41889</v>
      </c>
      <c r="B79" s="168">
        <f t="shared" si="12"/>
        <v>1</v>
      </c>
      <c r="C79" s="172">
        <f>$M$2</f>
        <v>8710915</v>
      </c>
      <c r="D79" s="173">
        <f t="shared" si="14"/>
        <v>8573626.2799999993</v>
      </c>
      <c r="E79" s="172">
        <f t="shared" si="19"/>
        <v>137288.72</v>
      </c>
      <c r="F79" s="172">
        <f t="shared" si="17"/>
        <v>250551922.21999997</v>
      </c>
      <c r="G79" s="172">
        <f t="shared" si="15"/>
        <v>241978295.93999997</v>
      </c>
    </row>
    <row r="80" spans="1:7" x14ac:dyDescent="0.25">
      <c r="A80" s="36">
        <v>41890</v>
      </c>
      <c r="B80" s="168">
        <f t="shared" si="12"/>
        <v>1</v>
      </c>
      <c r="C80" s="172">
        <f t="shared" ref="C80:C103" si="20">$M$2</f>
        <v>8710915</v>
      </c>
      <c r="D80" s="173">
        <f t="shared" si="14"/>
        <v>8578324.1500000004</v>
      </c>
      <c r="E80" s="172">
        <f t="shared" si="19"/>
        <v>132590.85</v>
      </c>
      <c r="F80" s="172">
        <f t="shared" si="17"/>
        <v>241978295.93999997</v>
      </c>
      <c r="G80" s="172">
        <f t="shared" si="15"/>
        <v>233399971.78999996</v>
      </c>
    </row>
    <row r="81" spans="1:7" x14ac:dyDescent="0.25">
      <c r="A81" s="36">
        <v>41891</v>
      </c>
      <c r="B81" s="168">
        <f t="shared" si="12"/>
        <v>1</v>
      </c>
      <c r="C81" s="172">
        <f t="shared" si="20"/>
        <v>8710915</v>
      </c>
      <c r="D81" s="173">
        <f t="shared" si="14"/>
        <v>8583024.5999999996</v>
      </c>
      <c r="E81" s="172">
        <f t="shared" si="19"/>
        <v>127890.4</v>
      </c>
      <c r="F81" s="172">
        <f t="shared" si="17"/>
        <v>233399971.78999996</v>
      </c>
      <c r="G81" s="172">
        <f t="shared" si="15"/>
        <v>224816947.18999997</v>
      </c>
    </row>
    <row r="82" spans="1:7" x14ac:dyDescent="0.25">
      <c r="A82" s="36">
        <v>41892</v>
      </c>
      <c r="B82" s="168">
        <f t="shared" si="12"/>
        <v>1</v>
      </c>
      <c r="C82" s="172">
        <f t="shared" si="20"/>
        <v>8710915</v>
      </c>
      <c r="D82" s="173">
        <f t="shared" si="14"/>
        <v>8587727.6300000008</v>
      </c>
      <c r="E82" s="172">
        <f t="shared" si="19"/>
        <v>123187.37</v>
      </c>
      <c r="F82" s="172">
        <f t="shared" si="17"/>
        <v>224816947.18999997</v>
      </c>
      <c r="G82" s="172">
        <f t="shared" si="15"/>
        <v>216229219.55999997</v>
      </c>
    </row>
    <row r="83" spans="1:7" x14ac:dyDescent="0.25">
      <c r="A83" s="36">
        <v>41893</v>
      </c>
      <c r="B83" s="168">
        <f t="shared" si="12"/>
        <v>1</v>
      </c>
      <c r="C83" s="172">
        <f t="shared" si="20"/>
        <v>8710915</v>
      </c>
      <c r="D83" s="173">
        <f t="shared" si="14"/>
        <v>8592433.2400000002</v>
      </c>
      <c r="E83" s="172">
        <f t="shared" si="19"/>
        <v>118481.76</v>
      </c>
      <c r="F83" s="172">
        <f t="shared" si="17"/>
        <v>216229219.55999997</v>
      </c>
      <c r="G83" s="172">
        <f t="shared" si="15"/>
        <v>207636786.31999996</v>
      </c>
    </row>
    <row r="84" spans="1:7" x14ac:dyDescent="0.25">
      <c r="A84" s="36">
        <v>41894</v>
      </c>
      <c r="B84" s="168">
        <f t="shared" si="12"/>
        <v>1</v>
      </c>
      <c r="C84" s="172">
        <f t="shared" si="20"/>
        <v>8710915</v>
      </c>
      <c r="D84" s="173">
        <f t="shared" si="14"/>
        <v>8597141.4199999999</v>
      </c>
      <c r="E84" s="172">
        <f t="shared" si="19"/>
        <v>113773.58</v>
      </c>
      <c r="F84" s="172">
        <f t="shared" si="17"/>
        <v>207636786.31999996</v>
      </c>
      <c r="G84" s="172">
        <f t="shared" si="15"/>
        <v>199039644.89999998</v>
      </c>
    </row>
    <row r="85" spans="1:7" x14ac:dyDescent="0.25">
      <c r="A85" s="36">
        <v>41895</v>
      </c>
      <c r="B85" s="168">
        <f t="shared" si="12"/>
        <v>1</v>
      </c>
      <c r="C85" s="172">
        <f t="shared" si="20"/>
        <v>8710915</v>
      </c>
      <c r="D85" s="173">
        <f t="shared" si="14"/>
        <v>8601852.1799999997</v>
      </c>
      <c r="E85" s="172">
        <f t="shared" si="19"/>
        <v>109062.82</v>
      </c>
      <c r="F85" s="172">
        <f t="shared" si="17"/>
        <v>199039644.89999998</v>
      </c>
      <c r="G85" s="172">
        <f t="shared" si="15"/>
        <v>190437792.71999997</v>
      </c>
    </row>
    <row r="86" spans="1:7" x14ac:dyDescent="0.25">
      <c r="A86" s="36">
        <v>41896</v>
      </c>
      <c r="B86" s="168">
        <f t="shared" si="12"/>
        <v>1</v>
      </c>
      <c r="C86" s="172">
        <f t="shared" si="20"/>
        <v>8710915</v>
      </c>
      <c r="D86" s="173">
        <f t="shared" si="14"/>
        <v>8606565.5199999996</v>
      </c>
      <c r="E86" s="172">
        <f t="shared" si="19"/>
        <v>104349.48</v>
      </c>
      <c r="F86" s="172">
        <f t="shared" si="17"/>
        <v>190437792.71999997</v>
      </c>
      <c r="G86" s="172">
        <f t="shared" si="15"/>
        <v>181831227.19999996</v>
      </c>
    </row>
    <row r="87" spans="1:7" x14ac:dyDescent="0.25">
      <c r="A87" s="36">
        <v>41897</v>
      </c>
      <c r="B87" s="168">
        <f t="shared" si="12"/>
        <v>1</v>
      </c>
      <c r="C87" s="172">
        <f t="shared" si="20"/>
        <v>8710915</v>
      </c>
      <c r="D87" s="173">
        <f t="shared" si="14"/>
        <v>8611281.4499999993</v>
      </c>
      <c r="E87" s="172">
        <f t="shared" si="19"/>
        <v>99633.55</v>
      </c>
      <c r="F87" s="172">
        <f t="shared" si="17"/>
        <v>181831227.19999996</v>
      </c>
      <c r="G87" s="172">
        <f t="shared" si="15"/>
        <v>173219945.74999997</v>
      </c>
    </row>
    <row r="88" spans="1:7" x14ac:dyDescent="0.25">
      <c r="A88" s="36">
        <v>41898</v>
      </c>
      <c r="B88" s="168">
        <f t="shared" si="12"/>
        <v>1</v>
      </c>
      <c r="C88" s="172">
        <f t="shared" si="20"/>
        <v>8710915</v>
      </c>
      <c r="D88" s="173">
        <f t="shared" si="14"/>
        <v>8615999.9600000009</v>
      </c>
      <c r="E88" s="172">
        <f t="shared" si="19"/>
        <v>94915.04</v>
      </c>
      <c r="F88" s="172">
        <f t="shared" si="17"/>
        <v>173219945.74999997</v>
      </c>
      <c r="G88" s="172">
        <f t="shared" si="15"/>
        <v>164603945.78999996</v>
      </c>
    </row>
    <row r="89" spans="1:7" x14ac:dyDescent="0.25">
      <c r="A89" s="36">
        <v>41899</v>
      </c>
      <c r="B89" s="168">
        <f t="shared" si="12"/>
        <v>1</v>
      </c>
      <c r="C89" s="172">
        <f t="shared" si="20"/>
        <v>8710915</v>
      </c>
      <c r="D89" s="173">
        <f t="shared" si="14"/>
        <v>8620721.0600000005</v>
      </c>
      <c r="E89" s="172">
        <f t="shared" si="19"/>
        <v>90193.94</v>
      </c>
      <c r="F89" s="172">
        <f t="shared" si="17"/>
        <v>164603945.78999996</v>
      </c>
      <c r="G89" s="172">
        <f t="shared" si="15"/>
        <v>155983224.72999996</v>
      </c>
    </row>
    <row r="90" spans="1:7" x14ac:dyDescent="0.25">
      <c r="A90" s="36">
        <v>41900</v>
      </c>
      <c r="B90" s="168">
        <f t="shared" si="12"/>
        <v>1</v>
      </c>
      <c r="C90" s="172">
        <f t="shared" si="20"/>
        <v>8710915</v>
      </c>
      <c r="D90" s="173">
        <f t="shared" si="14"/>
        <v>8625444.7400000002</v>
      </c>
      <c r="E90" s="172">
        <f t="shared" si="19"/>
        <v>85470.26</v>
      </c>
      <c r="F90" s="172">
        <f t="shared" si="17"/>
        <v>155983224.72999996</v>
      </c>
      <c r="G90" s="172">
        <f t="shared" si="15"/>
        <v>147357779.98999995</v>
      </c>
    </row>
    <row r="91" spans="1:7" x14ac:dyDescent="0.25">
      <c r="A91" s="36">
        <v>41901</v>
      </c>
      <c r="B91" s="168">
        <f t="shared" si="12"/>
        <v>1</v>
      </c>
      <c r="C91" s="172">
        <f t="shared" si="20"/>
        <v>8710915</v>
      </c>
      <c r="D91" s="173">
        <f t="shared" si="14"/>
        <v>8630171.0099999998</v>
      </c>
      <c r="E91" s="172">
        <f t="shared" si="19"/>
        <v>80743.990000000005</v>
      </c>
      <c r="F91" s="172">
        <f t="shared" si="17"/>
        <v>147357779.98999995</v>
      </c>
      <c r="G91" s="172">
        <f t="shared" si="15"/>
        <v>138727608.97999996</v>
      </c>
    </row>
    <row r="92" spans="1:7" x14ac:dyDescent="0.25">
      <c r="A92" s="36">
        <v>41902</v>
      </c>
      <c r="B92" s="168">
        <f t="shared" si="12"/>
        <v>1</v>
      </c>
      <c r="C92" s="172">
        <f t="shared" si="20"/>
        <v>8710915</v>
      </c>
      <c r="D92" s="173">
        <f t="shared" si="14"/>
        <v>8634899.8699999992</v>
      </c>
      <c r="E92" s="172">
        <f t="shared" si="19"/>
        <v>76015.13</v>
      </c>
      <c r="F92" s="172">
        <f t="shared" si="17"/>
        <v>138727608.97999996</v>
      </c>
      <c r="G92" s="172">
        <f t="shared" si="15"/>
        <v>130092709.10999995</v>
      </c>
    </row>
    <row r="93" spans="1:7" x14ac:dyDescent="0.25">
      <c r="A93" s="36">
        <v>41903</v>
      </c>
      <c r="B93" s="168">
        <f t="shared" si="12"/>
        <v>1</v>
      </c>
      <c r="C93" s="172">
        <f t="shared" si="20"/>
        <v>8710915</v>
      </c>
      <c r="D93" s="173">
        <f t="shared" si="14"/>
        <v>8639631.3200000003</v>
      </c>
      <c r="E93" s="172">
        <f t="shared" si="19"/>
        <v>71283.679999999993</v>
      </c>
      <c r="F93" s="172">
        <f t="shared" si="17"/>
        <v>130092709.10999995</v>
      </c>
      <c r="G93" s="172">
        <f t="shared" si="15"/>
        <v>121453077.78999996</v>
      </c>
    </row>
    <row r="94" spans="1:7" x14ac:dyDescent="0.25">
      <c r="A94" s="36">
        <v>41904</v>
      </c>
      <c r="B94" s="168">
        <f t="shared" si="12"/>
        <v>1</v>
      </c>
      <c r="C94" s="172">
        <f t="shared" si="20"/>
        <v>8710915</v>
      </c>
      <c r="D94" s="173">
        <f t="shared" si="14"/>
        <v>8644365.3699999992</v>
      </c>
      <c r="E94" s="172">
        <f t="shared" si="19"/>
        <v>66549.63</v>
      </c>
      <c r="F94" s="172">
        <f t="shared" si="17"/>
        <v>121453077.78999996</v>
      </c>
      <c r="G94" s="172">
        <f t="shared" si="15"/>
        <v>112808712.41999996</v>
      </c>
    </row>
    <row r="95" spans="1:7" x14ac:dyDescent="0.25">
      <c r="A95" s="36">
        <v>41905</v>
      </c>
      <c r="B95" s="168">
        <f t="shared" si="12"/>
        <v>1</v>
      </c>
      <c r="C95" s="172">
        <f t="shared" si="20"/>
        <v>8710915</v>
      </c>
      <c r="D95" s="173">
        <f t="shared" si="14"/>
        <v>8649102.0099999998</v>
      </c>
      <c r="E95" s="172">
        <f t="shared" si="19"/>
        <v>61812.99</v>
      </c>
      <c r="F95" s="172">
        <f t="shared" si="17"/>
        <v>112808712.41999996</v>
      </c>
      <c r="G95" s="172">
        <f t="shared" si="15"/>
        <v>104159610.40999995</v>
      </c>
    </row>
    <row r="96" spans="1:7" x14ac:dyDescent="0.25">
      <c r="A96" s="36">
        <v>41906</v>
      </c>
      <c r="B96" s="168">
        <f t="shared" si="12"/>
        <v>1</v>
      </c>
      <c r="C96" s="172">
        <f t="shared" si="20"/>
        <v>8710915</v>
      </c>
      <c r="D96" s="173">
        <f t="shared" si="14"/>
        <v>8653841.2400000002</v>
      </c>
      <c r="E96" s="172">
        <f t="shared" si="19"/>
        <v>57073.760000000002</v>
      </c>
      <c r="F96" s="172">
        <f t="shared" si="17"/>
        <v>104159610.40999995</v>
      </c>
      <c r="G96" s="172">
        <f t="shared" si="15"/>
        <v>95505769.169999957</v>
      </c>
    </row>
    <row r="97" spans="1:7" x14ac:dyDescent="0.25">
      <c r="A97" s="36">
        <v>41907</v>
      </c>
      <c r="B97" s="168">
        <f t="shared" si="12"/>
        <v>1</v>
      </c>
      <c r="C97" s="172">
        <f t="shared" si="20"/>
        <v>8710915</v>
      </c>
      <c r="D97" s="173">
        <f t="shared" si="14"/>
        <v>8658583.0700000003</v>
      </c>
      <c r="E97" s="172">
        <f t="shared" si="19"/>
        <v>52331.93</v>
      </c>
      <c r="F97" s="172">
        <f t="shared" si="17"/>
        <v>95505769.169999957</v>
      </c>
      <c r="G97" s="172">
        <f t="shared" si="15"/>
        <v>86847186.099999964</v>
      </c>
    </row>
    <row r="98" spans="1:7" x14ac:dyDescent="0.25">
      <c r="A98" s="36">
        <v>41908</v>
      </c>
      <c r="B98" s="168">
        <f t="shared" si="12"/>
        <v>1</v>
      </c>
      <c r="C98" s="172">
        <f t="shared" si="20"/>
        <v>8710915</v>
      </c>
      <c r="D98" s="173">
        <f t="shared" si="14"/>
        <v>8663327.5</v>
      </c>
      <c r="E98" s="172">
        <f t="shared" si="19"/>
        <v>47587.5</v>
      </c>
      <c r="F98" s="172">
        <f t="shared" si="17"/>
        <v>86847186.099999964</v>
      </c>
      <c r="G98" s="172">
        <f t="shared" si="15"/>
        <v>78183858.599999964</v>
      </c>
    </row>
    <row r="99" spans="1:7" x14ac:dyDescent="0.25">
      <c r="A99" s="36">
        <v>41909</v>
      </c>
      <c r="B99" s="168">
        <f t="shared" si="12"/>
        <v>1</v>
      </c>
      <c r="C99" s="172">
        <f t="shared" si="20"/>
        <v>8710915</v>
      </c>
      <c r="D99" s="173">
        <f t="shared" si="14"/>
        <v>8668074.5299999993</v>
      </c>
      <c r="E99" s="172">
        <f t="shared" si="19"/>
        <v>42840.47</v>
      </c>
      <c r="F99" s="172">
        <f t="shared" si="17"/>
        <v>78183858.599999964</v>
      </c>
      <c r="G99" s="172">
        <f t="shared" si="15"/>
        <v>69515784.069999963</v>
      </c>
    </row>
    <row r="100" spans="1:7" x14ac:dyDescent="0.25">
      <c r="A100" s="36">
        <v>41910</v>
      </c>
      <c r="B100" s="168">
        <f t="shared" si="12"/>
        <v>1</v>
      </c>
      <c r="C100" s="172">
        <f t="shared" si="20"/>
        <v>8710915</v>
      </c>
      <c r="D100" s="173">
        <f t="shared" si="14"/>
        <v>8672824.1600000001</v>
      </c>
      <c r="E100" s="172">
        <f t="shared" si="19"/>
        <v>38090.839999999997</v>
      </c>
      <c r="F100" s="172">
        <f t="shared" si="17"/>
        <v>69515784.069999963</v>
      </c>
      <c r="G100" s="172">
        <f t="shared" si="15"/>
        <v>60842959.909999967</v>
      </c>
    </row>
    <row r="101" spans="1:7" x14ac:dyDescent="0.25">
      <c r="A101" s="36">
        <v>41911</v>
      </c>
      <c r="B101" s="168">
        <f t="shared" si="12"/>
        <v>1</v>
      </c>
      <c r="C101" s="172">
        <f t="shared" si="20"/>
        <v>8710915</v>
      </c>
      <c r="D101" s="173">
        <f t="shared" si="14"/>
        <v>8677576.3900000006</v>
      </c>
      <c r="E101" s="172">
        <f t="shared" si="19"/>
        <v>33338.61</v>
      </c>
      <c r="F101" s="172">
        <f t="shared" si="17"/>
        <v>60842959.909999967</v>
      </c>
      <c r="G101" s="172">
        <f t="shared" si="15"/>
        <v>52165383.519999966</v>
      </c>
    </row>
    <row r="102" spans="1:7" x14ac:dyDescent="0.25">
      <c r="A102" s="36">
        <v>41912</v>
      </c>
      <c r="B102" s="168">
        <f t="shared" si="12"/>
        <v>1</v>
      </c>
      <c r="C102" s="172">
        <f t="shared" si="20"/>
        <v>8710915</v>
      </c>
      <c r="D102" s="173">
        <f t="shared" si="14"/>
        <v>8682331.2300000004</v>
      </c>
      <c r="E102" s="172">
        <f t="shared" si="19"/>
        <v>28583.77</v>
      </c>
      <c r="F102" s="172">
        <f t="shared" si="17"/>
        <v>52165383.519999966</v>
      </c>
      <c r="G102" s="172">
        <f t="shared" si="15"/>
        <v>43483052.289999962</v>
      </c>
    </row>
    <row r="103" spans="1:7" x14ac:dyDescent="0.25">
      <c r="A103" s="36">
        <v>41913</v>
      </c>
      <c r="B103" s="168">
        <f t="shared" si="12"/>
        <v>1</v>
      </c>
      <c r="C103" s="172">
        <f t="shared" si="20"/>
        <v>8710915</v>
      </c>
      <c r="D103" s="173">
        <f t="shared" si="14"/>
        <v>8687088.6699999999</v>
      </c>
      <c r="E103" s="172">
        <f t="shared" si="19"/>
        <v>23826.33</v>
      </c>
      <c r="F103" s="172">
        <f t="shared" si="17"/>
        <v>43483052.289999962</v>
      </c>
      <c r="G103" s="172">
        <f t="shared" si="15"/>
        <v>34795963.61999996</v>
      </c>
    </row>
    <row r="104" spans="1:7" x14ac:dyDescent="0.25">
      <c r="A104" s="179">
        <v>41914</v>
      </c>
      <c r="B104" s="169">
        <f t="shared" si="12"/>
        <v>1</v>
      </c>
      <c r="C104" s="170">
        <f>$Q$2</f>
        <v>7000000</v>
      </c>
      <c r="D104" s="171">
        <f t="shared" si="14"/>
        <v>6980933.7199999997</v>
      </c>
      <c r="E104" s="170">
        <f t="shared" si="19"/>
        <v>19066.28</v>
      </c>
      <c r="F104" s="170">
        <f t="shared" si="17"/>
        <v>34795963.61999996</v>
      </c>
      <c r="G104" s="170">
        <f t="shared" si="15"/>
        <v>27815029.899999961</v>
      </c>
    </row>
    <row r="105" spans="1:7" x14ac:dyDescent="0.25">
      <c r="A105" s="36">
        <v>41915</v>
      </c>
      <c r="B105" s="168">
        <f t="shared" si="12"/>
        <v>1</v>
      </c>
      <c r="C105" s="172">
        <f t="shared" ref="C105:C107" si="21">$Q$2</f>
        <v>7000000</v>
      </c>
      <c r="D105" s="173">
        <f t="shared" si="14"/>
        <v>6984758.8899999997</v>
      </c>
      <c r="E105" s="172">
        <f t="shared" si="19"/>
        <v>15241.11</v>
      </c>
      <c r="F105" s="172">
        <f t="shared" si="17"/>
        <v>27815029.899999961</v>
      </c>
      <c r="G105" s="172">
        <f t="shared" si="15"/>
        <v>20830271.009999961</v>
      </c>
    </row>
    <row r="106" spans="1:7" x14ac:dyDescent="0.25">
      <c r="A106" s="36">
        <v>41916</v>
      </c>
      <c r="B106" s="168">
        <f t="shared" si="12"/>
        <v>1</v>
      </c>
      <c r="C106" s="172">
        <f t="shared" si="21"/>
        <v>7000000</v>
      </c>
      <c r="D106" s="173">
        <f t="shared" si="14"/>
        <v>6988586.1500000004</v>
      </c>
      <c r="E106" s="172">
        <f t="shared" si="19"/>
        <v>11413.85</v>
      </c>
      <c r="F106" s="172">
        <f t="shared" si="17"/>
        <v>20830271.009999961</v>
      </c>
      <c r="G106" s="172">
        <f t="shared" si="15"/>
        <v>13841684.85999996</v>
      </c>
    </row>
    <row r="107" spans="1:7" x14ac:dyDescent="0.25">
      <c r="A107" s="36">
        <v>41917</v>
      </c>
      <c r="B107" s="168">
        <f t="shared" si="12"/>
        <v>1</v>
      </c>
      <c r="C107" s="172">
        <f t="shared" si="21"/>
        <v>7000000</v>
      </c>
      <c r="D107" s="173">
        <f t="shared" si="14"/>
        <v>6992415.5199999996</v>
      </c>
      <c r="E107" s="172">
        <f t="shared" si="19"/>
        <v>7584.48</v>
      </c>
      <c r="F107" s="172">
        <f t="shared" si="17"/>
        <v>13841684.85999996</v>
      </c>
      <c r="G107" s="172">
        <f t="shared" si="15"/>
        <v>6849269.3399999607</v>
      </c>
    </row>
    <row r="108" spans="1:7" x14ac:dyDescent="0.25">
      <c r="A108" s="36">
        <v>41918</v>
      </c>
      <c r="B108" s="168">
        <f t="shared" si="12"/>
        <v>1</v>
      </c>
      <c r="C108" s="172">
        <f>ROUND(G107+E108,2)</f>
        <v>6853022.3600000003</v>
      </c>
      <c r="D108" s="173">
        <f t="shared" si="14"/>
        <v>6849269.3400000008</v>
      </c>
      <c r="E108" s="172">
        <f t="shared" si="19"/>
        <v>3753.02</v>
      </c>
      <c r="F108" s="172">
        <f t="shared" si="17"/>
        <v>6849269.3399999607</v>
      </c>
      <c r="G108" s="172">
        <f t="shared" si="15"/>
        <v>-4.0046870708465576E-8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192</vt:i4>
      </vt:variant>
    </vt:vector>
  </HeadingPairs>
  <TitlesOfParts>
    <vt:vector size="192" baseType="lpstr">
      <vt:lpstr>ReSchedule_MonthlyTC1</vt:lpstr>
      <vt:lpstr>ReSchedule_MonthlyTC1_1</vt:lpstr>
      <vt:lpstr>ReSchedule_MonthlyTC1_2</vt:lpstr>
      <vt:lpstr>ReSchedule_MonthlyTC2</vt:lpstr>
      <vt:lpstr>ReSchedule_MonthlyTC2_1</vt:lpstr>
      <vt:lpstr>ReSchedule_MonthlyTC2_2</vt:lpstr>
      <vt:lpstr>ReSchedule_MonthlyTC3</vt:lpstr>
      <vt:lpstr>ReSchedule_MonthlyTC3_1</vt:lpstr>
      <vt:lpstr>ReSchedule_MonthlyTC3_2</vt:lpstr>
      <vt:lpstr>ReSchedule_MonthlyTC4</vt:lpstr>
      <vt:lpstr>ReSchedule_MonthlyTC4_1</vt:lpstr>
      <vt:lpstr>ReSchedule_MonthlyTC4_2</vt:lpstr>
      <vt:lpstr>ReSchedule_MonthlyTC4_3</vt:lpstr>
      <vt:lpstr>ReSchedule_MonthlyTC4_4</vt:lpstr>
      <vt:lpstr>ReSchedule_MonthlyTC5</vt:lpstr>
      <vt:lpstr>ReSchedule_MonthlyTC5_1</vt:lpstr>
      <vt:lpstr>ReSchedule_MonthlyTC5_2</vt:lpstr>
      <vt:lpstr>ReSchedule_MonthlyTC6</vt:lpstr>
      <vt:lpstr>ReSchedule_MonthlyTC6_1</vt:lpstr>
      <vt:lpstr>ReSchedule_MonthlyTC6_2</vt:lpstr>
      <vt:lpstr>ReSchedule_MonthlyTC7</vt:lpstr>
      <vt:lpstr>ReSchedule_MonthlyTC7_1</vt:lpstr>
      <vt:lpstr>ReSchedule_MonthlyTC7_2</vt:lpstr>
      <vt:lpstr>ReSchedule_MonthlyTC8</vt:lpstr>
      <vt:lpstr>ReSchedule_MonthlyTC8_1</vt:lpstr>
      <vt:lpstr>ReSchedule_MonthlyTC8_2</vt:lpstr>
      <vt:lpstr>ReSchedule_MonthlyTC9</vt:lpstr>
      <vt:lpstr>ReSchedule_MonthlyTC9_1</vt:lpstr>
      <vt:lpstr>ReSchedule_MonthlyTC9_2</vt:lpstr>
      <vt:lpstr>ReSchedule_MonthlyTC9_3</vt:lpstr>
      <vt:lpstr>ReSchedule_MonthlyTC9_4</vt:lpstr>
      <vt:lpstr>ReSchedule_MonthlyTC10</vt:lpstr>
      <vt:lpstr>ReSchedule_MonthlyTC10_1</vt:lpstr>
      <vt:lpstr>ReSchedule_MonthlyTC10_2</vt:lpstr>
      <vt:lpstr>ReSchedule_MonthlyTC10_3</vt:lpstr>
      <vt:lpstr>ReSchedule_MonthlyTC10_4</vt:lpstr>
      <vt:lpstr>ReSchedule_MonthlyTC11</vt:lpstr>
      <vt:lpstr>ReSchedule_MonthlyTC11_1</vt:lpstr>
      <vt:lpstr>ReSchedule_MonthlyTC11_2</vt:lpstr>
      <vt:lpstr>ReSchedule_MonthlyTC11_3</vt:lpstr>
      <vt:lpstr>ReSchedule_MonthlyTC11_4</vt:lpstr>
      <vt:lpstr>ReSchedule_MonthlyTC12</vt:lpstr>
      <vt:lpstr>ReSchedule_MonthlyTC12_1</vt:lpstr>
      <vt:lpstr>ReSchedule_MonthlyTC12_2</vt:lpstr>
      <vt:lpstr>ReSchedule_MonthlyTC13</vt:lpstr>
      <vt:lpstr>ReSchedule_MonthlyTC13_1</vt:lpstr>
      <vt:lpstr>ReSchedule_MonthlyTC13_2</vt:lpstr>
      <vt:lpstr>ReSchedule_MonthlyTC14</vt:lpstr>
      <vt:lpstr>ReSchedule_MonthlyTC14_1</vt:lpstr>
      <vt:lpstr>ReSchedule_MonthlyTC14_2</vt:lpstr>
      <vt:lpstr>ReSchedule_MonthlyTC14_3</vt:lpstr>
      <vt:lpstr>ReSchedule_MonthlyTC14_4</vt:lpstr>
      <vt:lpstr>ReSchedule_MonthlyTC15</vt:lpstr>
      <vt:lpstr>ReSchedule_MonthlyTC15_1</vt:lpstr>
      <vt:lpstr>ReSchedule_MonthlyTC15_2</vt:lpstr>
      <vt:lpstr>ReSchedule_MonthlyTC16</vt:lpstr>
      <vt:lpstr>ReSchedule_MonthlyTC16_1</vt:lpstr>
      <vt:lpstr>ReSchedule_MonthlyTC16_2</vt:lpstr>
      <vt:lpstr>ReSchedule_MonthlyTC17</vt:lpstr>
      <vt:lpstr>ReSchedule_MonthlyTC17_1</vt:lpstr>
      <vt:lpstr>ReSchedule_MonthlyTC17_2</vt:lpstr>
      <vt:lpstr>ReSchedule_MonthlyTC18</vt:lpstr>
      <vt:lpstr>ReSchedule_MonthlyTC18_1</vt:lpstr>
      <vt:lpstr>ReSchedule_MonthlyTC18_2</vt:lpstr>
      <vt:lpstr>ReSchedule_MonthlyTC19</vt:lpstr>
      <vt:lpstr>ReSchedule_MonthlyTC19_1</vt:lpstr>
      <vt:lpstr>ReSchedule_MonthlyTC19_2</vt:lpstr>
      <vt:lpstr>ReSchedule_MonthlyTC20</vt:lpstr>
      <vt:lpstr>ReSchedule_MonthlyTC20_1</vt:lpstr>
      <vt:lpstr>ReSchedule_MonthlyTC20_2</vt:lpstr>
      <vt:lpstr>ReSchedule_MonthlyTC21</vt:lpstr>
      <vt:lpstr>ReSchedule_MonthlyTC21_1</vt:lpstr>
      <vt:lpstr>ReSchedule_MonthlyTC21_2</vt:lpstr>
      <vt:lpstr>ReSchedule_MonthlyTC22</vt:lpstr>
      <vt:lpstr>ReSchedule_MonthlyTC22_1</vt:lpstr>
      <vt:lpstr>ReSchedule_MonthlyTC22_2</vt:lpstr>
      <vt:lpstr>ReSchedule_MonthlyTC23</vt:lpstr>
      <vt:lpstr>ReSchedule_MonthlyTC23_1</vt:lpstr>
      <vt:lpstr>ReSchedule_MonthlyTC23_2</vt:lpstr>
      <vt:lpstr>ReSchedule_MonthlyTC24</vt:lpstr>
      <vt:lpstr>ReSchedule_MonthlyTC24_1</vt:lpstr>
      <vt:lpstr>ReSchedule_MonthlyTC24_2</vt:lpstr>
      <vt:lpstr>ReSchedule_MonthlyTC25</vt:lpstr>
      <vt:lpstr>ReSchedule_MonthlyTC25_1</vt:lpstr>
      <vt:lpstr>ReSchedule_MonthlyTC25_2</vt:lpstr>
      <vt:lpstr>ReSchedule_MonthlyTC26</vt:lpstr>
      <vt:lpstr>ReSchedule_MonthlyTC26_1</vt:lpstr>
      <vt:lpstr>ReSchedule_MonthlyTC26_2</vt:lpstr>
      <vt:lpstr>ReSchedule_MonthlyTC27</vt:lpstr>
      <vt:lpstr>ReSchedule_MonthlyTC27_1</vt:lpstr>
      <vt:lpstr>ReSchedule_MonthlyTC27_2</vt:lpstr>
      <vt:lpstr>ReSchedule_DailyTC28</vt:lpstr>
      <vt:lpstr>ReSchedule_DailyTC28_1</vt:lpstr>
      <vt:lpstr>ReSchedule_DailyTC29</vt:lpstr>
      <vt:lpstr>ReSchedule_DailyTC29_1</vt:lpstr>
      <vt:lpstr>ReSchedule_DailyTC30</vt:lpstr>
      <vt:lpstr>ReSchedule_DailyTC30_1</vt:lpstr>
      <vt:lpstr>ReSchedule_DailyTC31</vt:lpstr>
      <vt:lpstr>ReSchedule_DailyTC31_1</vt:lpstr>
      <vt:lpstr>ReSchedule_DailyTC32</vt:lpstr>
      <vt:lpstr>ReSchedule_DailyTC32_1</vt:lpstr>
      <vt:lpstr>ReSchedule_DailyTC33</vt:lpstr>
      <vt:lpstr>ReSchedule_DailyTC33_1</vt:lpstr>
      <vt:lpstr>ReSchedule_DailyTC34</vt:lpstr>
      <vt:lpstr>ReSchedule_DailyTC34_1</vt:lpstr>
      <vt:lpstr>ReSchedule_MonthlyTC35</vt:lpstr>
      <vt:lpstr>ReSchedule_MonthlyTC35_1</vt:lpstr>
      <vt:lpstr>ReSchedule_MonthlyTC35_2</vt:lpstr>
      <vt:lpstr>ReSchedule_MonthlyTC36</vt:lpstr>
      <vt:lpstr>ReSchedule_MonthlyTC36_1</vt:lpstr>
      <vt:lpstr>ReSchedule_MonthlyTC36_2</vt:lpstr>
      <vt:lpstr>ReSchedule_MonthlyTC37</vt:lpstr>
      <vt:lpstr>ReSchedule_MonthlyTC37_1</vt:lpstr>
      <vt:lpstr>ReSchedule_MonthlyTC37_2</vt:lpstr>
      <vt:lpstr>ReSchedule_MonthlyTC38</vt:lpstr>
      <vt:lpstr>ReSchedule_MonthlyTC38_1</vt:lpstr>
      <vt:lpstr>ReSchedule_MonthlyTC38_2</vt:lpstr>
      <vt:lpstr>ReSchedule_MonthlyTC39</vt:lpstr>
      <vt:lpstr>ReSchedule_MonthlyTC39_1</vt:lpstr>
      <vt:lpstr>ReSchedule_MonthlyTC39_2</vt:lpstr>
      <vt:lpstr>ReSchedule_MonthlyTC40</vt:lpstr>
      <vt:lpstr>ReSchedule_MonthlyTC40_1</vt:lpstr>
      <vt:lpstr>ReSchedule_MonthlyTC40_2</vt:lpstr>
      <vt:lpstr>ReSchedule_MonthlyTC41</vt:lpstr>
      <vt:lpstr>ReSchedule_MonthlyTC41_1</vt:lpstr>
      <vt:lpstr>ReSchedule_MonthlyTC41_2</vt:lpstr>
      <vt:lpstr>ReSchedule_MonthlyTC42</vt:lpstr>
      <vt:lpstr>ReSchedule_MonthlyTC42_1</vt:lpstr>
      <vt:lpstr>ReSchedule_MonthlyTC42_2</vt:lpstr>
      <vt:lpstr>ReSchedule_WeeklyTC1</vt:lpstr>
      <vt:lpstr>ReSchedule_WeeklyTC1_1</vt:lpstr>
      <vt:lpstr>ReSchedule_WeeklyTC1_2</vt:lpstr>
      <vt:lpstr>ReSchedule_WeeklyTC1_3</vt:lpstr>
      <vt:lpstr>ReSchedule_WeeklyTC1_4</vt:lpstr>
      <vt:lpstr>ReSchedule_WeeklyTC1_5</vt:lpstr>
      <vt:lpstr>ReSchedule_WeeklyTC1_6</vt:lpstr>
      <vt:lpstr>ReSchedule_WeeklyTC1_7</vt:lpstr>
      <vt:lpstr>ReSchedule_WeeklyTC1_8</vt:lpstr>
      <vt:lpstr>ReSchedule_WeeklyTC2</vt:lpstr>
      <vt:lpstr>ReSchedule_WeeklyTC2_1</vt:lpstr>
      <vt:lpstr>ReSchedule_WeeklyTC2_2</vt:lpstr>
      <vt:lpstr>ReSchedule_WeeklyTC2_3</vt:lpstr>
      <vt:lpstr>ReSchedule_WeeklyTC2_4</vt:lpstr>
      <vt:lpstr>ReSchedule_WeeklyTC3</vt:lpstr>
      <vt:lpstr>ReSchedule_WeeklyTC3_1</vt:lpstr>
      <vt:lpstr>ReSchedule_WeeklyTC3_2</vt:lpstr>
      <vt:lpstr>ReSchedule_WeeklyTC3_3</vt:lpstr>
      <vt:lpstr>ReSchedule_WeeklyTC3_4</vt:lpstr>
      <vt:lpstr>ReSchedule_WeeklyTC4</vt:lpstr>
      <vt:lpstr>ReSchedule_WeeklyTC4_1</vt:lpstr>
      <vt:lpstr>ReSchedule_WeeklyTC4_2</vt:lpstr>
      <vt:lpstr>ReSchedule_WeeklyTC4_3</vt:lpstr>
      <vt:lpstr>ReSchedule_WeeklyTC4_4</vt:lpstr>
      <vt:lpstr>ReSchedule_WeeklyTC4_5</vt:lpstr>
      <vt:lpstr>ReSchedule_WeeklyTC4_6</vt:lpstr>
      <vt:lpstr>ReSchedule_BimonthlyTC1</vt:lpstr>
      <vt:lpstr>ReSchedule_BimonthlyTC1_1</vt:lpstr>
      <vt:lpstr>ReSchedule_BimonthlyTC1_2</vt:lpstr>
      <vt:lpstr>ReSchedule_BimonthlyTC1_3</vt:lpstr>
      <vt:lpstr>ReSchedule_BimonthlyTC1_4</vt:lpstr>
      <vt:lpstr>ReSchedule_BimonthlyTC1_5</vt:lpstr>
      <vt:lpstr>ReSchedule_BimonthlyTC1_6</vt:lpstr>
      <vt:lpstr>ReSchedule_BimonthlyTC2</vt:lpstr>
      <vt:lpstr>ReSchedule_BimonthlyTC2_1</vt:lpstr>
      <vt:lpstr>ReSchedule_BimonthlyTC2_2</vt:lpstr>
      <vt:lpstr>ReSchedule_BimonthlyTC2_3</vt:lpstr>
      <vt:lpstr>ReSchedule_BimonthlyTC2_4</vt:lpstr>
      <vt:lpstr>ReSchedule_BimonthlyTC2_5</vt:lpstr>
      <vt:lpstr>ReSchedule_BimonthlyTC2_6</vt:lpstr>
      <vt:lpstr>ReSchedule_AnnualTC1</vt:lpstr>
      <vt:lpstr>ReSchedule_AnnualTC1_1</vt:lpstr>
      <vt:lpstr>ReSchedule_AnnualTC1_2</vt:lpstr>
      <vt:lpstr>ReSchedule_QuarterlyTC1</vt:lpstr>
      <vt:lpstr>ReSchedule_QuarterlyTC1_1</vt:lpstr>
      <vt:lpstr>ReSchedule_QuarterlyTC1_2</vt:lpstr>
      <vt:lpstr>ReSchedule_SemiAnnualyTC1</vt:lpstr>
      <vt:lpstr>ReSchedule_SemiAnnualyTC1_1</vt:lpstr>
      <vt:lpstr>ReSchedule_SemiAnnualyTC1_2</vt:lpstr>
      <vt:lpstr>ReSchedule_MonthlyTC43</vt:lpstr>
      <vt:lpstr>ReSchedule_MonthlyTC43_1</vt:lpstr>
      <vt:lpstr>ReSchedule_MonthlyTC43_2</vt:lpstr>
      <vt:lpstr>ReSchedule_MonthlyTC44</vt:lpstr>
      <vt:lpstr>ReSchedule_MonthlyTC44_1</vt:lpstr>
      <vt:lpstr>ReSchedule_MonthlyTC44_2</vt:lpstr>
      <vt:lpstr>ReSchedule_MonthlyTC45</vt:lpstr>
      <vt:lpstr>ReSchedule_MonthlyTC45_1</vt:lpstr>
      <vt:lpstr>ReSchedule_MonthlyTC45_2</vt:lpstr>
      <vt:lpstr>ReSchedule_MonthlyTC45_3</vt:lpstr>
      <vt:lpstr>ReSchedule_MonthlyTC46</vt:lpstr>
      <vt:lpstr>ReSchedule_MonthlyTC46_1</vt:lpstr>
      <vt:lpstr>ReSchedule_MonthlyTC47</vt:lpstr>
      <vt:lpstr>ReSchedule_MonthlyTC47_1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SoapUI1</dc:creator>
  <cp:lastModifiedBy>SoapUI1</cp:lastModifiedBy>
  <cp:lastPrinted>2020-04-29T09:26:26Z</cp:lastPrinted>
  <dcterms:created xsi:type="dcterms:W3CDTF">2020-04-22T08:23:34Z</dcterms:created>
  <dcterms:modified xsi:type="dcterms:W3CDTF">2020-09-09T10:57:05Z</dcterms:modified>
</cp:coreProperties>
</file>