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emester II\Statistics\Labwork\"/>
    </mc:Choice>
  </mc:AlternateContent>
  <xr:revisionPtr revIDLastSave="0" documentId="13_ncr:1_{A8E047D2-ABA9-402A-B54D-17D4A538A64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" i="1" l="1"/>
  <c r="B206" i="1"/>
  <c r="B205" i="1"/>
  <c r="B204" i="1"/>
  <c r="B203" i="1"/>
  <c r="B202" i="1"/>
  <c r="B201" i="1"/>
  <c r="B200" i="1"/>
  <c r="B199" i="1"/>
  <c r="B307" i="1"/>
  <c r="D269" i="1"/>
  <c r="D268" i="1"/>
  <c r="D267" i="1"/>
  <c r="D266" i="1"/>
  <c r="D265" i="1"/>
  <c r="B265" i="1"/>
  <c r="B311" i="1"/>
  <c r="B310" i="1"/>
  <c r="B309" i="1"/>
  <c r="B308" i="1"/>
  <c r="B198" i="1"/>
  <c r="B193" i="1"/>
  <c r="E192" i="1"/>
  <c r="H192" i="1" s="1"/>
  <c r="E191" i="1"/>
  <c r="H191" i="1" s="1"/>
  <c r="E190" i="1"/>
  <c r="H190" i="1" s="1"/>
  <c r="F189" i="1"/>
  <c r="F190" i="1" s="1"/>
  <c r="F191" i="1" s="1"/>
  <c r="F192" i="1" s="1"/>
  <c r="E189" i="1"/>
  <c r="H189" i="1" s="1"/>
  <c r="E188" i="1"/>
  <c r="H188" i="1" s="1"/>
  <c r="F257" i="1"/>
  <c r="F258" i="1"/>
  <c r="F259" i="1"/>
  <c r="F260" i="1"/>
  <c r="F261" i="1"/>
  <c r="F256" i="1"/>
  <c r="C256" i="1"/>
  <c r="C257" i="1" s="1"/>
  <c r="C258" i="1" s="1"/>
  <c r="C259" i="1" s="1"/>
  <c r="C260" i="1" s="1"/>
  <c r="C261" i="1" s="1"/>
  <c r="B262" i="1" s="1"/>
  <c r="D247" i="1"/>
  <c r="B267" i="1" l="1"/>
  <c r="B266" i="1"/>
  <c r="B137" i="1" l="1"/>
  <c r="E137" i="1"/>
  <c r="B132" i="1" l="1"/>
  <c r="F127" i="1"/>
  <c r="F128" i="1" s="1"/>
  <c r="F129" i="1" s="1"/>
  <c r="F130" i="1" s="1"/>
  <c r="F131" i="1" s="1"/>
  <c r="E128" i="1"/>
  <c r="H128" i="1" s="1"/>
  <c r="E129" i="1"/>
  <c r="H129" i="1" s="1"/>
  <c r="E130" i="1"/>
  <c r="H130" i="1" s="1"/>
  <c r="E131" i="1"/>
  <c r="H131" i="1" s="1"/>
  <c r="E127" i="1"/>
  <c r="H127" i="1" s="1"/>
  <c r="E101" i="1"/>
  <c r="E100" i="1"/>
  <c r="B101" i="1"/>
  <c r="B100" i="1"/>
  <c r="E80" i="1"/>
  <c r="E79" i="1"/>
  <c r="E78" i="1"/>
  <c r="B78" i="1"/>
  <c r="F67" i="1"/>
  <c r="F68" i="1" s="1"/>
  <c r="F69" i="1" s="1"/>
  <c r="F70" i="1" s="1"/>
  <c r="F71" i="1" s="1"/>
  <c r="F72" i="1" s="1"/>
  <c r="B73" i="1" s="1"/>
  <c r="E68" i="1"/>
  <c r="E69" i="1"/>
  <c r="E70" i="1"/>
  <c r="E71" i="1"/>
  <c r="E72" i="1"/>
  <c r="E67" i="1"/>
  <c r="E46" i="1"/>
  <c r="E45" i="1"/>
  <c r="E42" i="1"/>
  <c r="E41" i="1"/>
  <c r="E30" i="1"/>
  <c r="E31" i="1"/>
  <c r="E32" i="1"/>
  <c r="E33" i="1"/>
  <c r="E34" i="1"/>
  <c r="E29" i="1"/>
  <c r="B40" i="1"/>
  <c r="E40" i="1"/>
  <c r="E39" i="1"/>
  <c r="H132" i="1" l="1"/>
  <c r="J70" i="1"/>
  <c r="J67" i="1"/>
  <c r="J72" i="1"/>
  <c r="E135" i="1"/>
  <c r="E43" i="1"/>
  <c r="E44" i="1" s="1"/>
  <c r="B141" i="1"/>
  <c r="E141" i="1" s="1"/>
  <c r="B140" i="1"/>
  <c r="E140" i="1" s="1"/>
  <c r="B139" i="1"/>
  <c r="E139" i="1" s="1"/>
  <c r="B138" i="1"/>
  <c r="E138" i="1" s="1"/>
  <c r="B136" i="1"/>
  <c r="E136" i="1" s="1"/>
  <c r="B102" i="1"/>
  <c r="E102" i="1"/>
  <c r="E81" i="1"/>
  <c r="E82" i="1" s="1"/>
  <c r="E35" i="1"/>
  <c r="E47" i="1"/>
  <c r="E48" i="1" s="1"/>
  <c r="E76" i="1"/>
  <c r="H71" i="1" s="1"/>
  <c r="B84" i="1"/>
  <c r="E84" i="1" s="1"/>
  <c r="B83" i="1"/>
  <c r="E83" i="1" s="1"/>
  <c r="B77" i="1"/>
  <c r="E77" i="1" s="1"/>
  <c r="E49" i="1"/>
  <c r="J71" i="1"/>
  <c r="J69" i="1"/>
  <c r="J68" i="1"/>
  <c r="H72" i="1" l="1"/>
  <c r="H67" i="1"/>
  <c r="H70" i="1"/>
  <c r="H68" i="1"/>
  <c r="H69" i="1"/>
  <c r="E144" i="1"/>
  <c r="E145" i="1"/>
  <c r="E142" i="1"/>
  <c r="E143" i="1" s="1"/>
  <c r="E85" i="1"/>
  <c r="E86" i="1" s="1"/>
  <c r="J73" i="1"/>
  <c r="E89" i="1" s="1"/>
  <c r="E90" i="1" s="1"/>
  <c r="E91" i="1" s="1"/>
  <c r="H73" i="1" l="1"/>
  <c r="E88" i="1" s="1"/>
  <c r="E87" i="1"/>
  <c r="E92" i="1"/>
  <c r="C29" i="1" l="1"/>
  <c r="C30" i="1" s="1"/>
  <c r="C31" i="1" s="1"/>
  <c r="C32" i="1" s="1"/>
  <c r="C33" i="1" s="1"/>
  <c r="C34" i="1" s="1"/>
  <c r="B35" i="1" s="1"/>
  <c r="B19" i="1"/>
  <c r="B22" i="1" s="1"/>
  <c r="B18" i="1"/>
  <c r="B14" i="1"/>
  <c r="B13" i="1"/>
  <c r="B11" i="1"/>
  <c r="B10" i="1"/>
  <c r="B9" i="1"/>
  <c r="B8" i="1"/>
  <c r="B7" i="1"/>
  <c r="B45" i="1" l="1"/>
  <c r="B46" i="1"/>
  <c r="B15" i="1"/>
  <c r="B17" i="1" s="1"/>
  <c r="E38" i="1"/>
  <c r="E51" i="1" s="1"/>
  <c r="B39" i="1"/>
  <c r="B12" i="1"/>
  <c r="B20" i="1"/>
  <c r="B21" i="1" s="1"/>
  <c r="B16" i="1" l="1"/>
  <c r="E54" i="1"/>
  <c r="E52" i="1"/>
  <c r="E53" i="1" s="1"/>
  <c r="D32" i="1"/>
  <c r="D33" i="1"/>
  <c r="D29" i="1"/>
  <c r="D31" i="1"/>
  <c r="D34" i="1"/>
  <c r="D30" i="1"/>
  <c r="D35" i="1" l="1"/>
  <c r="E50" i="1" s="1"/>
</calcChain>
</file>

<file path=xl/sharedStrings.xml><?xml version="1.0" encoding="utf-8"?>
<sst xmlns="http://schemas.openxmlformats.org/spreadsheetml/2006/main" count="357" uniqueCount="233">
  <si>
    <t>a)</t>
  </si>
  <si>
    <t>Measures</t>
  </si>
  <si>
    <t>Value</t>
  </si>
  <si>
    <t>Formula</t>
  </si>
  <si>
    <t>Mean</t>
  </si>
  <si>
    <t>Median</t>
  </si>
  <si>
    <t xml:space="preserve">Highest </t>
  </si>
  <si>
    <t>Lowest</t>
  </si>
  <si>
    <t>Range</t>
  </si>
  <si>
    <t>Coeff.of Range</t>
  </si>
  <si>
    <t>Q3</t>
  </si>
  <si>
    <t>Q1</t>
  </si>
  <si>
    <t>Interquartile Range</t>
  </si>
  <si>
    <t>Quartile Deviation</t>
  </si>
  <si>
    <t>Mean deviation</t>
  </si>
  <si>
    <t>Standard Deviation</t>
  </si>
  <si>
    <t>Variance</t>
  </si>
  <si>
    <t xml:space="preserve"> =AVERAGE(A4:L4)</t>
  </si>
  <si>
    <t xml:space="preserve"> =MEDIAN(A4:L4)</t>
  </si>
  <si>
    <t xml:space="preserve"> =MODE(A4:L4)</t>
  </si>
  <si>
    <t xml:space="preserve"> =MAX(A4:L4)</t>
  </si>
  <si>
    <t xml:space="preserve"> =MIN(A4:L4)</t>
  </si>
  <si>
    <t xml:space="preserve">  =B10-B11</t>
  </si>
  <si>
    <t xml:space="preserve"> =QUARTILE(A4:L4,3)</t>
  </si>
  <si>
    <t xml:space="preserve"> =QUARTILE(A4:L4,1)</t>
  </si>
  <si>
    <t xml:space="preserve"> =B13-B14</t>
  </si>
  <si>
    <t xml:space="preserve"> =B15/2</t>
  </si>
  <si>
    <t xml:space="preserve"> =(B15)/(B13+B14)</t>
  </si>
  <si>
    <t xml:space="preserve"> =AVEDEV(A4:L4)</t>
  </si>
  <si>
    <t xml:space="preserve"> =STDEVP(A4:L4)</t>
  </si>
  <si>
    <t xml:space="preserve"> =B19/B7</t>
  </si>
  <si>
    <t xml:space="preserve"> =B20*100%</t>
  </si>
  <si>
    <t xml:space="preserve"> =B19^2</t>
  </si>
  <si>
    <t>Values</t>
  </si>
  <si>
    <t>Frequency</t>
  </si>
  <si>
    <t>x</t>
  </si>
  <si>
    <t>f</t>
  </si>
  <si>
    <t>cf</t>
  </si>
  <si>
    <t>f*abs(x-x̄)</t>
  </si>
  <si>
    <t>f*x^2</t>
  </si>
  <si>
    <t xml:space="preserve"> standard deviation, coefficient of SD, coefficient of variance and variance of the following data:</t>
  </si>
  <si>
    <t>Mode</t>
  </si>
  <si>
    <t>Smallest</t>
  </si>
  <si>
    <t>Position</t>
  </si>
  <si>
    <t xml:space="preserve"> =SUMPRODUCT(A29:A34,B29:B34/B35)</t>
  </si>
  <si>
    <t xml:space="preserve"> =(B35+1)/2</t>
  </si>
  <si>
    <t>b)</t>
  </si>
  <si>
    <t xml:space="preserve"> =A31</t>
  </si>
  <si>
    <t xml:space="preserve"> =MAX(B29:B34)</t>
  </si>
  <si>
    <t xml:space="preserve"> =MAX(A29:A34)</t>
  </si>
  <si>
    <t xml:space="preserve"> =MIN(A29:A34)</t>
  </si>
  <si>
    <t xml:space="preserve"> =E41-E42</t>
  </si>
  <si>
    <t xml:space="preserve"> =E43/(E41+E42)</t>
  </si>
  <si>
    <t xml:space="preserve"> =(B35+1)/4</t>
  </si>
  <si>
    <t xml:space="preserve"> =3*(B35+1)/4</t>
  </si>
  <si>
    <t xml:space="preserve"> =A32</t>
  </si>
  <si>
    <t xml:space="preserve"> =A30</t>
  </si>
  <si>
    <t xml:space="preserve"> =E45-E46</t>
  </si>
  <si>
    <t xml:space="preserve"> =E47/2</t>
  </si>
  <si>
    <t xml:space="preserve"> =(E45-E46)/(E45+E46)</t>
  </si>
  <si>
    <t xml:space="preserve"> =D35/B35</t>
  </si>
  <si>
    <t xml:space="preserve"> =SQRT(E35/B35-E38^2)</t>
  </si>
  <si>
    <t xml:space="preserve"> =E51/E38</t>
  </si>
  <si>
    <t xml:space="preserve"> =E51^2</t>
  </si>
  <si>
    <t>c)</t>
  </si>
  <si>
    <t>Class Interval</t>
  </si>
  <si>
    <t>Freqency</t>
  </si>
  <si>
    <t xml:space="preserve"> 0-10</t>
  </si>
  <si>
    <t xml:space="preserve"> 10-20</t>
  </si>
  <si>
    <t>LCB</t>
  </si>
  <si>
    <t>UCB</t>
  </si>
  <si>
    <t xml:space="preserve">m </t>
  </si>
  <si>
    <t>h</t>
  </si>
  <si>
    <t>f*abs(m-mean)</t>
  </si>
  <si>
    <t>f*m^2</t>
  </si>
  <si>
    <t xml:space="preserve"> =SUMPRODUCT(B67:B72,E67:E72)/B73</t>
  </si>
  <si>
    <t xml:space="preserve"> 20-30</t>
  </si>
  <si>
    <t xml:space="preserve"> 30-40</t>
  </si>
  <si>
    <t xml:space="preserve"> 40-50</t>
  </si>
  <si>
    <t xml:space="preserve"> 50-60</t>
  </si>
  <si>
    <t xml:space="preserve"> =B73/2</t>
  </si>
  <si>
    <t xml:space="preserve"> =C70+(B77-F69)/B70*G70</t>
  </si>
  <si>
    <t xml:space="preserve"> =MAX(B67:B72)</t>
  </si>
  <si>
    <t xml:space="preserve"> =C70+(B70-B69)/(2*B70-B69-B71)*G70</t>
  </si>
  <si>
    <t xml:space="preserve">Largest </t>
  </si>
  <si>
    <t xml:space="preserve"> =MAX(D67:D72)</t>
  </si>
  <si>
    <t xml:space="preserve"> =MIN(C67:C72)</t>
  </si>
  <si>
    <t xml:space="preserve"> =E79-E80</t>
  </si>
  <si>
    <t xml:space="preserve"> =(E81)/(E79+E80)</t>
  </si>
  <si>
    <t xml:space="preserve"> =3*B73/4</t>
  </si>
  <si>
    <t xml:space="preserve"> =B73/4</t>
  </si>
  <si>
    <t xml:space="preserve"> =C69+(B84-F68)/B69*G69</t>
  </si>
  <si>
    <t xml:space="preserve"> =C71+(B83-F70)/B71*G71</t>
  </si>
  <si>
    <t xml:space="preserve"> =E83-E84</t>
  </si>
  <si>
    <t xml:space="preserve"> =(E85)/(E83+E84)</t>
  </si>
  <si>
    <t xml:space="preserve"> =E85/2</t>
  </si>
  <si>
    <t xml:space="preserve"> =H73/B73</t>
  </si>
  <si>
    <t xml:space="preserve"> =SQRT(J73/B73-E76^2)</t>
  </si>
  <si>
    <t xml:space="preserve"> =E89/E76</t>
  </si>
  <si>
    <t xml:space="preserve"> =E52*100%</t>
  </si>
  <si>
    <t xml:space="preserve"> =E90*100%</t>
  </si>
  <si>
    <t xml:space="preserve"> =E89^2</t>
  </si>
  <si>
    <t>2. Compute CV and test the consistency of the data</t>
  </si>
  <si>
    <t>Series A</t>
  </si>
  <si>
    <t>Series B</t>
  </si>
  <si>
    <t>AM</t>
  </si>
  <si>
    <t>CV</t>
  </si>
  <si>
    <t>SD</t>
  </si>
  <si>
    <t xml:space="preserve"> =AVERAGE(B96:G96)</t>
  </si>
  <si>
    <t xml:space="preserve"> =STDEV.P(B96:G96)</t>
  </si>
  <si>
    <t xml:space="preserve"> =B101/B100</t>
  </si>
  <si>
    <r>
      <t xml:space="preserve"> </t>
    </r>
    <r>
      <rPr>
        <sz val="11"/>
        <color theme="1"/>
        <rFont val="Calibri"/>
        <family val="2"/>
        <scheme val="minor"/>
      </rPr>
      <t>=AVERAGE(B97:G97)</t>
    </r>
  </si>
  <si>
    <t xml:space="preserve"> =STDEV.P(B97:G97)</t>
  </si>
  <si>
    <t xml:space="preserve"> =E101/E100</t>
  </si>
  <si>
    <t>Here, CV of B is less than CV of A. Hence Series B is more consistent.</t>
  </si>
  <si>
    <t>where CV= Coefficient of Variance, SD= Standard Deviation, AM= Arithmetic Mean.</t>
  </si>
  <si>
    <t>Coefficient of Range</t>
  </si>
  <si>
    <t>Coefficient of QD</t>
  </si>
  <si>
    <t>Coefficient of SD</t>
  </si>
  <si>
    <t>Coefficient of Variance</t>
  </si>
  <si>
    <t>Coefficientof SD</t>
  </si>
  <si>
    <t xml:space="preserve">3. Calculate Karl Pearson's coefficient of skewness, Bowley's coefficient of skewness and Percentile coefficient of Kurtosis and </t>
  </si>
  <si>
    <t xml:space="preserve"> interpret the result.</t>
  </si>
  <si>
    <t>1.Compute mean, median, mode,range, coefficient of range, interquartile range, quartile deviation, coefficient of QD, mean deviation,</t>
  </si>
  <si>
    <t xml:space="preserve"> 20-30 </t>
  </si>
  <si>
    <t xml:space="preserve"> 40-50 </t>
  </si>
  <si>
    <t xml:space="preserve"> 50-60 </t>
  </si>
  <si>
    <t>m</t>
  </si>
  <si>
    <t>P90</t>
  </si>
  <si>
    <t>P10</t>
  </si>
  <si>
    <t>Sk(p)</t>
  </si>
  <si>
    <t>Sk(b)</t>
  </si>
  <si>
    <t>K</t>
  </si>
  <si>
    <t xml:space="preserve"> =C129+(B129-B128)/(2*B129-B128-B130)*G129</t>
  </si>
  <si>
    <t xml:space="preserve"> =C129+(B136-F128)/B129*G129</t>
  </si>
  <si>
    <t xml:space="preserve"> =C128+(B138-F127)/B128*G128</t>
  </si>
  <si>
    <t xml:space="preserve"> =C130+(B139-F129)/B130*G130</t>
  </si>
  <si>
    <t xml:space="preserve"> =(3*B132)/4</t>
  </si>
  <si>
    <t xml:space="preserve"> =B132/4</t>
  </si>
  <si>
    <t xml:space="preserve"> =MAX(B127:B131)</t>
  </si>
  <si>
    <t xml:space="preserve"> =B132/2</t>
  </si>
  <si>
    <t xml:space="preserve"> =(90*B132)/100</t>
  </si>
  <si>
    <t xml:space="preserve"> =C131+(B140-F130)/B131*G131</t>
  </si>
  <si>
    <t xml:space="preserve"> =(10*B132)/100</t>
  </si>
  <si>
    <t xml:space="preserve"> =C128+(B141-F127)/B128*G128</t>
  </si>
  <si>
    <t xml:space="preserve"> =SQRT(H132/B132-E135^2)</t>
  </si>
  <si>
    <t xml:space="preserve"> =(E135-E137)/E142</t>
  </si>
  <si>
    <t xml:space="preserve"> =(E139+E138-2*E136)/(E139-E138)</t>
  </si>
  <si>
    <t xml:space="preserve"> =(E139-E138)/(2*(E140-E141))</t>
  </si>
  <si>
    <t xml:space="preserve">where Q1=First quartile, Q2= Second quartile, Sk(p)= Karl pearson's of skewness, Sk(b)= Bowley's coefficient of skewness, K= Percentile </t>
  </si>
  <si>
    <t>coefficient of  skewness.</t>
  </si>
  <si>
    <t xml:space="preserve">Since the value of Sk(p) and Sk(b) is greater than 0 i.e. Sk(p) and Sk(b) &gt;0. So both of them are positively skewed. And value of Percentile </t>
  </si>
  <si>
    <t>coefficient of skewness is less than 0.263 i.e K&lt;0.263. So the distribution is platykurtic.</t>
  </si>
  <si>
    <t xml:space="preserve">4.Compute the first four moments about an arbitary point 75 from the following data. Also first four central moments, skewness and </t>
  </si>
  <si>
    <t>kurtosis and interpret.</t>
  </si>
  <si>
    <t>50-60</t>
  </si>
  <si>
    <t>60-70</t>
  </si>
  <si>
    <t>70-80</t>
  </si>
  <si>
    <t>80-90</t>
  </si>
  <si>
    <t>90-100</t>
  </si>
  <si>
    <t xml:space="preserve"> =SUMPRODUCT(B127:B131,E127:E131)/B132</t>
  </si>
  <si>
    <t>5. Calculate the appropriate measure of central tendancy, dispersion and skewness of the following data.</t>
  </si>
  <si>
    <t>Below 10</t>
  </si>
  <si>
    <t xml:space="preserve"> 10-14</t>
  </si>
  <si>
    <t xml:space="preserve"> 16-19 </t>
  </si>
  <si>
    <t xml:space="preserve"> 20-24</t>
  </si>
  <si>
    <t xml:space="preserve"> 25-29</t>
  </si>
  <si>
    <t>Above 29</t>
  </si>
  <si>
    <t xml:space="preserve">Here, the data is in inclusive form so we have to convert the data into an exclusive form. To convert the data into exclusive form we must find the </t>
  </si>
  <si>
    <t xml:space="preserve">correction factor. So </t>
  </si>
  <si>
    <t>1st Upper Value</t>
  </si>
  <si>
    <t>2nd Lower Value</t>
  </si>
  <si>
    <t>Correnction Value</t>
  </si>
  <si>
    <t xml:space="preserve"> =(B249-A249)/2</t>
  </si>
  <si>
    <t>Here, the appropriate measure for central tendency is median, dispersion is quartile deviation, and coefficient of skewness</t>
  </si>
  <si>
    <t xml:space="preserve"> is Bowley's coefficient of Skewness.</t>
  </si>
  <si>
    <t xml:space="preserve"> 9.5-14.5</t>
  </si>
  <si>
    <t xml:space="preserve"> 14.5-19.5 </t>
  </si>
  <si>
    <t xml:space="preserve"> 19.5-24.5</t>
  </si>
  <si>
    <t xml:space="preserve"> 24.5-29.5</t>
  </si>
  <si>
    <t>Above 29.5</t>
  </si>
  <si>
    <t>Measure</t>
  </si>
  <si>
    <t>QD</t>
  </si>
  <si>
    <t>sk(b)</t>
  </si>
  <si>
    <t xml:space="preserve"> =B264/2</t>
  </si>
  <si>
    <t xml:space="preserve"> =B264/4</t>
  </si>
  <si>
    <t xml:space="preserve"> =(3*B264)/4</t>
  </si>
  <si>
    <t>Where Q1 is 1st quartile, Q2 is 2nd quartile, QD is Quartile deviation, Sk(b) is bowley's coefficient of skewness.</t>
  </si>
  <si>
    <t>Q.no.6.Compute the five number summaries and construct the box-whisker plot. Also describe the shape.</t>
  </si>
  <si>
    <t>Here  the five summary numbers are lowest value, 1st quartile, median, 3rd quartile, highest value</t>
  </si>
  <si>
    <r>
      <t>Q</t>
    </r>
    <r>
      <rPr>
        <vertAlign val="subscript"/>
        <sz val="11"/>
        <color theme="1"/>
        <rFont val="Times New Roman"/>
        <family val="1"/>
      </rPr>
      <t>1</t>
    </r>
  </si>
  <si>
    <t>S</t>
  </si>
  <si>
    <t>Md</t>
  </si>
  <si>
    <t>L</t>
  </si>
  <si>
    <r>
      <t>Q</t>
    </r>
    <r>
      <rPr>
        <vertAlign val="subscript"/>
        <sz val="11"/>
        <color theme="1"/>
        <rFont val="Times New Roman"/>
        <family val="1"/>
      </rPr>
      <t>3</t>
    </r>
  </si>
  <si>
    <t>Here the tail of box plot is longer in the below part, so it is negative skewness.</t>
  </si>
  <si>
    <t>Solution:</t>
  </si>
  <si>
    <t>Class interval</t>
  </si>
  <si>
    <t>m-75</t>
  </si>
  <si>
    <r>
      <t>μ</t>
    </r>
    <r>
      <rPr>
        <vertAlign val="subscript"/>
        <sz val="12"/>
        <color rgb="FF202124"/>
        <rFont val="Times New Roman"/>
        <family val="1"/>
      </rPr>
      <t>1</t>
    </r>
    <r>
      <rPr>
        <sz val="12"/>
        <color rgb="FF202124"/>
        <rFont val="Times New Roman"/>
        <family val="1"/>
      </rPr>
      <t>'</t>
    </r>
  </si>
  <si>
    <r>
      <t>μ</t>
    </r>
    <r>
      <rPr>
        <vertAlign val="subscript"/>
        <sz val="12"/>
        <color rgb="FF202124"/>
        <rFont val="Times New Roman"/>
        <family val="1"/>
      </rPr>
      <t>2</t>
    </r>
    <r>
      <rPr>
        <sz val="12"/>
        <color rgb="FF202124"/>
        <rFont val="Times New Roman"/>
        <family val="1"/>
      </rPr>
      <t>'</t>
    </r>
  </si>
  <si>
    <r>
      <t>μ</t>
    </r>
    <r>
      <rPr>
        <vertAlign val="subscript"/>
        <sz val="12"/>
        <color rgb="FF202124"/>
        <rFont val="Times New Roman"/>
        <family val="1"/>
      </rPr>
      <t>3</t>
    </r>
    <r>
      <rPr>
        <sz val="12"/>
        <color rgb="FF202124"/>
        <rFont val="Times New Roman"/>
        <family val="1"/>
      </rPr>
      <t>'</t>
    </r>
  </si>
  <si>
    <r>
      <t>μ</t>
    </r>
    <r>
      <rPr>
        <vertAlign val="subscript"/>
        <sz val="12"/>
        <color rgb="FF202124"/>
        <rFont val="Times New Roman"/>
        <family val="1"/>
      </rPr>
      <t>4</t>
    </r>
    <r>
      <rPr>
        <sz val="12"/>
        <color rgb="FF202124"/>
        <rFont val="Times New Roman"/>
        <family val="1"/>
      </rPr>
      <t>'</t>
    </r>
  </si>
  <si>
    <r>
      <t>μ</t>
    </r>
    <r>
      <rPr>
        <vertAlign val="subscript"/>
        <sz val="12"/>
        <color rgb="FF202124"/>
        <rFont val="Times New Roman"/>
        <family val="1"/>
      </rPr>
      <t>1</t>
    </r>
  </si>
  <si>
    <r>
      <t>μ</t>
    </r>
    <r>
      <rPr>
        <vertAlign val="subscript"/>
        <sz val="12"/>
        <color rgb="FF202124"/>
        <rFont val="Times New Roman"/>
        <family val="1"/>
      </rPr>
      <t>2</t>
    </r>
  </si>
  <si>
    <r>
      <t>μ</t>
    </r>
    <r>
      <rPr>
        <vertAlign val="subscript"/>
        <sz val="12"/>
        <color rgb="FF202124"/>
        <rFont val="Times New Roman"/>
        <family val="1"/>
      </rPr>
      <t>3</t>
    </r>
  </si>
  <si>
    <r>
      <t>μ</t>
    </r>
    <r>
      <rPr>
        <vertAlign val="subscript"/>
        <sz val="12"/>
        <color rgb="FF202124"/>
        <rFont val="Times New Roman"/>
        <family val="1"/>
      </rPr>
      <t>4</t>
    </r>
  </si>
  <si>
    <r>
      <t>γ</t>
    </r>
    <r>
      <rPr>
        <vertAlign val="subscript"/>
        <sz val="11"/>
        <color theme="1"/>
        <rFont val="Times New Roman"/>
        <family val="1"/>
      </rPr>
      <t>1</t>
    </r>
  </si>
  <si>
    <r>
      <t>γ</t>
    </r>
    <r>
      <rPr>
        <vertAlign val="subscript"/>
        <sz val="11"/>
        <color theme="1"/>
        <rFont val="Times New Roman"/>
        <family val="1"/>
      </rPr>
      <t>2</t>
    </r>
  </si>
  <si>
    <r>
      <t>Where  μ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=1st raw moment, μ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=2nd raw moment, μ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=3rd raw moment, μ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=4th raw moment,  γ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= coefficient of Skewness based on moment,</t>
    </r>
  </si>
  <si>
    <r>
      <t>γ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= coefficient  of Kurtosis based on moment.</t>
    </r>
  </si>
  <si>
    <t xml:space="preserve">From the above table we can conclude that the distrubution is positively skewed by coefficient of skewness based on moment. And the </t>
  </si>
  <si>
    <t>distribution is platykurtic by coefficient of Kurtosis based on moment.</t>
  </si>
  <si>
    <t xml:space="preserve"> =SUMPRODUCT(B188:B192,H188:H192)/B193</t>
  </si>
  <si>
    <t xml:space="preserve"> =QUARTILE(A301:L302,1)</t>
  </si>
  <si>
    <t xml:space="preserve"> =MIN(A301:L302)</t>
  </si>
  <si>
    <t xml:space="preserve"> =MEDIAN(A301:L302)</t>
  </si>
  <si>
    <t xml:space="preserve"> =MAX(A301:L302)</t>
  </si>
  <si>
    <t xml:space="preserve"> =QUARTILE(A301:L302,3)</t>
  </si>
  <si>
    <t xml:space="preserve"> =D259+(B265-C258)/B259*F259</t>
  </si>
  <si>
    <t xml:space="preserve"> =D258+(B266-C257)/B258*F258</t>
  </si>
  <si>
    <t xml:space="preserve"> =D260+(B267-C259)/B260*F260</t>
  </si>
  <si>
    <t xml:space="preserve"> =(D267-D266)/2</t>
  </si>
  <si>
    <t xml:space="preserve"> =(D267+D266-2*D265)/(D267-D266)</t>
  </si>
  <si>
    <t xml:space="preserve"> =SUMPRODUCT(B188:B192,H188:H192^2)/B193</t>
  </si>
  <si>
    <t xml:space="preserve"> =SUMPRODUCT(B188:B192,H188:H192^3)/B193</t>
  </si>
  <si>
    <t xml:space="preserve"> =SUMPRODUCT(B188:B192,H188:H192^4)/B193</t>
  </si>
  <si>
    <t xml:space="preserve"> =B198-B198</t>
  </si>
  <si>
    <t xml:space="preserve"> =B199-B198^2</t>
  </si>
  <si>
    <t xml:space="preserve"> =B200-3*B199*B198+2*B198^3</t>
  </si>
  <si>
    <t xml:space="preserve"> =B201-4*B200*B198+6*B199*B198^2-3*B198^4</t>
  </si>
  <si>
    <t xml:space="preserve"> =B204/(B203^1.5)</t>
  </si>
  <si>
    <t xml:space="preserve"> =B205/(B203^2)-3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</si>
</sst>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%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202124"/>
      <name val="Times New Roman"/>
      <family val="1"/>
    </font>
    <font>
      <vertAlign val="subscript"/>
      <sz val="12"/>
      <color rgb="FF202124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10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3" fillId="0" borderId="14" xfId="0" applyFont="1" applyBorder="1"/>
    <xf numFmtId="0" fontId="2" fillId="0" borderId="14" xfId="0" applyNumberFormat="1" applyFont="1" applyBorder="1"/>
    <xf numFmtId="0" fontId="3" fillId="0" borderId="14" xfId="0" applyNumberFormat="1" applyFont="1" applyBorder="1"/>
    <xf numFmtId="0" fontId="3" fillId="0" borderId="15" xfId="0" applyFont="1" applyBorder="1"/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3" fillId="0" borderId="4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25" xfId="0" applyBorder="1"/>
    <xf numFmtId="0" fontId="3" fillId="0" borderId="0" xfId="0" applyFont="1" applyFill="1" applyBorder="1"/>
    <xf numFmtId="0" fontId="0" fillId="0" borderId="26" xfId="0" applyBorder="1"/>
    <xf numFmtId="0" fontId="0" fillId="0" borderId="4" xfId="0" applyBorder="1"/>
    <xf numFmtId="0" fontId="2" fillId="0" borderId="4" xfId="0" applyFont="1" applyBorder="1"/>
    <xf numFmtId="0" fontId="2" fillId="0" borderId="24" xfId="0" applyFont="1" applyBorder="1"/>
    <xf numFmtId="0" fontId="2" fillId="0" borderId="17" xfId="0" applyFont="1" applyBorder="1"/>
    <xf numFmtId="164" fontId="2" fillId="0" borderId="17" xfId="0" applyNumberFormat="1" applyFont="1" applyBorder="1"/>
    <xf numFmtId="0" fontId="2" fillId="0" borderId="18" xfId="0" applyFont="1" applyBorder="1"/>
    <xf numFmtId="0" fontId="0" fillId="0" borderId="11" xfId="0" applyBorder="1"/>
    <xf numFmtId="0" fontId="0" fillId="0" borderId="21" xfId="0" applyBorder="1"/>
    <xf numFmtId="10" fontId="2" fillId="0" borderId="17" xfId="1" applyNumberFormat="1" applyFont="1" applyBorder="1"/>
    <xf numFmtId="0" fontId="2" fillId="0" borderId="19" xfId="0" applyFont="1" applyBorder="1"/>
    <xf numFmtId="0" fontId="2" fillId="0" borderId="21" xfId="0" applyFont="1" applyBorder="1"/>
    <xf numFmtId="0" fontId="2" fillId="0" borderId="12" xfId="0" applyFont="1" applyBorder="1"/>
    <xf numFmtId="0" fontId="2" fillId="0" borderId="27" xfId="0" applyFont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20" xfId="0" applyBorder="1"/>
    <xf numFmtId="0" fontId="0" fillId="0" borderId="9" xfId="0" applyBorder="1"/>
    <xf numFmtId="2" fontId="2" fillId="0" borderId="17" xfId="0" applyNumberFormat="1" applyFont="1" applyBorder="1"/>
    <xf numFmtId="165" fontId="2" fillId="0" borderId="17" xfId="0" applyNumberFormat="1" applyFont="1" applyBorder="1"/>
    <xf numFmtId="1" fontId="2" fillId="0" borderId="17" xfId="0" applyNumberFormat="1" applyFont="1" applyBorder="1"/>
    <xf numFmtId="1" fontId="2" fillId="0" borderId="18" xfId="0" applyNumberFormat="1" applyFont="1" applyBorder="1"/>
    <xf numFmtId="0" fontId="2" fillId="0" borderId="10" xfId="0" applyFont="1" applyBorder="1"/>
    <xf numFmtId="0" fontId="0" fillId="0" borderId="16" xfId="0" applyBorder="1"/>
    <xf numFmtId="164" fontId="2" fillId="0" borderId="18" xfId="0" applyNumberFormat="1" applyFont="1" applyBorder="1"/>
    <xf numFmtId="166" fontId="2" fillId="0" borderId="12" xfId="1" applyNumberFormat="1" applyFont="1" applyBorder="1"/>
    <xf numFmtId="164" fontId="2" fillId="0" borderId="4" xfId="0" applyNumberFormat="1" applyFont="1" applyBorder="1"/>
    <xf numFmtId="166" fontId="2" fillId="0" borderId="24" xfId="1" applyNumberFormat="1" applyFont="1" applyBorder="1"/>
    <xf numFmtId="0" fontId="0" fillId="0" borderId="0" xfId="0" applyFont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19" xfId="0" applyFont="1" applyBorder="1" applyAlignment="1">
      <alignment horizontal="center"/>
    </xf>
    <xf numFmtId="0" fontId="2" fillId="0" borderId="28" xfId="0" applyFont="1" applyFill="1" applyBorder="1"/>
    <xf numFmtId="0" fontId="2" fillId="0" borderId="14" xfId="0" applyFont="1" applyFill="1" applyBorder="1"/>
    <xf numFmtId="164" fontId="2" fillId="0" borderId="19" xfId="0" applyNumberFormat="1" applyFont="1" applyBorder="1"/>
    <xf numFmtId="164" fontId="2" fillId="0" borderId="20" xfId="0" applyNumberFormat="1" applyFont="1" applyBorder="1"/>
    <xf numFmtId="0" fontId="0" fillId="0" borderId="20" xfId="0" applyBorder="1"/>
    <xf numFmtId="0" fontId="0" fillId="0" borderId="0" xfId="0" applyBorder="1"/>
    <xf numFmtId="0" fontId="0" fillId="0" borderId="9" xfId="0" applyBorder="1"/>
    <xf numFmtId="0" fontId="0" fillId="0" borderId="21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20" xfId="0" applyNumberFormat="1" applyFont="1" applyBorder="1" applyAlignment="1">
      <alignment horizontal="right"/>
    </xf>
    <xf numFmtId="0" fontId="2" fillId="0" borderId="20" xfId="0" applyFont="1" applyBorder="1"/>
    <xf numFmtId="164" fontId="2" fillId="0" borderId="21" xfId="0" applyNumberFormat="1" applyFont="1" applyBorder="1"/>
    <xf numFmtId="0" fontId="2" fillId="0" borderId="16" xfId="0" applyFont="1" applyBorder="1"/>
    <xf numFmtId="0" fontId="2" fillId="0" borderId="0" xfId="0" applyFont="1" applyFill="1" applyBorder="1"/>
    <xf numFmtId="0" fontId="0" fillId="0" borderId="20" xfId="0" applyFont="1" applyFill="1" applyBorder="1"/>
    <xf numFmtId="0" fontId="0" fillId="0" borderId="12" xfId="0" applyFont="1" applyBorder="1"/>
    <xf numFmtId="0" fontId="0" fillId="0" borderId="27" xfId="0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7" xfId="0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0" fillId="0" borderId="18" xfId="0" applyFont="1" applyBorder="1"/>
    <xf numFmtId="17" fontId="2" fillId="0" borderId="16" xfId="0" applyNumberFormat="1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3" fillId="0" borderId="23" xfId="0" applyFont="1" applyBorder="1"/>
    <xf numFmtId="0" fontId="2" fillId="0" borderId="23" xfId="0" applyNumberFormat="1" applyFont="1" applyBorder="1"/>
    <xf numFmtId="0" fontId="3" fillId="0" borderId="23" xfId="0" applyNumberFormat="1" applyFont="1" applyBorder="1"/>
    <xf numFmtId="0" fontId="3" fillId="0" borderId="31" xfId="0" applyFont="1" applyBorder="1"/>
    <xf numFmtId="0" fontId="2" fillId="0" borderId="4" xfId="0" applyFont="1" applyBorder="1" applyAlignment="1">
      <alignment horizontal="center" vertical="center"/>
    </xf>
    <xf numFmtId="2" fontId="2" fillId="0" borderId="23" xfId="0" applyNumberFormat="1" applyFont="1" applyBorder="1"/>
    <xf numFmtId="164" fontId="2" fillId="0" borderId="23" xfId="0" applyNumberFormat="1" applyFont="1" applyBorder="1"/>
    <xf numFmtId="164" fontId="2" fillId="0" borderId="23" xfId="0" applyNumberFormat="1" applyFont="1" applyBorder="1" applyAlignment="1"/>
    <xf numFmtId="10" fontId="2" fillId="0" borderId="23" xfId="1" applyNumberFormat="1" applyFont="1" applyBorder="1"/>
    <xf numFmtId="2" fontId="2" fillId="0" borderId="31" xfId="0" applyNumberFormat="1" applyFont="1" applyBorder="1"/>
    <xf numFmtId="0" fontId="2" fillId="0" borderId="4" xfId="0" applyFont="1" applyFill="1" applyBorder="1"/>
    <xf numFmtId="0" fontId="2" fillId="0" borderId="12" xfId="0" applyFont="1" applyBorder="1"/>
    <xf numFmtId="0" fontId="2" fillId="0" borderId="24" xfId="0" applyFont="1" applyBorder="1"/>
    <xf numFmtId="0" fontId="2" fillId="0" borderId="27" xfId="0" applyFont="1" applyBorder="1"/>
    <xf numFmtId="0" fontId="2" fillId="0" borderId="16" xfId="0" applyFont="1" applyFill="1" applyBorder="1"/>
    <xf numFmtId="17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0" fontId="0" fillId="0" borderId="0" xfId="0"/>
    <xf numFmtId="0" fontId="0" fillId="0" borderId="32" xfId="0" applyFont="1" applyFill="1" applyBorder="1"/>
    <xf numFmtId="0" fontId="0" fillId="0" borderId="23" xfId="0" applyFont="1" applyFill="1" applyBorder="1"/>
    <xf numFmtId="0" fontId="0" fillId="0" borderId="31" xfId="0" applyFont="1" applyFill="1" applyBorder="1"/>
    <xf numFmtId="0" fontId="0" fillId="0" borderId="32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5" fillId="0" borderId="0" xfId="0" applyFont="1"/>
    <xf numFmtId="0" fontId="4" fillId="0" borderId="37" xfId="0" applyFont="1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5" fillId="0" borderId="38" xfId="0" applyFont="1" applyBorder="1"/>
    <xf numFmtId="0" fontId="5" fillId="0" borderId="39" xfId="0" applyFont="1" applyBorder="1"/>
    <xf numFmtId="0" fontId="5" fillId="0" borderId="29" xfId="0" applyFont="1" applyBorder="1"/>
    <xf numFmtId="0" fontId="5" fillId="0" borderId="37" xfId="0" applyFont="1" applyBorder="1"/>
    <xf numFmtId="0" fontId="5" fillId="0" borderId="5" xfId="0" applyFont="1" applyBorder="1"/>
    <xf numFmtId="0" fontId="5" fillId="0" borderId="41" xfId="0" applyFont="1" applyBorder="1"/>
    <xf numFmtId="0" fontId="5" fillId="0" borderId="0" xfId="0" applyFont="1" applyAlignment="1">
      <alignment horizontal="left"/>
    </xf>
    <xf numFmtId="0" fontId="4" fillId="0" borderId="3" xfId="0" applyFont="1" applyBorder="1"/>
    <xf numFmtId="0" fontId="5" fillId="0" borderId="40" xfId="0" applyFont="1" applyBorder="1"/>
    <xf numFmtId="0" fontId="5" fillId="0" borderId="30" xfId="0" applyFont="1" applyBorder="1"/>
    <xf numFmtId="167" fontId="5" fillId="0" borderId="0" xfId="0" applyNumberFormat="1" applyFont="1"/>
    <xf numFmtId="0" fontId="4" fillId="0" borderId="41" xfId="0" applyFont="1" applyBorder="1"/>
    <xf numFmtId="0" fontId="4" fillId="0" borderId="6" xfId="0" applyFont="1" applyBorder="1"/>
    <xf numFmtId="1" fontId="4" fillId="0" borderId="0" xfId="0" applyNumberFormat="1" applyFont="1"/>
    <xf numFmtId="0" fontId="8" fillId="0" borderId="38" xfId="0" applyFont="1" applyBorder="1"/>
    <xf numFmtId="165" fontId="5" fillId="0" borderId="39" xfId="0" applyNumberFormat="1" applyFont="1" applyBorder="1"/>
    <xf numFmtId="0" fontId="7" fillId="0" borderId="0" xfId="0" applyFont="1"/>
    <xf numFmtId="0" fontId="8" fillId="0" borderId="29" xfId="0" applyFont="1" applyBorder="1"/>
    <xf numFmtId="2" fontId="5" fillId="0" borderId="37" xfId="0" applyNumberFormat="1" applyFont="1" applyBorder="1"/>
    <xf numFmtId="167" fontId="5" fillId="0" borderId="37" xfId="0" applyNumberFormat="1" applyFont="1" applyBorder="1"/>
    <xf numFmtId="167" fontId="5" fillId="0" borderId="41" xfId="0" applyNumberFormat="1" applyFont="1" applyBorder="1"/>
    <xf numFmtId="1" fontId="5" fillId="0" borderId="37" xfId="0" applyNumberFormat="1" applyFont="1" applyBorder="1"/>
    <xf numFmtId="0" fontId="4" fillId="0" borderId="45" xfId="0" applyFont="1" applyBorder="1"/>
    <xf numFmtId="0" fontId="0" fillId="0" borderId="21" xfId="0" applyBorder="1"/>
    <xf numFmtId="0" fontId="0" fillId="0" borderId="11" xfId="0" applyBorder="1"/>
    <xf numFmtId="0" fontId="0" fillId="0" borderId="20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/>
    <xf numFmtId="0" fontId="2" fillId="0" borderId="2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5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Fill="1" applyBorder="1"/>
    <xf numFmtId="0" fontId="0" fillId="0" borderId="10" xfId="0" applyBorder="1"/>
    <xf numFmtId="0" fontId="0" fillId="0" borderId="17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0" xfId="0" applyFont="1" applyBorder="1" applyAlignment="1"/>
    <xf numFmtId="0" fontId="0" fillId="0" borderId="0" xfId="0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2" xfId="0" applyFont="1" applyFill="1" applyBorder="1" applyAlignment="1">
      <alignment horizontal="right"/>
    </xf>
    <xf numFmtId="0" fontId="2" fillId="0" borderId="24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42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37" xfId="0" applyFont="1" applyBorder="1"/>
    <xf numFmtId="0" fontId="4" fillId="0" borderId="2" xfId="0" applyFont="1" applyBorder="1"/>
    <xf numFmtId="0" fontId="4" fillId="0" borderId="3" xfId="0" applyFont="1" applyBorder="1"/>
    <xf numFmtId="0" fontId="7" fillId="0" borderId="39" xfId="0" applyFont="1" applyBorder="1"/>
    <xf numFmtId="0" fontId="7" fillId="0" borderId="40" xfId="0" applyFont="1" applyBorder="1"/>
    <xf numFmtId="0" fontId="7" fillId="0" borderId="37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0" xfId="0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1" xfId="0" applyFont="1" applyBorder="1"/>
    <xf numFmtId="0" fontId="2" fillId="0" borderId="11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24" xfId="0" applyFont="1" applyBorder="1"/>
    <xf numFmtId="0" fontId="0" fillId="0" borderId="21" xfId="0" applyFont="1" applyBorder="1"/>
    <xf numFmtId="0" fontId="0" fillId="0" borderId="11" xfId="0" applyFont="1" applyBorder="1"/>
    <xf numFmtId="0" fontId="4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Box</a:t>
            </a:r>
            <a:r>
              <a:rPr lang="en-US" baseline="0"/>
              <a:t> Plot</a:t>
            </a:r>
            <a:endParaRPr lang="en-US"/>
          </a:p>
        </c:rich>
      </c:tx>
      <c:layout>
        <c:manualLayout>
          <c:xMode val="edge"/>
          <c:yMode val="edge"/>
          <c:x val="0.76403186152363867"/>
          <c:y val="3.365263235476299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226576941040264"/>
          <c:y val="7.8294685506114292E-2"/>
          <c:w val="0.61445098641949036"/>
          <c:h val="0.71514141570613154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[1]Sheet1!$A$288</c:f>
              <c:strCache>
                <c:ptCount val="1"/>
                <c:pt idx="0">
                  <c:v>Q1</c:v>
                </c:pt>
              </c:strCache>
            </c:strRef>
          </c:tx>
          <c:val>
            <c:numRef>
              <c:f>[1]Sheet1!$B$288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4-4796-BD14-9AC37BE8A47A}"/>
            </c:ext>
          </c:extLst>
        </c:ser>
        <c:ser>
          <c:idx val="1"/>
          <c:order val="1"/>
          <c:tx>
            <c:strRef>
              <c:f>[1]Sheet1!$A$289</c:f>
              <c:strCache>
                <c:ptCount val="1"/>
                <c:pt idx="0">
                  <c:v>S</c:v>
                </c:pt>
              </c:strCache>
            </c:strRef>
          </c:tx>
          <c:val>
            <c:numRef>
              <c:f>[1]Sheet1!$B$289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4-4796-BD14-9AC37BE8A47A}"/>
            </c:ext>
          </c:extLst>
        </c:ser>
        <c:ser>
          <c:idx val="2"/>
          <c:order val="2"/>
          <c:tx>
            <c:strRef>
              <c:f>[1]Sheet1!$A$290</c:f>
              <c:strCache>
                <c:ptCount val="1"/>
                <c:pt idx="0">
                  <c:v>Md</c:v>
                </c:pt>
              </c:strCache>
            </c:strRef>
          </c:tx>
          <c:val>
            <c:numRef>
              <c:f>[1]Sheet1!$B$290</c:f>
              <c:numCache>
                <c:formatCode>General</c:formatCode>
                <c:ptCount val="1"/>
                <c:pt idx="0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4-4796-BD14-9AC37BE8A47A}"/>
            </c:ext>
          </c:extLst>
        </c:ser>
        <c:ser>
          <c:idx val="3"/>
          <c:order val="3"/>
          <c:tx>
            <c:strRef>
              <c:f>[1]Sheet1!$A$291</c:f>
              <c:strCache>
                <c:ptCount val="1"/>
                <c:pt idx="0">
                  <c:v>L</c:v>
                </c:pt>
              </c:strCache>
            </c:strRef>
          </c:tx>
          <c:val>
            <c:numRef>
              <c:f>[1]Sheet1!$B$291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4-4796-BD14-9AC37BE8A47A}"/>
            </c:ext>
          </c:extLst>
        </c:ser>
        <c:ser>
          <c:idx val="4"/>
          <c:order val="4"/>
          <c:tx>
            <c:strRef>
              <c:f>[1]Sheet1!$A$292</c:f>
              <c:strCache>
                <c:ptCount val="1"/>
                <c:pt idx="0">
                  <c:v>Q3</c:v>
                </c:pt>
              </c:strCache>
            </c:strRef>
          </c:tx>
          <c:val>
            <c:numRef>
              <c:f>[1]Sheet1!$B$292</c:f>
              <c:numCache>
                <c:formatCode>General</c:formatCode>
                <c:ptCount val="1"/>
                <c:pt idx="0">
                  <c:v>73.75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4-4796-BD14-9AC37BE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bg2">
                  <a:lumMod val="50000"/>
                </a:schemeClr>
              </a:solidFill>
            </c:spPr>
          </c:upBars>
          <c:downBars/>
        </c:upDownBars>
        <c:marker val="1"/>
        <c:smooth val="0"/>
        <c:axId val="204505856"/>
        <c:axId val="204507392"/>
      </c:lineChart>
      <c:catAx>
        <c:axId val="2045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07392"/>
        <c:crosses val="autoZero"/>
        <c:auto val="1"/>
        <c:lblAlgn val="ctr"/>
        <c:lblOffset val="100"/>
        <c:noMultiLvlLbl val="0"/>
      </c:catAx>
      <c:valAx>
        <c:axId val="20450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50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15594859153241"/>
          <c:y val="0.19793405471959108"/>
          <c:w val="8.8764010881618519E-2"/>
          <c:h val="0.432088568250475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312</xdr:row>
      <xdr:rowOff>123824</xdr:rowOff>
    </xdr:from>
    <xdr:to>
      <xdr:col>9</xdr:col>
      <xdr:colOff>180975</xdr:colOff>
      <xdr:row>326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4490E-4815-48F0-94B4-A41BE92FF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Statistics-La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 refreshError="1"/>
      <sheetData sheetId="1">
        <row r="288">
          <cell r="A288" t="str">
            <v>Q1</v>
          </cell>
          <cell r="B288">
            <v>27.5</v>
          </cell>
        </row>
        <row r="289">
          <cell r="A289" t="str">
            <v>S</v>
          </cell>
          <cell r="B289">
            <v>5</v>
          </cell>
        </row>
        <row r="290">
          <cell r="A290" t="str">
            <v>Md</v>
          </cell>
          <cell r="B290">
            <v>52.5</v>
          </cell>
        </row>
        <row r="291">
          <cell r="A291" t="str">
            <v>L</v>
          </cell>
          <cell r="B291">
            <v>90</v>
          </cell>
        </row>
        <row r="292">
          <cell r="A292" t="str">
            <v>Q3</v>
          </cell>
          <cell r="B292">
            <v>73.75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9"/>
  <sheetViews>
    <sheetView tabSelected="1" view="pageLayout" zoomScaleNormal="100" workbookViewId="0">
      <selection activeCell="A3" sqref="A3"/>
    </sheetView>
  </sheetViews>
  <sheetFormatPr defaultRowHeight="14.4" x14ac:dyDescent="0.3"/>
  <cols>
    <col min="1" max="1" width="18.109375" customWidth="1"/>
    <col min="2" max="2" width="11.109375" customWidth="1"/>
    <col min="3" max="3" width="11.44140625" bestFit="1" customWidth="1"/>
    <col min="4" max="4" width="9.109375" customWidth="1"/>
    <col min="5" max="5" width="10" customWidth="1"/>
    <col min="6" max="6" width="7.5546875" customWidth="1"/>
    <col min="7" max="7" width="7.21875" customWidth="1"/>
    <col min="8" max="8" width="8.109375" customWidth="1"/>
    <col min="9" max="9" width="8.77734375" customWidth="1"/>
    <col min="10" max="10" width="9.6640625" customWidth="1"/>
    <col min="11" max="11" width="8.21875" customWidth="1"/>
    <col min="12" max="12" width="7.5546875" customWidth="1"/>
    <col min="13" max="13" width="5" customWidth="1"/>
  </cols>
  <sheetData>
    <row r="1" spans="1:13" ht="14.4" customHeight="1" x14ac:dyDescent="0.3">
      <c r="A1" s="150" t="s">
        <v>123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"/>
    </row>
    <row r="2" spans="1:13" ht="14.4" customHeight="1" x14ac:dyDescent="0.3">
      <c r="A2" s="189" t="s">
        <v>40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2"/>
    </row>
    <row r="3" spans="1:13" ht="15" thickBot="1" x14ac:dyDescent="0.35">
      <c r="A3" s="1" t="s">
        <v>0</v>
      </c>
    </row>
    <row r="4" spans="1:13" ht="15" thickBot="1" x14ac:dyDescent="0.35">
      <c r="A4" s="63">
        <v>43</v>
      </c>
      <c r="B4" s="64">
        <v>37</v>
      </c>
      <c r="C4" s="64">
        <v>50</v>
      </c>
      <c r="D4" s="64">
        <v>51</v>
      </c>
      <c r="E4" s="64">
        <v>58</v>
      </c>
      <c r="F4" s="64">
        <v>105</v>
      </c>
      <c r="G4" s="64">
        <v>52</v>
      </c>
      <c r="H4" s="64">
        <v>45</v>
      </c>
      <c r="I4" s="64">
        <v>45</v>
      </c>
      <c r="J4" s="64">
        <v>10</v>
      </c>
      <c r="K4" s="64">
        <v>43</v>
      </c>
      <c r="L4" s="65">
        <v>43</v>
      </c>
    </row>
    <row r="5" spans="1:13" ht="15" thickBot="1" x14ac:dyDescent="0.35"/>
    <row r="6" spans="1:13" ht="15" thickBot="1" x14ac:dyDescent="0.35">
      <c r="A6" s="17" t="s">
        <v>1</v>
      </c>
      <c r="B6" s="86" t="s">
        <v>2</v>
      </c>
      <c r="C6" s="194" t="s">
        <v>3</v>
      </c>
      <c r="D6" s="195"/>
    </row>
    <row r="7" spans="1:13" x14ac:dyDescent="0.3">
      <c r="A7" s="80" t="s">
        <v>4</v>
      </c>
      <c r="B7" s="80">
        <f>AVERAGE(A4:L4)</f>
        <v>48.5</v>
      </c>
      <c r="C7" s="192" t="s">
        <v>17</v>
      </c>
      <c r="D7" s="193"/>
    </row>
    <row r="8" spans="1:13" x14ac:dyDescent="0.3">
      <c r="A8" s="81" t="s">
        <v>5</v>
      </c>
      <c r="B8" s="81">
        <f>MEDIAN(A4:L4)</f>
        <v>45</v>
      </c>
      <c r="C8" s="190" t="s">
        <v>18</v>
      </c>
      <c r="D8" s="191"/>
    </row>
    <row r="9" spans="1:13" x14ac:dyDescent="0.3">
      <c r="A9" s="81" t="s">
        <v>6</v>
      </c>
      <c r="B9" s="81">
        <f>MODE(A4:L4)</f>
        <v>43</v>
      </c>
      <c r="C9" s="190" t="s">
        <v>19</v>
      </c>
      <c r="D9" s="191"/>
    </row>
    <row r="10" spans="1:13" x14ac:dyDescent="0.3">
      <c r="A10" s="81" t="s">
        <v>7</v>
      </c>
      <c r="B10" s="81">
        <f>MAX(A4:L4)</f>
        <v>105</v>
      </c>
      <c r="C10" s="190" t="s">
        <v>20</v>
      </c>
      <c r="D10" s="191"/>
    </row>
    <row r="11" spans="1:13" x14ac:dyDescent="0.3">
      <c r="A11" s="81" t="s">
        <v>8</v>
      </c>
      <c r="B11" s="81">
        <f>MIN(A4:L4)</f>
        <v>10</v>
      </c>
      <c r="C11" s="190" t="s">
        <v>21</v>
      </c>
      <c r="D11" s="191"/>
    </row>
    <row r="12" spans="1:13" x14ac:dyDescent="0.3">
      <c r="A12" s="82" t="s">
        <v>9</v>
      </c>
      <c r="B12" s="81">
        <f>B10-B11</f>
        <v>95</v>
      </c>
      <c r="C12" s="190" t="s">
        <v>22</v>
      </c>
      <c r="D12" s="191"/>
    </row>
    <row r="13" spans="1:13" x14ac:dyDescent="0.3">
      <c r="A13" s="83" t="s">
        <v>10</v>
      </c>
      <c r="B13" s="81">
        <f>QUARTILE(A4:L4,3)</f>
        <v>51.25</v>
      </c>
      <c r="C13" s="190" t="s">
        <v>23</v>
      </c>
      <c r="D13" s="191"/>
    </row>
    <row r="14" spans="1:13" x14ac:dyDescent="0.3">
      <c r="A14" s="83" t="s">
        <v>11</v>
      </c>
      <c r="B14" s="81">
        <f>QUARTILE(A4:L4,1)</f>
        <v>43</v>
      </c>
      <c r="C14" s="190" t="s">
        <v>24</v>
      </c>
      <c r="D14" s="191"/>
    </row>
    <row r="15" spans="1:13" x14ac:dyDescent="0.3">
      <c r="A15" s="82" t="s">
        <v>12</v>
      </c>
      <c r="B15" s="81">
        <f>B13-B14</f>
        <v>8.25</v>
      </c>
      <c r="C15" s="190" t="s">
        <v>25</v>
      </c>
      <c r="D15" s="191"/>
    </row>
    <row r="16" spans="1:13" x14ac:dyDescent="0.3">
      <c r="A16" s="84" t="s">
        <v>13</v>
      </c>
      <c r="B16" s="87">
        <f>B15/2</f>
        <v>4.125</v>
      </c>
      <c r="C16" s="190" t="s">
        <v>26</v>
      </c>
      <c r="D16" s="191"/>
    </row>
    <row r="17" spans="1:7" x14ac:dyDescent="0.3">
      <c r="A17" s="83" t="s">
        <v>117</v>
      </c>
      <c r="B17" s="88">
        <f>(B15)/(B13+B14)</f>
        <v>8.7533156498673742E-2</v>
      </c>
      <c r="C17" s="190" t="s">
        <v>27</v>
      </c>
      <c r="D17" s="191"/>
    </row>
    <row r="18" spans="1:7" x14ac:dyDescent="0.3">
      <c r="A18" s="83" t="s">
        <v>14</v>
      </c>
      <c r="B18" s="81">
        <f>AVEDEV(A4:L4)</f>
        <v>12.25</v>
      </c>
      <c r="C18" s="190" t="s">
        <v>28</v>
      </c>
      <c r="D18" s="191"/>
    </row>
    <row r="19" spans="1:7" x14ac:dyDescent="0.3">
      <c r="A19" s="82" t="s">
        <v>15</v>
      </c>
      <c r="B19" s="89">
        <f>STDEVP(A4:L4)</f>
        <v>20.479664710797067</v>
      </c>
      <c r="C19" s="190" t="s">
        <v>29</v>
      </c>
      <c r="D19" s="191"/>
    </row>
    <row r="20" spans="1:7" x14ac:dyDescent="0.3">
      <c r="A20" s="82" t="s">
        <v>118</v>
      </c>
      <c r="B20" s="88">
        <f>B19/B7</f>
        <v>0.42226112805767146</v>
      </c>
      <c r="C20" s="190" t="s">
        <v>30</v>
      </c>
      <c r="D20" s="191"/>
    </row>
    <row r="21" spans="1:7" x14ac:dyDescent="0.3">
      <c r="A21" s="82" t="s">
        <v>119</v>
      </c>
      <c r="B21" s="90">
        <f>B20*100%</f>
        <v>0.42226112805767146</v>
      </c>
      <c r="C21" s="190" t="s">
        <v>31</v>
      </c>
      <c r="D21" s="191"/>
    </row>
    <row r="22" spans="1:7" ht="15" thickBot="1" x14ac:dyDescent="0.35">
      <c r="A22" s="85" t="s">
        <v>16</v>
      </c>
      <c r="B22" s="91">
        <f>B19^2</f>
        <v>419.41666666666674</v>
      </c>
      <c r="C22" s="199" t="s">
        <v>32</v>
      </c>
      <c r="D22" s="200"/>
    </row>
    <row r="24" spans="1:7" ht="15" thickBot="1" x14ac:dyDescent="0.35">
      <c r="A24" s="20" t="s">
        <v>46</v>
      </c>
    </row>
    <row r="25" spans="1:7" ht="15" thickBot="1" x14ac:dyDescent="0.35">
      <c r="A25" s="96" t="s">
        <v>33</v>
      </c>
      <c r="B25" s="69">
        <v>20</v>
      </c>
      <c r="C25" s="23">
        <v>30</v>
      </c>
      <c r="D25" s="23">
        <v>40</v>
      </c>
      <c r="E25" s="23">
        <v>50</v>
      </c>
      <c r="F25" s="23">
        <v>60</v>
      </c>
      <c r="G25" s="23">
        <v>70</v>
      </c>
    </row>
    <row r="26" spans="1:7" ht="15" thickBot="1" x14ac:dyDescent="0.35">
      <c r="A26" s="92" t="s">
        <v>34</v>
      </c>
      <c r="B26" s="23">
        <v>8</v>
      </c>
      <c r="C26" s="23">
        <v>12</v>
      </c>
      <c r="D26" s="23">
        <v>20</v>
      </c>
      <c r="E26" s="23">
        <v>10</v>
      </c>
      <c r="F26" s="23">
        <v>6</v>
      </c>
      <c r="G26" s="23">
        <v>4</v>
      </c>
    </row>
    <row r="27" spans="1:7" ht="15" thickBot="1" x14ac:dyDescent="0.35"/>
    <row r="28" spans="1:7" ht="15" thickBot="1" x14ac:dyDescent="0.35">
      <c r="A28" s="14" t="s">
        <v>35</v>
      </c>
      <c r="B28" s="17" t="s">
        <v>36</v>
      </c>
      <c r="C28" s="17" t="s">
        <v>37</v>
      </c>
      <c r="D28" s="17" t="s">
        <v>38</v>
      </c>
      <c r="E28" s="18" t="s">
        <v>39</v>
      </c>
    </row>
    <row r="29" spans="1:7" x14ac:dyDescent="0.3">
      <c r="A29" s="15">
        <v>20</v>
      </c>
      <c r="B29" s="15">
        <v>8</v>
      </c>
      <c r="C29" s="15">
        <f>B29</f>
        <v>8</v>
      </c>
      <c r="D29" s="15">
        <f>B29*ABS(A29-$E$38)</f>
        <v>167.99999999999994</v>
      </c>
      <c r="E29" s="19">
        <f>B29*A29^2</f>
        <v>3200</v>
      </c>
    </row>
    <row r="30" spans="1:7" x14ac:dyDescent="0.3">
      <c r="A30" s="16">
        <v>30</v>
      </c>
      <c r="B30" s="16">
        <v>12</v>
      </c>
      <c r="C30" s="16">
        <f>C29+B30</f>
        <v>20</v>
      </c>
      <c r="D30" s="15">
        <f t="shared" ref="D30:D34" si="0">B30*ABS(A30-$E$38)</f>
        <v>131.99999999999991</v>
      </c>
      <c r="E30" s="19">
        <f t="shared" ref="E30:E34" si="1">B30*A30^2</f>
        <v>10800</v>
      </c>
    </row>
    <row r="31" spans="1:7" x14ac:dyDescent="0.3">
      <c r="A31" s="16">
        <v>40</v>
      </c>
      <c r="B31" s="16">
        <v>20</v>
      </c>
      <c r="C31" s="16">
        <f t="shared" ref="C31:C34" si="2">C30+B31</f>
        <v>40</v>
      </c>
      <c r="D31" s="15">
        <f t="shared" si="0"/>
        <v>19.999999999999858</v>
      </c>
      <c r="E31" s="19">
        <f t="shared" si="1"/>
        <v>32000</v>
      </c>
    </row>
    <row r="32" spans="1:7" x14ac:dyDescent="0.3">
      <c r="A32" s="16">
        <v>50</v>
      </c>
      <c r="B32" s="16">
        <v>10</v>
      </c>
      <c r="C32" s="16">
        <f t="shared" si="2"/>
        <v>50</v>
      </c>
      <c r="D32" s="15">
        <f t="shared" si="0"/>
        <v>90.000000000000071</v>
      </c>
      <c r="E32" s="19">
        <f t="shared" si="1"/>
        <v>25000</v>
      </c>
    </row>
    <row r="33" spans="1:9" x14ac:dyDescent="0.3">
      <c r="A33" s="16">
        <v>60</v>
      </c>
      <c r="B33" s="16">
        <v>6</v>
      </c>
      <c r="C33" s="16">
        <f t="shared" si="2"/>
        <v>56</v>
      </c>
      <c r="D33" s="15">
        <f t="shared" si="0"/>
        <v>114.00000000000004</v>
      </c>
      <c r="E33" s="19">
        <f t="shared" si="1"/>
        <v>21600</v>
      </c>
    </row>
    <row r="34" spans="1:9" ht="15" thickBot="1" x14ac:dyDescent="0.35">
      <c r="A34" s="21">
        <v>70</v>
      </c>
      <c r="B34" s="21">
        <v>4</v>
      </c>
      <c r="C34" s="21">
        <f t="shared" si="2"/>
        <v>60</v>
      </c>
      <c r="D34" s="15">
        <f t="shared" si="0"/>
        <v>116.00000000000003</v>
      </c>
      <c r="E34" s="19">
        <f t="shared" si="1"/>
        <v>19600</v>
      </c>
    </row>
    <row r="35" spans="1:9" ht="15" thickBot="1" x14ac:dyDescent="0.35">
      <c r="A35" s="22"/>
      <c r="B35" s="23">
        <f>C34</f>
        <v>60</v>
      </c>
      <c r="C35" s="22"/>
      <c r="D35" s="23">
        <f>SUM(D29:D34)</f>
        <v>639.99999999999989</v>
      </c>
      <c r="E35" s="24">
        <f>SUM(E29:E34)</f>
        <v>112200</v>
      </c>
    </row>
    <row r="36" spans="1:9" ht="15" thickBot="1" x14ac:dyDescent="0.35"/>
    <row r="37" spans="1:9" ht="15" thickBot="1" x14ac:dyDescent="0.35">
      <c r="A37" s="4" t="s">
        <v>1</v>
      </c>
      <c r="B37" s="17" t="s">
        <v>43</v>
      </c>
      <c r="C37" s="164" t="s">
        <v>3</v>
      </c>
      <c r="D37" s="143"/>
      <c r="E37" s="23" t="s">
        <v>2</v>
      </c>
      <c r="F37" s="164" t="s">
        <v>3</v>
      </c>
      <c r="G37" s="142"/>
      <c r="H37" s="142"/>
      <c r="I37" s="143"/>
    </row>
    <row r="38" spans="1:9" x14ac:dyDescent="0.3">
      <c r="A38" s="5" t="s">
        <v>4</v>
      </c>
      <c r="B38" s="12"/>
      <c r="C38" s="158"/>
      <c r="D38" s="157"/>
      <c r="E38" s="25">
        <f>SUMPRODUCT(A29:A34,B29:B34/B35)</f>
        <v>40.999999999999993</v>
      </c>
      <c r="F38" s="159" t="s">
        <v>44</v>
      </c>
      <c r="G38" s="160"/>
      <c r="H38" s="160"/>
      <c r="I38" s="161"/>
    </row>
    <row r="39" spans="1:9" x14ac:dyDescent="0.3">
      <c r="A39" s="6" t="s">
        <v>5</v>
      </c>
      <c r="B39" s="25">
        <f>(B35+1)/2</f>
        <v>30.5</v>
      </c>
      <c r="C39" s="158" t="s">
        <v>45</v>
      </c>
      <c r="D39" s="157"/>
      <c r="E39" s="25">
        <f>A31</f>
        <v>40</v>
      </c>
      <c r="F39" s="159" t="s">
        <v>47</v>
      </c>
      <c r="G39" s="160"/>
      <c r="H39" s="160"/>
      <c r="I39" s="161"/>
    </row>
    <row r="40" spans="1:9" x14ac:dyDescent="0.3">
      <c r="A40" s="6" t="s">
        <v>41</v>
      </c>
      <c r="B40" s="25">
        <f>MAX(B29:B34)</f>
        <v>20</v>
      </c>
      <c r="C40" s="158" t="s">
        <v>48</v>
      </c>
      <c r="D40" s="157"/>
      <c r="E40" s="25">
        <f>A31</f>
        <v>40</v>
      </c>
      <c r="F40" s="159" t="s">
        <v>47</v>
      </c>
      <c r="G40" s="160"/>
      <c r="H40" s="160"/>
      <c r="I40" s="161"/>
    </row>
    <row r="41" spans="1:9" x14ac:dyDescent="0.3">
      <c r="A41" s="6" t="s">
        <v>6</v>
      </c>
      <c r="B41" s="25"/>
      <c r="C41" s="158"/>
      <c r="D41" s="157"/>
      <c r="E41" s="25">
        <f>MAX(A29:A34)</f>
        <v>70</v>
      </c>
      <c r="F41" s="159" t="s">
        <v>49</v>
      </c>
      <c r="G41" s="160"/>
      <c r="H41" s="160"/>
      <c r="I41" s="161"/>
    </row>
    <row r="42" spans="1:9" x14ac:dyDescent="0.3">
      <c r="A42" s="6" t="s">
        <v>7</v>
      </c>
      <c r="B42" s="25"/>
      <c r="C42" s="158"/>
      <c r="D42" s="157"/>
      <c r="E42" s="25">
        <f>MIN(A29:A34)</f>
        <v>20</v>
      </c>
      <c r="F42" s="159" t="s">
        <v>50</v>
      </c>
      <c r="G42" s="160"/>
      <c r="H42" s="160"/>
      <c r="I42" s="161"/>
    </row>
    <row r="43" spans="1:9" x14ac:dyDescent="0.3">
      <c r="A43" s="6" t="s">
        <v>8</v>
      </c>
      <c r="B43" s="25"/>
      <c r="C43" s="158"/>
      <c r="D43" s="157"/>
      <c r="E43" s="25">
        <f>E41-E42</f>
        <v>50</v>
      </c>
      <c r="F43" s="159" t="s">
        <v>51</v>
      </c>
      <c r="G43" s="160"/>
      <c r="H43" s="160"/>
      <c r="I43" s="161"/>
    </row>
    <row r="44" spans="1:9" x14ac:dyDescent="0.3">
      <c r="A44" s="7" t="s">
        <v>116</v>
      </c>
      <c r="B44" s="25"/>
      <c r="C44" s="158"/>
      <c r="D44" s="157"/>
      <c r="E44" s="26">
        <f>E43/(E41+E42)</f>
        <v>0.55555555555555558</v>
      </c>
      <c r="F44" s="159" t="s">
        <v>52</v>
      </c>
      <c r="G44" s="160"/>
      <c r="H44" s="160"/>
      <c r="I44" s="161"/>
    </row>
    <row r="45" spans="1:9" x14ac:dyDescent="0.3">
      <c r="A45" s="8" t="s">
        <v>10</v>
      </c>
      <c r="B45" s="25">
        <f>3*(B35+1)/4</f>
        <v>45.75</v>
      </c>
      <c r="C45" s="158" t="s">
        <v>54</v>
      </c>
      <c r="D45" s="157"/>
      <c r="E45" s="25">
        <f>A32</f>
        <v>50</v>
      </c>
      <c r="F45" s="159" t="s">
        <v>55</v>
      </c>
      <c r="G45" s="160"/>
      <c r="H45" s="160"/>
      <c r="I45" s="161"/>
    </row>
    <row r="46" spans="1:9" x14ac:dyDescent="0.3">
      <c r="A46" s="8" t="s">
        <v>11</v>
      </c>
      <c r="B46" s="25">
        <f>(B35+1)/4</f>
        <v>15.25</v>
      </c>
      <c r="C46" s="158" t="s">
        <v>53</v>
      </c>
      <c r="D46" s="157"/>
      <c r="E46" s="25">
        <f>A30</f>
        <v>30</v>
      </c>
      <c r="F46" s="159" t="s">
        <v>56</v>
      </c>
      <c r="G46" s="160"/>
      <c r="H46" s="160"/>
      <c r="I46" s="161"/>
    </row>
    <row r="47" spans="1:9" x14ac:dyDescent="0.3">
      <c r="A47" s="7" t="s">
        <v>12</v>
      </c>
      <c r="B47" s="25"/>
      <c r="C47" s="158"/>
      <c r="D47" s="157"/>
      <c r="E47" s="25">
        <f>E45-E46</f>
        <v>20</v>
      </c>
      <c r="F47" s="159" t="s">
        <v>57</v>
      </c>
      <c r="G47" s="160"/>
      <c r="H47" s="160"/>
      <c r="I47" s="161"/>
    </row>
    <row r="48" spans="1:9" x14ac:dyDescent="0.3">
      <c r="A48" s="9" t="s">
        <v>13</v>
      </c>
      <c r="B48" s="25"/>
      <c r="C48" s="158"/>
      <c r="D48" s="157"/>
      <c r="E48" s="25">
        <f>E47/2</f>
        <v>10</v>
      </c>
      <c r="F48" s="159" t="s">
        <v>58</v>
      </c>
      <c r="G48" s="160"/>
      <c r="H48" s="160"/>
      <c r="I48" s="161"/>
    </row>
    <row r="49" spans="1:9" x14ac:dyDescent="0.3">
      <c r="A49" s="8" t="s">
        <v>117</v>
      </c>
      <c r="B49" s="25"/>
      <c r="C49" s="158"/>
      <c r="D49" s="157"/>
      <c r="E49" s="25">
        <f>(E45-E46)/(E45+E46)</f>
        <v>0.25</v>
      </c>
      <c r="F49" s="159" t="s">
        <v>59</v>
      </c>
      <c r="G49" s="160"/>
      <c r="H49" s="160"/>
      <c r="I49" s="161"/>
    </row>
    <row r="50" spans="1:9" x14ac:dyDescent="0.3">
      <c r="A50" s="8" t="s">
        <v>14</v>
      </c>
      <c r="B50" s="25"/>
      <c r="C50" s="158"/>
      <c r="D50" s="157"/>
      <c r="E50" s="26">
        <f>D35/B35</f>
        <v>10.666666666666664</v>
      </c>
      <c r="F50" s="159" t="s">
        <v>60</v>
      </c>
      <c r="G50" s="160"/>
      <c r="H50" s="160"/>
      <c r="I50" s="161"/>
    </row>
    <row r="51" spans="1:9" x14ac:dyDescent="0.3">
      <c r="A51" s="7" t="s">
        <v>15</v>
      </c>
      <c r="B51" s="25"/>
      <c r="C51" s="158"/>
      <c r="D51" s="157"/>
      <c r="E51" s="26">
        <f>SQRT(E35/B35-E38^2)</f>
        <v>13.747727084867545</v>
      </c>
      <c r="F51" s="159" t="s">
        <v>61</v>
      </c>
      <c r="G51" s="160"/>
      <c r="H51" s="160"/>
      <c r="I51" s="161"/>
    </row>
    <row r="52" spans="1:9" x14ac:dyDescent="0.3">
      <c r="A52" s="7" t="s">
        <v>120</v>
      </c>
      <c r="B52" s="25"/>
      <c r="C52" s="158"/>
      <c r="D52" s="157"/>
      <c r="E52" s="26">
        <f>E51/E38</f>
        <v>0.33531041670408651</v>
      </c>
      <c r="F52" s="159" t="s">
        <v>62</v>
      </c>
      <c r="G52" s="160"/>
      <c r="H52" s="160"/>
      <c r="I52" s="161"/>
    </row>
    <row r="53" spans="1:9" x14ac:dyDescent="0.3">
      <c r="A53" s="7" t="s">
        <v>119</v>
      </c>
      <c r="B53" s="25"/>
      <c r="C53" s="158"/>
      <c r="D53" s="157"/>
      <c r="E53" s="30">
        <f>E52*100%</f>
        <v>0.33531041670408651</v>
      </c>
      <c r="F53" s="159" t="s">
        <v>99</v>
      </c>
      <c r="G53" s="160"/>
      <c r="H53" s="160"/>
      <c r="I53" s="161"/>
    </row>
    <row r="54" spans="1:9" ht="15" thickBot="1" x14ac:dyDescent="0.35">
      <c r="A54" s="10" t="s">
        <v>16</v>
      </c>
      <c r="B54" s="13"/>
      <c r="C54" s="29"/>
      <c r="D54" s="28"/>
      <c r="E54" s="42">
        <f>E51^2</f>
        <v>189.00000000000068</v>
      </c>
      <c r="F54" s="60" t="s">
        <v>63</v>
      </c>
      <c r="G54" s="61"/>
      <c r="H54" s="61"/>
      <c r="I54" s="62"/>
    </row>
    <row r="62" spans="1:9" ht="15" thickBot="1" x14ac:dyDescent="0.35">
      <c r="A62" s="1" t="s">
        <v>64</v>
      </c>
    </row>
    <row r="63" spans="1:9" ht="15" thickBot="1" x14ac:dyDescent="0.35">
      <c r="A63" s="23" t="s">
        <v>65</v>
      </c>
      <c r="B63" s="23" t="s">
        <v>67</v>
      </c>
      <c r="C63" s="97" t="s">
        <v>68</v>
      </c>
      <c r="D63" s="23" t="s">
        <v>76</v>
      </c>
      <c r="E63" s="97" t="s">
        <v>77</v>
      </c>
      <c r="F63" s="23" t="s">
        <v>78</v>
      </c>
      <c r="G63" s="97" t="s">
        <v>79</v>
      </c>
    </row>
    <row r="64" spans="1:9" ht="15" thickBot="1" x14ac:dyDescent="0.35">
      <c r="A64" s="23" t="s">
        <v>66</v>
      </c>
      <c r="B64" s="98">
        <v>5</v>
      </c>
      <c r="C64" s="98">
        <v>10</v>
      </c>
      <c r="D64" s="98">
        <v>25</v>
      </c>
      <c r="E64" s="98">
        <v>30</v>
      </c>
      <c r="F64" s="98">
        <v>20</v>
      </c>
      <c r="G64" s="98">
        <v>10</v>
      </c>
    </row>
    <row r="65" spans="1:12" ht="15" thickBot="1" x14ac:dyDescent="0.35"/>
    <row r="66" spans="1:12" ht="15" thickBot="1" x14ac:dyDescent="0.35">
      <c r="A66" s="17" t="s">
        <v>65</v>
      </c>
      <c r="B66" s="4" t="s">
        <v>34</v>
      </c>
      <c r="C66" s="17" t="s">
        <v>69</v>
      </c>
      <c r="D66" s="17" t="s">
        <v>70</v>
      </c>
      <c r="E66" s="18" t="s">
        <v>71</v>
      </c>
      <c r="F66" s="4" t="s">
        <v>37</v>
      </c>
      <c r="G66" s="17" t="s">
        <v>72</v>
      </c>
      <c r="H66" s="164" t="s">
        <v>73</v>
      </c>
      <c r="I66" s="143"/>
      <c r="J66" s="142" t="s">
        <v>74</v>
      </c>
      <c r="K66" s="143"/>
    </row>
    <row r="67" spans="1:12" x14ac:dyDescent="0.3">
      <c r="A67" s="35" t="s">
        <v>67</v>
      </c>
      <c r="B67" s="37">
        <v>5</v>
      </c>
      <c r="C67" s="12">
        <v>0</v>
      </c>
      <c r="D67" s="12">
        <v>10</v>
      </c>
      <c r="E67" s="38">
        <f>(D67+C67)/2</f>
        <v>5</v>
      </c>
      <c r="F67" s="37">
        <f>B67</f>
        <v>5</v>
      </c>
      <c r="G67" s="12">
        <v>10</v>
      </c>
      <c r="H67" s="185">
        <f>B67*ABS(E67-$E$76)</f>
        <v>140</v>
      </c>
      <c r="I67" s="186"/>
      <c r="J67" s="138">
        <f t="shared" ref="J67:J72" si="3">B67*E67^2</f>
        <v>125</v>
      </c>
      <c r="K67" s="139"/>
    </row>
    <row r="68" spans="1:12" x14ac:dyDescent="0.3">
      <c r="A68" s="35" t="s">
        <v>68</v>
      </c>
      <c r="B68" s="37">
        <v>10</v>
      </c>
      <c r="C68" s="12">
        <v>10</v>
      </c>
      <c r="D68" s="12">
        <v>20</v>
      </c>
      <c r="E68" s="38">
        <f t="shared" ref="E68:E72" si="4">(D68+C68)/2</f>
        <v>15</v>
      </c>
      <c r="F68" s="37">
        <f>F67+B68</f>
        <v>15</v>
      </c>
      <c r="G68" s="12">
        <v>10</v>
      </c>
      <c r="H68" s="183">
        <f t="shared" ref="H68:H72" si="5">B68*ABS(E68-$E$76)</f>
        <v>180</v>
      </c>
      <c r="I68" s="184"/>
      <c r="J68" s="138">
        <f t="shared" si="3"/>
        <v>2250</v>
      </c>
      <c r="K68" s="139"/>
    </row>
    <row r="69" spans="1:12" x14ac:dyDescent="0.3">
      <c r="A69" s="35" t="s">
        <v>76</v>
      </c>
      <c r="B69" s="37">
        <v>25</v>
      </c>
      <c r="C69" s="12">
        <v>20</v>
      </c>
      <c r="D69" s="12">
        <v>30</v>
      </c>
      <c r="E69" s="38">
        <f t="shared" si="4"/>
        <v>25</v>
      </c>
      <c r="F69" s="37">
        <f t="shared" ref="F69:F72" si="6">F68+B69</f>
        <v>40</v>
      </c>
      <c r="G69" s="12">
        <v>10</v>
      </c>
      <c r="H69" s="183">
        <f t="shared" si="5"/>
        <v>200</v>
      </c>
      <c r="I69" s="184"/>
      <c r="J69" s="138">
        <f t="shared" si="3"/>
        <v>15625</v>
      </c>
      <c r="K69" s="139"/>
    </row>
    <row r="70" spans="1:12" x14ac:dyDescent="0.3">
      <c r="A70" s="35" t="s">
        <v>77</v>
      </c>
      <c r="B70" s="37">
        <v>30</v>
      </c>
      <c r="C70" s="12">
        <v>30</v>
      </c>
      <c r="D70" s="12">
        <v>40</v>
      </c>
      <c r="E70" s="38">
        <f t="shared" si="4"/>
        <v>35</v>
      </c>
      <c r="F70" s="37">
        <f t="shared" si="6"/>
        <v>70</v>
      </c>
      <c r="G70" s="12">
        <v>10</v>
      </c>
      <c r="H70" s="183">
        <f t="shared" si="5"/>
        <v>60</v>
      </c>
      <c r="I70" s="184"/>
      <c r="J70" s="138">
        <f t="shared" si="3"/>
        <v>36750</v>
      </c>
      <c r="K70" s="139"/>
    </row>
    <row r="71" spans="1:12" x14ac:dyDescent="0.3">
      <c r="A71" s="35" t="s">
        <v>78</v>
      </c>
      <c r="B71" s="37">
        <v>20</v>
      </c>
      <c r="C71" s="12">
        <v>40</v>
      </c>
      <c r="D71" s="12">
        <v>50</v>
      </c>
      <c r="E71" s="38">
        <f t="shared" si="4"/>
        <v>45</v>
      </c>
      <c r="F71" s="37">
        <f t="shared" si="6"/>
        <v>90</v>
      </c>
      <c r="G71" s="12">
        <v>10</v>
      </c>
      <c r="H71" s="183">
        <f t="shared" si="5"/>
        <v>240</v>
      </c>
      <c r="I71" s="184"/>
      <c r="J71" s="138">
        <f t="shared" si="3"/>
        <v>40500</v>
      </c>
      <c r="K71" s="139"/>
    </row>
    <row r="72" spans="1:12" ht="15" thickBot="1" x14ac:dyDescent="0.35">
      <c r="A72" s="36" t="s">
        <v>79</v>
      </c>
      <c r="B72" s="29">
        <v>10</v>
      </c>
      <c r="C72" s="13">
        <v>50</v>
      </c>
      <c r="D72" s="13">
        <v>60</v>
      </c>
      <c r="E72" s="28">
        <f t="shared" si="4"/>
        <v>55</v>
      </c>
      <c r="F72" s="29">
        <f t="shared" si="6"/>
        <v>100</v>
      </c>
      <c r="G72" s="13">
        <v>10</v>
      </c>
      <c r="H72" s="187">
        <f t="shared" si="5"/>
        <v>220</v>
      </c>
      <c r="I72" s="188"/>
      <c r="J72" s="138">
        <f t="shared" si="3"/>
        <v>30250</v>
      </c>
      <c r="K72" s="139"/>
    </row>
    <row r="73" spans="1:12" ht="15" thickBot="1" x14ac:dyDescent="0.35">
      <c r="A73" s="33"/>
      <c r="B73" s="23">
        <f>F72</f>
        <v>100</v>
      </c>
      <c r="C73" s="23"/>
      <c r="D73" s="23"/>
      <c r="E73" s="23"/>
      <c r="F73" s="23"/>
      <c r="G73" s="23"/>
      <c r="H73" s="181">
        <f>SUM(H67:I72)</f>
        <v>1040</v>
      </c>
      <c r="I73" s="182"/>
      <c r="J73" s="178">
        <f>SUM(J67:K72)</f>
        <v>125500</v>
      </c>
      <c r="K73" s="179"/>
      <c r="L73" s="58"/>
    </row>
    <row r="74" spans="1:12" ht="15" thickBot="1" x14ac:dyDescent="0.35"/>
    <row r="75" spans="1:12" ht="15" thickBot="1" x14ac:dyDescent="0.35">
      <c r="A75" s="4" t="s">
        <v>1</v>
      </c>
      <c r="B75" s="17" t="s">
        <v>43</v>
      </c>
      <c r="C75" s="164" t="s">
        <v>3</v>
      </c>
      <c r="D75" s="143"/>
      <c r="E75" s="23" t="s">
        <v>2</v>
      </c>
      <c r="F75" s="164" t="s">
        <v>3</v>
      </c>
      <c r="G75" s="142"/>
      <c r="H75" s="142"/>
      <c r="I75" s="143"/>
    </row>
    <row r="76" spans="1:12" x14ac:dyDescent="0.3">
      <c r="A76" s="5" t="s">
        <v>4</v>
      </c>
      <c r="B76" s="12"/>
      <c r="C76" s="158"/>
      <c r="D76" s="157"/>
      <c r="E76" s="25">
        <f>SUMPRODUCT(B67:B72,E67:E72)/B73</f>
        <v>33</v>
      </c>
      <c r="F76" s="159" t="s">
        <v>75</v>
      </c>
      <c r="G76" s="160"/>
      <c r="H76" s="160"/>
      <c r="I76" s="161"/>
    </row>
    <row r="77" spans="1:12" x14ac:dyDescent="0.3">
      <c r="A77" s="6" t="s">
        <v>5</v>
      </c>
      <c r="B77" s="25">
        <f>B73/2</f>
        <v>50</v>
      </c>
      <c r="C77" s="158" t="s">
        <v>80</v>
      </c>
      <c r="D77" s="157"/>
      <c r="E77" s="39">
        <f>C70+(B77-F69)/B70*G70</f>
        <v>33.333333333333336</v>
      </c>
      <c r="F77" s="159" t="s">
        <v>81</v>
      </c>
      <c r="G77" s="160"/>
      <c r="H77" s="160"/>
      <c r="I77" s="161"/>
    </row>
    <row r="78" spans="1:12" x14ac:dyDescent="0.3">
      <c r="A78" s="6" t="s">
        <v>41</v>
      </c>
      <c r="B78" s="25">
        <f>MAX(B67:B72)</f>
        <v>30</v>
      </c>
      <c r="C78" s="158" t="s">
        <v>82</v>
      </c>
      <c r="D78" s="157"/>
      <c r="E78" s="39">
        <f>C70+(B70-B69)/(2*B70-B69-B71)*G70</f>
        <v>33.333333333333336</v>
      </c>
      <c r="F78" s="159" t="s">
        <v>83</v>
      </c>
      <c r="G78" s="160"/>
      <c r="H78" s="160"/>
      <c r="I78" s="161"/>
    </row>
    <row r="79" spans="1:12" x14ac:dyDescent="0.3">
      <c r="A79" s="6" t="s">
        <v>84</v>
      </c>
      <c r="B79" s="25"/>
      <c r="C79" s="158"/>
      <c r="D79" s="157"/>
      <c r="E79" s="25">
        <f>MAX(D67:D72)</f>
        <v>60</v>
      </c>
      <c r="F79" s="159" t="s">
        <v>85</v>
      </c>
      <c r="G79" s="160"/>
      <c r="H79" s="160"/>
      <c r="I79" s="161"/>
    </row>
    <row r="80" spans="1:12" x14ac:dyDescent="0.3">
      <c r="A80" s="6" t="s">
        <v>42</v>
      </c>
      <c r="B80" s="25"/>
      <c r="C80" s="158"/>
      <c r="D80" s="157"/>
      <c r="E80" s="25">
        <f>MIN(C67:C72)</f>
        <v>0</v>
      </c>
      <c r="F80" s="159" t="s">
        <v>86</v>
      </c>
      <c r="G80" s="160"/>
      <c r="H80" s="160"/>
      <c r="I80" s="161"/>
    </row>
    <row r="81" spans="1:12" x14ac:dyDescent="0.3">
      <c r="A81" s="6" t="s">
        <v>8</v>
      </c>
      <c r="B81" s="25"/>
      <c r="C81" s="158"/>
      <c r="D81" s="157"/>
      <c r="E81" s="25">
        <f>E79-E80</f>
        <v>60</v>
      </c>
      <c r="F81" s="159" t="s">
        <v>87</v>
      </c>
      <c r="G81" s="160"/>
      <c r="H81" s="160"/>
      <c r="I81" s="161"/>
    </row>
    <row r="82" spans="1:12" x14ac:dyDescent="0.3">
      <c r="A82" s="7" t="s">
        <v>116</v>
      </c>
      <c r="B82" s="25"/>
      <c r="C82" s="158"/>
      <c r="D82" s="157"/>
      <c r="E82" s="41">
        <f>(E81)/(E79+E80)</f>
        <v>1</v>
      </c>
      <c r="F82" s="159" t="s">
        <v>88</v>
      </c>
      <c r="G82" s="160"/>
      <c r="H82" s="160"/>
      <c r="I82" s="161"/>
    </row>
    <row r="83" spans="1:12" x14ac:dyDescent="0.3">
      <c r="A83" s="8" t="s">
        <v>10</v>
      </c>
      <c r="B83" s="25">
        <f>3*B73/4</f>
        <v>75</v>
      </c>
      <c r="C83" s="158" t="s">
        <v>89</v>
      </c>
      <c r="D83" s="157"/>
      <c r="E83" s="25">
        <f>C71+(B83-F70)/B71*G71</f>
        <v>42.5</v>
      </c>
      <c r="F83" s="159" t="s">
        <v>92</v>
      </c>
      <c r="G83" s="160"/>
      <c r="H83" s="160"/>
      <c r="I83" s="161"/>
    </row>
    <row r="84" spans="1:12" x14ac:dyDescent="0.3">
      <c r="A84" s="8" t="s">
        <v>11</v>
      </c>
      <c r="B84" s="25">
        <f>B73/4</f>
        <v>25</v>
      </c>
      <c r="C84" s="158" t="s">
        <v>90</v>
      </c>
      <c r="D84" s="157"/>
      <c r="E84" s="25">
        <f>C69+(B84-F68)/B69*G69</f>
        <v>24</v>
      </c>
      <c r="F84" s="159" t="s">
        <v>91</v>
      </c>
      <c r="G84" s="160"/>
      <c r="H84" s="160"/>
      <c r="I84" s="161"/>
    </row>
    <row r="85" spans="1:12" x14ac:dyDescent="0.3">
      <c r="A85" s="7" t="s">
        <v>12</v>
      </c>
      <c r="B85" s="25"/>
      <c r="C85" s="158"/>
      <c r="D85" s="157"/>
      <c r="E85" s="25">
        <f>E83-E84</f>
        <v>18.5</v>
      </c>
      <c r="F85" s="159" t="s">
        <v>93</v>
      </c>
      <c r="G85" s="160"/>
      <c r="H85" s="160"/>
      <c r="I85" s="161"/>
    </row>
    <row r="86" spans="1:12" x14ac:dyDescent="0.3">
      <c r="A86" s="9" t="s">
        <v>13</v>
      </c>
      <c r="B86" s="25"/>
      <c r="C86" s="158"/>
      <c r="D86" s="157"/>
      <c r="E86" s="25">
        <f>E85/2</f>
        <v>9.25</v>
      </c>
      <c r="F86" s="159" t="s">
        <v>95</v>
      </c>
      <c r="G86" s="160"/>
      <c r="H86" s="160"/>
      <c r="I86" s="161"/>
    </row>
    <row r="87" spans="1:12" x14ac:dyDescent="0.3">
      <c r="A87" s="8" t="s">
        <v>117</v>
      </c>
      <c r="B87" s="25"/>
      <c r="C87" s="158"/>
      <c r="D87" s="157"/>
      <c r="E87" s="26">
        <f>(E85)/(E83+E84)</f>
        <v>0.2781954887218045</v>
      </c>
      <c r="F87" s="159" t="s">
        <v>94</v>
      </c>
      <c r="G87" s="160"/>
      <c r="H87" s="160"/>
      <c r="I87" s="161"/>
    </row>
    <row r="88" spans="1:12" x14ac:dyDescent="0.3">
      <c r="A88" s="8" t="s">
        <v>14</v>
      </c>
      <c r="B88" s="25"/>
      <c r="C88" s="158"/>
      <c r="D88" s="157"/>
      <c r="E88" s="40">
        <f>H73/B73</f>
        <v>10.4</v>
      </c>
      <c r="F88" s="159" t="s">
        <v>96</v>
      </c>
      <c r="G88" s="160"/>
      <c r="H88" s="160"/>
      <c r="I88" s="161"/>
    </row>
    <row r="89" spans="1:12" x14ac:dyDescent="0.3">
      <c r="A89" s="7" t="s">
        <v>15</v>
      </c>
      <c r="B89" s="25"/>
      <c r="C89" s="158"/>
      <c r="D89" s="157"/>
      <c r="E89" s="26">
        <f>SQRT(J73/B73-E76^2)</f>
        <v>12.884098726725126</v>
      </c>
      <c r="F89" s="159" t="s">
        <v>97</v>
      </c>
      <c r="G89" s="160"/>
      <c r="H89" s="160"/>
      <c r="I89" s="161"/>
    </row>
    <row r="90" spans="1:12" x14ac:dyDescent="0.3">
      <c r="A90" s="7" t="s">
        <v>118</v>
      </c>
      <c r="B90" s="25"/>
      <c r="C90" s="158"/>
      <c r="D90" s="157"/>
      <c r="E90" s="39">
        <f>E89/E76</f>
        <v>0.39042723414318564</v>
      </c>
      <c r="F90" s="159" t="s">
        <v>98</v>
      </c>
      <c r="G90" s="160"/>
      <c r="H90" s="160"/>
      <c r="I90" s="161"/>
    </row>
    <row r="91" spans="1:12" x14ac:dyDescent="0.3">
      <c r="A91" s="7" t="s">
        <v>119</v>
      </c>
      <c r="B91" s="25"/>
      <c r="C91" s="158"/>
      <c r="D91" s="157"/>
      <c r="E91" s="30">
        <f>E90*100%</f>
        <v>0.39042723414318564</v>
      </c>
      <c r="F91" s="159" t="s">
        <v>100</v>
      </c>
      <c r="G91" s="160"/>
      <c r="H91" s="160"/>
      <c r="I91" s="161"/>
    </row>
    <row r="92" spans="1:12" ht="15" thickBot="1" x14ac:dyDescent="0.35">
      <c r="A92" s="10" t="s">
        <v>16</v>
      </c>
      <c r="B92" s="13"/>
      <c r="C92" s="29"/>
      <c r="D92" s="28"/>
      <c r="E92" s="42">
        <f>E89^2</f>
        <v>166.00000000000003</v>
      </c>
      <c r="F92" s="29" t="s">
        <v>101</v>
      </c>
      <c r="G92" s="3"/>
      <c r="H92" s="3"/>
      <c r="I92" s="28"/>
    </row>
    <row r="95" spans="1:12" ht="15" thickBot="1" x14ac:dyDescent="0.35">
      <c r="A95" s="180" t="s">
        <v>102</v>
      </c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</row>
    <row r="96" spans="1:12" ht="15" thickBot="1" x14ac:dyDescent="0.35">
      <c r="A96" s="23" t="s">
        <v>103</v>
      </c>
      <c r="B96" s="23">
        <v>23</v>
      </c>
      <c r="C96" s="23">
        <v>30</v>
      </c>
      <c r="D96" s="23">
        <v>18</v>
      </c>
      <c r="E96" s="23">
        <v>25</v>
      </c>
      <c r="F96" s="23">
        <v>32</v>
      </c>
      <c r="G96" s="23">
        <v>40</v>
      </c>
    </row>
    <row r="97" spans="1:12" ht="15" thickBot="1" x14ac:dyDescent="0.35">
      <c r="A97" s="23" t="s">
        <v>104</v>
      </c>
      <c r="B97" s="23">
        <v>20</v>
      </c>
      <c r="C97" s="23">
        <v>35</v>
      </c>
      <c r="D97" s="23">
        <v>44</v>
      </c>
      <c r="E97" s="23">
        <v>27</v>
      </c>
      <c r="F97" s="23">
        <v>41</v>
      </c>
      <c r="G97" s="23">
        <v>38</v>
      </c>
    </row>
    <row r="98" spans="1:12" ht="15" thickBot="1" x14ac:dyDescent="0.35"/>
    <row r="99" spans="1:12" ht="15" thickBot="1" x14ac:dyDescent="0.35">
      <c r="A99" s="17" t="s">
        <v>1</v>
      </c>
      <c r="B99" s="17" t="s">
        <v>103</v>
      </c>
      <c r="C99" s="164" t="s">
        <v>3</v>
      </c>
      <c r="D99" s="143"/>
      <c r="E99" s="17" t="s">
        <v>104</v>
      </c>
      <c r="F99" s="165" t="s">
        <v>3</v>
      </c>
      <c r="G99" s="166"/>
      <c r="H99" s="167"/>
    </row>
    <row r="100" spans="1:12" ht="15" thickBot="1" x14ac:dyDescent="0.35">
      <c r="A100" s="23" t="s">
        <v>105</v>
      </c>
      <c r="B100" s="23">
        <f>AVERAGE(B96:G96)</f>
        <v>28</v>
      </c>
      <c r="C100" s="174" t="s">
        <v>108</v>
      </c>
      <c r="D100" s="175"/>
      <c r="E100" s="47">
        <f>AVERAGE(B97:G97)</f>
        <v>34.166666666666664</v>
      </c>
      <c r="F100" s="168" t="s">
        <v>111</v>
      </c>
      <c r="G100" s="169"/>
      <c r="H100" s="170"/>
    </row>
    <row r="101" spans="1:12" ht="15" thickBot="1" x14ac:dyDescent="0.35">
      <c r="A101" s="23" t="s">
        <v>107</v>
      </c>
      <c r="B101" s="45">
        <f>_xlfn.STDEV.P(B96:G96)</f>
        <v>7.047458170621991</v>
      </c>
      <c r="C101" s="176" t="s">
        <v>109</v>
      </c>
      <c r="D101" s="177"/>
      <c r="E101" s="47">
        <f>_xlfn.STDEV.P(B97:G97)</f>
        <v>8.2747943915376059</v>
      </c>
      <c r="F101" s="171" t="s">
        <v>112</v>
      </c>
      <c r="G101" s="172"/>
      <c r="H101" s="173"/>
    </row>
    <row r="102" spans="1:12" ht="15" thickBot="1" x14ac:dyDescent="0.35">
      <c r="A102" s="27" t="s">
        <v>106</v>
      </c>
      <c r="B102" s="46">
        <f>B101/B100</f>
        <v>0.25169493466507109</v>
      </c>
      <c r="C102" s="174" t="s">
        <v>110</v>
      </c>
      <c r="D102" s="175"/>
      <c r="E102" s="48">
        <f>E101/E100</f>
        <v>0.24218910414256409</v>
      </c>
      <c r="F102" s="171" t="s">
        <v>113</v>
      </c>
      <c r="G102" s="172"/>
      <c r="H102" s="173"/>
    </row>
    <row r="104" spans="1:12" x14ac:dyDescent="0.3">
      <c r="A104" s="162" t="s">
        <v>114</v>
      </c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</row>
    <row r="105" spans="1:12" x14ac:dyDescent="0.3">
      <c r="A105" s="163" t="s">
        <v>115</v>
      </c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</row>
    <row r="121" spans="1:12" x14ac:dyDescent="0.3">
      <c r="A121" s="150" t="s">
        <v>121</v>
      </c>
      <c r="B121" s="150"/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</row>
    <row r="122" spans="1:12" ht="15" thickBot="1" x14ac:dyDescent="0.35">
      <c r="A122" s="150" t="s">
        <v>122</v>
      </c>
      <c r="B122" s="150"/>
      <c r="C122" s="150"/>
      <c r="D122" s="150"/>
      <c r="E122" s="150"/>
      <c r="F122" s="150"/>
      <c r="G122" s="150"/>
      <c r="H122" s="150"/>
      <c r="I122" s="150"/>
      <c r="J122" s="150"/>
      <c r="K122" s="150"/>
      <c r="L122" s="150"/>
    </row>
    <row r="123" spans="1:12" ht="15" thickBot="1" x14ac:dyDescent="0.35">
      <c r="A123" s="23" t="s">
        <v>65</v>
      </c>
      <c r="B123" s="23" t="s">
        <v>68</v>
      </c>
      <c r="C123" s="23" t="s">
        <v>124</v>
      </c>
      <c r="D123" s="23" t="s">
        <v>77</v>
      </c>
      <c r="E123" s="23" t="s">
        <v>125</v>
      </c>
      <c r="F123" s="23" t="s">
        <v>126</v>
      </c>
    </row>
    <row r="124" spans="1:12" ht="15" thickBot="1" x14ac:dyDescent="0.35">
      <c r="A124" s="23" t="s">
        <v>34</v>
      </c>
      <c r="B124" s="43">
        <v>5</v>
      </c>
      <c r="C124" s="23">
        <v>18</v>
      </c>
      <c r="D124" s="23">
        <v>35</v>
      </c>
      <c r="E124" s="23">
        <v>20</v>
      </c>
      <c r="F124" s="23">
        <v>12</v>
      </c>
    </row>
    <row r="125" spans="1:12" ht="15" thickBot="1" x14ac:dyDescent="0.35"/>
    <row r="126" spans="1:12" ht="15" thickBot="1" x14ac:dyDescent="0.35">
      <c r="A126" s="93" t="s">
        <v>65</v>
      </c>
      <c r="B126" s="95" t="s">
        <v>36</v>
      </c>
      <c r="C126" s="95" t="s">
        <v>69</v>
      </c>
      <c r="D126" s="95" t="s">
        <v>70</v>
      </c>
      <c r="E126" s="95" t="s">
        <v>127</v>
      </c>
      <c r="F126" s="95" t="s">
        <v>37</v>
      </c>
      <c r="G126" s="95" t="s">
        <v>72</v>
      </c>
      <c r="H126" s="94" t="s">
        <v>74</v>
      </c>
    </row>
    <row r="127" spans="1:12" x14ac:dyDescent="0.3">
      <c r="A127" s="100" t="s">
        <v>68</v>
      </c>
      <c r="B127" s="103">
        <v>5</v>
      </c>
      <c r="C127" s="103">
        <v>10</v>
      </c>
      <c r="D127" s="103">
        <v>20</v>
      </c>
      <c r="E127" s="103">
        <f>(D127+C127)/2</f>
        <v>15</v>
      </c>
      <c r="F127" s="103">
        <f>B127</f>
        <v>5</v>
      </c>
      <c r="G127" s="103">
        <v>10</v>
      </c>
      <c r="H127" s="19">
        <f>B127*E127^2</f>
        <v>1125</v>
      </c>
    </row>
    <row r="128" spans="1:12" x14ac:dyDescent="0.3">
      <c r="A128" s="101" t="s">
        <v>76</v>
      </c>
      <c r="B128" s="16">
        <v>18</v>
      </c>
      <c r="C128" s="16">
        <v>20</v>
      </c>
      <c r="D128" s="16">
        <v>30</v>
      </c>
      <c r="E128" s="16">
        <f t="shared" ref="E128:E131" si="7">(D128+C128)/2</f>
        <v>25</v>
      </c>
      <c r="F128" s="16">
        <f>F127+B128</f>
        <v>23</v>
      </c>
      <c r="G128" s="16">
        <v>10</v>
      </c>
      <c r="H128" s="105">
        <f t="shared" ref="H128:H131" si="8">B128*E128^2</f>
        <v>11250</v>
      </c>
    </row>
    <row r="129" spans="1:10" x14ac:dyDescent="0.3">
      <c r="A129" s="101" t="s">
        <v>77</v>
      </c>
      <c r="B129" s="16">
        <v>35</v>
      </c>
      <c r="C129" s="16">
        <v>30</v>
      </c>
      <c r="D129" s="16">
        <v>40</v>
      </c>
      <c r="E129" s="16">
        <f t="shared" si="7"/>
        <v>35</v>
      </c>
      <c r="F129" s="16">
        <f t="shared" ref="F129:F131" si="9">F128+B129</f>
        <v>58</v>
      </c>
      <c r="G129" s="16">
        <v>10</v>
      </c>
      <c r="H129" s="105">
        <f t="shared" si="8"/>
        <v>42875</v>
      </c>
    </row>
    <row r="130" spans="1:10" x14ac:dyDescent="0.3">
      <c r="A130" s="101" t="s">
        <v>78</v>
      </c>
      <c r="B130" s="16">
        <v>20</v>
      </c>
      <c r="C130" s="16">
        <v>40</v>
      </c>
      <c r="D130" s="16">
        <v>50</v>
      </c>
      <c r="E130" s="16">
        <f t="shared" si="7"/>
        <v>45</v>
      </c>
      <c r="F130" s="16">
        <f t="shared" si="9"/>
        <v>78</v>
      </c>
      <c r="G130" s="16">
        <v>10</v>
      </c>
      <c r="H130" s="105">
        <f t="shared" si="8"/>
        <v>40500</v>
      </c>
    </row>
    <row r="131" spans="1:10" ht="15" thickBot="1" x14ac:dyDescent="0.35">
      <c r="A131" s="102" t="s">
        <v>79</v>
      </c>
      <c r="B131" s="104">
        <v>12</v>
      </c>
      <c r="C131" s="104">
        <v>50</v>
      </c>
      <c r="D131" s="104">
        <v>60</v>
      </c>
      <c r="E131" s="104">
        <f t="shared" si="7"/>
        <v>55</v>
      </c>
      <c r="F131" s="104">
        <f t="shared" si="9"/>
        <v>90</v>
      </c>
      <c r="G131" s="104">
        <v>10</v>
      </c>
      <c r="H131" s="106">
        <f t="shared" si="8"/>
        <v>36300</v>
      </c>
    </row>
    <row r="132" spans="1:10" ht="15" thickBot="1" x14ac:dyDescent="0.35">
      <c r="A132" s="72"/>
      <c r="B132" s="23">
        <f>SUM(B127:B131)</f>
        <v>90</v>
      </c>
      <c r="C132" s="22"/>
      <c r="D132" s="22"/>
      <c r="E132" s="73"/>
      <c r="F132" s="22"/>
      <c r="G132" s="22"/>
      <c r="H132" s="23">
        <f>SUM(H127:H131)</f>
        <v>132050</v>
      </c>
    </row>
    <row r="133" spans="1:10" ht="15" thickBot="1" x14ac:dyDescent="0.35">
      <c r="A133" s="49"/>
    </row>
    <row r="134" spans="1:10" ht="15" thickBot="1" x14ac:dyDescent="0.35">
      <c r="A134" s="52" t="s">
        <v>1</v>
      </c>
      <c r="B134" s="11" t="s">
        <v>43</v>
      </c>
      <c r="C134" s="142" t="s">
        <v>3</v>
      </c>
      <c r="D134" s="143"/>
      <c r="E134" s="33" t="s">
        <v>2</v>
      </c>
      <c r="F134" s="164" t="s">
        <v>3</v>
      </c>
      <c r="G134" s="142"/>
      <c r="H134" s="142"/>
      <c r="I134" s="142"/>
      <c r="J134" s="143"/>
    </row>
    <row r="135" spans="1:10" x14ac:dyDescent="0.3">
      <c r="A135" s="6" t="s">
        <v>4</v>
      </c>
      <c r="B135" s="44"/>
      <c r="C135" s="154"/>
      <c r="D135" s="155"/>
      <c r="E135" s="55">
        <f>SUMPRODUCT(B127:B131,E127:E131)/B132</f>
        <v>36.777777777777779</v>
      </c>
      <c r="F135" s="159" t="s">
        <v>160</v>
      </c>
      <c r="G135" s="160"/>
      <c r="H135" s="160"/>
      <c r="I135" s="160"/>
      <c r="J135" s="161"/>
    </row>
    <row r="136" spans="1:10" x14ac:dyDescent="0.3">
      <c r="A136" s="6" t="s">
        <v>5</v>
      </c>
      <c r="B136" s="25">
        <f>B132/2</f>
        <v>45</v>
      </c>
      <c r="C136" s="156" t="s">
        <v>140</v>
      </c>
      <c r="D136" s="157"/>
      <c r="E136" s="66">
        <f>C129+(B136-F128)/B129*G129</f>
        <v>36.285714285714285</v>
      </c>
      <c r="F136" s="159" t="s">
        <v>134</v>
      </c>
      <c r="G136" s="160"/>
      <c r="H136" s="160"/>
      <c r="I136" s="160"/>
      <c r="J136" s="161"/>
    </row>
    <row r="137" spans="1:10" x14ac:dyDescent="0.3">
      <c r="A137" s="6" t="s">
        <v>41</v>
      </c>
      <c r="B137" s="25">
        <f>MAX(B127:B131)</f>
        <v>35</v>
      </c>
      <c r="C137" s="158" t="s">
        <v>139</v>
      </c>
      <c r="D137" s="157"/>
      <c r="E137" s="56">
        <f>C129+(B129-B128)/(2*B129-B128-B130)*G129</f>
        <v>35.3125</v>
      </c>
      <c r="F137" s="159" t="s">
        <v>133</v>
      </c>
      <c r="G137" s="160"/>
      <c r="H137" s="160"/>
      <c r="I137" s="160"/>
      <c r="J137" s="161"/>
    </row>
    <row r="138" spans="1:10" x14ac:dyDescent="0.3">
      <c r="A138" s="50" t="s">
        <v>11</v>
      </c>
      <c r="B138" s="25">
        <f>B132/4</f>
        <v>22.5</v>
      </c>
      <c r="C138" s="153" t="s">
        <v>138</v>
      </c>
      <c r="D138" s="153"/>
      <c r="E138" s="56">
        <f>C128+(B138-F127)/B128*G128</f>
        <v>29.722222222222221</v>
      </c>
      <c r="F138" s="137" t="s">
        <v>135</v>
      </c>
      <c r="G138" s="138"/>
      <c r="H138" s="138"/>
      <c r="I138" s="138"/>
      <c r="J138" s="139"/>
    </row>
    <row r="139" spans="1:10" x14ac:dyDescent="0.3">
      <c r="A139" s="54" t="s">
        <v>10</v>
      </c>
      <c r="B139" s="25">
        <f>(3*B132)/4</f>
        <v>67.5</v>
      </c>
      <c r="C139" s="153" t="s">
        <v>137</v>
      </c>
      <c r="D139" s="153"/>
      <c r="E139" s="67">
        <f>C130+(B139-F129)/B130*G130</f>
        <v>44.75</v>
      </c>
      <c r="F139" s="137" t="s">
        <v>136</v>
      </c>
      <c r="G139" s="138"/>
      <c r="H139" s="138"/>
      <c r="I139" s="138"/>
      <c r="J139" s="139"/>
    </row>
    <row r="140" spans="1:10" x14ac:dyDescent="0.3">
      <c r="A140" s="54" t="s">
        <v>128</v>
      </c>
      <c r="B140" s="25">
        <f>(90*B132)/100</f>
        <v>81</v>
      </c>
      <c r="C140" s="153" t="s">
        <v>141</v>
      </c>
      <c r="D140" s="153"/>
      <c r="E140" s="67">
        <f>C131+(B140-F130)/B131*G131</f>
        <v>52.5</v>
      </c>
      <c r="F140" s="137" t="s">
        <v>142</v>
      </c>
      <c r="G140" s="138"/>
      <c r="H140" s="138"/>
      <c r="I140" s="138"/>
      <c r="J140" s="139"/>
    </row>
    <row r="141" spans="1:10" x14ac:dyDescent="0.3">
      <c r="A141" s="54" t="s">
        <v>129</v>
      </c>
      <c r="B141" s="25">
        <f>(10*B132)/100</f>
        <v>9</v>
      </c>
      <c r="C141" s="153" t="s">
        <v>143</v>
      </c>
      <c r="D141" s="153"/>
      <c r="E141" s="56">
        <f>C128+(B141-F127)/B128*G128</f>
        <v>22.222222222222221</v>
      </c>
      <c r="F141" s="137" t="s">
        <v>144</v>
      </c>
      <c r="G141" s="138"/>
      <c r="H141" s="138"/>
      <c r="I141" s="138"/>
      <c r="J141" s="139"/>
    </row>
    <row r="142" spans="1:10" x14ac:dyDescent="0.3">
      <c r="A142" s="54" t="s">
        <v>15</v>
      </c>
      <c r="B142" s="25"/>
      <c r="C142" s="138"/>
      <c r="D142" s="139"/>
      <c r="E142" s="56">
        <f>SQRT(H132/B132-E135^2)</f>
        <v>10.705946195951906</v>
      </c>
      <c r="F142" s="137" t="s">
        <v>145</v>
      </c>
      <c r="G142" s="138"/>
      <c r="H142" s="138"/>
      <c r="I142" s="138"/>
      <c r="J142" s="139"/>
    </row>
    <row r="143" spans="1:10" x14ac:dyDescent="0.3">
      <c r="A143" s="54" t="s">
        <v>130</v>
      </c>
      <c r="B143" s="25"/>
      <c r="C143" s="138"/>
      <c r="D143" s="139"/>
      <c r="E143" s="56">
        <f>(E135-E137)/E142</f>
        <v>0.13686578943688546</v>
      </c>
      <c r="F143" s="137" t="s">
        <v>146</v>
      </c>
      <c r="G143" s="138"/>
      <c r="H143" s="138"/>
      <c r="I143" s="138"/>
      <c r="J143" s="139"/>
    </row>
    <row r="144" spans="1:10" x14ac:dyDescent="0.3">
      <c r="A144" s="53" t="s">
        <v>131</v>
      </c>
      <c r="B144" s="25"/>
      <c r="C144" s="138"/>
      <c r="D144" s="139"/>
      <c r="E144" s="56">
        <f>(E139+E138-2*E136)/(E139-E138)</f>
        <v>0.12648534459994773</v>
      </c>
      <c r="F144" s="137" t="s">
        <v>147</v>
      </c>
      <c r="G144" s="138"/>
      <c r="H144" s="138"/>
      <c r="I144" s="138"/>
      <c r="J144" s="139"/>
    </row>
    <row r="145" spans="1:12" ht="15" thickBot="1" x14ac:dyDescent="0.35">
      <c r="A145" s="51" t="s">
        <v>132</v>
      </c>
      <c r="B145" s="27"/>
      <c r="C145" s="152"/>
      <c r="D145" s="136"/>
      <c r="E145" s="68">
        <f>(E139-E138)/(2*(E140-E141))</f>
        <v>0.2481651376146789</v>
      </c>
      <c r="F145" s="135" t="s">
        <v>148</v>
      </c>
      <c r="G145" s="152"/>
      <c r="H145" s="152"/>
      <c r="I145" s="152"/>
      <c r="J145" s="136"/>
    </row>
    <row r="146" spans="1:12" x14ac:dyDescent="0.3">
      <c r="A146" s="70"/>
      <c r="B146" s="74"/>
      <c r="C146" s="58"/>
      <c r="D146" s="58"/>
      <c r="E146" s="75"/>
      <c r="F146" s="58"/>
      <c r="G146" s="58"/>
      <c r="H146" s="58"/>
      <c r="I146" s="58"/>
      <c r="J146" s="58"/>
    </row>
    <row r="147" spans="1:12" x14ac:dyDescent="0.3">
      <c r="A147" s="141" t="s">
        <v>149</v>
      </c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</row>
    <row r="148" spans="1:12" x14ac:dyDescent="0.3">
      <c r="A148" s="141" t="s">
        <v>150</v>
      </c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</row>
    <row r="149" spans="1:12" x14ac:dyDescent="0.3">
      <c r="A149" s="141" t="s">
        <v>151</v>
      </c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</row>
    <row r="150" spans="1:12" x14ac:dyDescent="0.3">
      <c r="A150" s="144" t="s">
        <v>152</v>
      </c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</row>
    <row r="182" spans="1:12" x14ac:dyDescent="0.3">
      <c r="A182" s="150" t="s">
        <v>153</v>
      </c>
      <c r="B182" s="150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</row>
    <row r="183" spans="1:12" ht="14.4" customHeight="1" x14ac:dyDescent="0.3">
      <c r="A183" s="151" t="s">
        <v>154</v>
      </c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</row>
    <row r="184" spans="1:12" x14ac:dyDescent="0.3">
      <c r="A184" s="108" t="s">
        <v>197</v>
      </c>
      <c r="B184" s="108" t="s">
        <v>155</v>
      </c>
      <c r="C184" s="108" t="s">
        <v>156</v>
      </c>
      <c r="D184" s="108" t="s">
        <v>157</v>
      </c>
      <c r="E184" s="108" t="s">
        <v>158</v>
      </c>
      <c r="F184" s="108" t="s">
        <v>159</v>
      </c>
      <c r="G184" s="107"/>
      <c r="H184" s="107"/>
      <c r="I184" s="107"/>
      <c r="J184" s="107"/>
      <c r="K184" s="107"/>
      <c r="L184" s="107"/>
    </row>
    <row r="185" spans="1:12" x14ac:dyDescent="0.3">
      <c r="A185" s="108" t="s">
        <v>34</v>
      </c>
      <c r="B185" s="108">
        <v>5</v>
      </c>
      <c r="C185" s="108">
        <v>12</v>
      </c>
      <c r="D185" s="108">
        <v>20</v>
      </c>
      <c r="E185" s="108">
        <v>7</v>
      </c>
      <c r="F185" s="108">
        <v>6</v>
      </c>
      <c r="G185" s="107"/>
      <c r="H185" s="107"/>
      <c r="I185" s="107"/>
      <c r="J185" s="107"/>
      <c r="K185" s="107"/>
      <c r="L185" s="107"/>
    </row>
    <row r="186" spans="1:12" ht="15" thickBot="1" x14ac:dyDescent="0.35">
      <c r="A186" s="109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</row>
    <row r="187" spans="1:12" ht="15" thickBot="1" x14ac:dyDescent="0.35">
      <c r="A187" s="110" t="s">
        <v>197</v>
      </c>
      <c r="B187" s="111" t="s">
        <v>36</v>
      </c>
      <c r="C187" s="111" t="s">
        <v>69</v>
      </c>
      <c r="D187" s="111" t="s">
        <v>70</v>
      </c>
      <c r="E187" s="111" t="s">
        <v>127</v>
      </c>
      <c r="F187" s="111" t="s">
        <v>37</v>
      </c>
      <c r="G187" s="111" t="s">
        <v>72</v>
      </c>
      <c r="H187" s="119" t="s">
        <v>198</v>
      </c>
      <c r="I187" s="109"/>
      <c r="J187" s="109"/>
      <c r="K187" s="107"/>
      <c r="L187" s="107"/>
    </row>
    <row r="188" spans="1:12" x14ac:dyDescent="0.3">
      <c r="A188" s="112" t="s">
        <v>155</v>
      </c>
      <c r="B188" s="113">
        <v>5</v>
      </c>
      <c r="C188" s="113">
        <v>50</v>
      </c>
      <c r="D188" s="113">
        <v>60</v>
      </c>
      <c r="E188" s="113">
        <f>(C188+D188)/2</f>
        <v>55</v>
      </c>
      <c r="F188" s="113">
        <v>5</v>
      </c>
      <c r="G188" s="113">
        <v>10</v>
      </c>
      <c r="H188" s="120">
        <f>E188-75</f>
        <v>-20</v>
      </c>
      <c r="I188" s="107"/>
      <c r="J188" s="107"/>
      <c r="K188" s="107"/>
      <c r="L188" s="107"/>
    </row>
    <row r="189" spans="1:12" x14ac:dyDescent="0.3">
      <c r="A189" s="114" t="s">
        <v>156</v>
      </c>
      <c r="B189" s="115">
        <v>12</v>
      </c>
      <c r="C189" s="115">
        <v>60</v>
      </c>
      <c r="D189" s="115">
        <v>70</v>
      </c>
      <c r="E189" s="115">
        <f>(C189+D189)/2</f>
        <v>65</v>
      </c>
      <c r="F189" s="115">
        <f>F188+B189</f>
        <v>17</v>
      </c>
      <c r="G189" s="115">
        <v>10</v>
      </c>
      <c r="H189" s="121">
        <f t="shared" ref="H189:H192" si="10">E189-75</f>
        <v>-10</v>
      </c>
      <c r="I189" s="107"/>
      <c r="J189" s="107"/>
      <c r="K189" s="107"/>
      <c r="L189" s="107"/>
    </row>
    <row r="190" spans="1:12" x14ac:dyDescent="0.3">
      <c r="A190" s="114" t="s">
        <v>157</v>
      </c>
      <c r="B190" s="115">
        <v>20</v>
      </c>
      <c r="C190" s="115">
        <v>70</v>
      </c>
      <c r="D190" s="115">
        <v>80</v>
      </c>
      <c r="E190" s="115">
        <f>(C190+D190)/2</f>
        <v>75</v>
      </c>
      <c r="F190" s="115">
        <f>F189+B190</f>
        <v>37</v>
      </c>
      <c r="G190" s="115">
        <v>10</v>
      </c>
      <c r="H190" s="121">
        <f t="shared" si="10"/>
        <v>0</v>
      </c>
      <c r="I190" s="107"/>
      <c r="J190" s="122"/>
      <c r="K190" s="107"/>
      <c r="L190" s="107"/>
    </row>
    <row r="191" spans="1:12" x14ac:dyDescent="0.3">
      <c r="A191" s="114" t="s">
        <v>158</v>
      </c>
      <c r="B191" s="115">
        <v>7</v>
      </c>
      <c r="C191" s="115">
        <v>80</v>
      </c>
      <c r="D191" s="115">
        <v>90</v>
      </c>
      <c r="E191" s="115">
        <f>(C191+D191)/2</f>
        <v>85</v>
      </c>
      <c r="F191" s="115">
        <f>F190+B191</f>
        <v>44</v>
      </c>
      <c r="G191" s="115">
        <v>10</v>
      </c>
      <c r="H191" s="121">
        <f t="shared" si="10"/>
        <v>10</v>
      </c>
      <c r="I191" s="107"/>
      <c r="J191" s="107"/>
      <c r="K191" s="107"/>
      <c r="L191" s="107"/>
    </row>
    <row r="192" spans="1:12" x14ac:dyDescent="0.3">
      <c r="A192" s="114" t="s">
        <v>159</v>
      </c>
      <c r="B192" s="115">
        <v>6</v>
      </c>
      <c r="C192" s="115">
        <v>90</v>
      </c>
      <c r="D192" s="115">
        <v>100</v>
      </c>
      <c r="E192" s="115">
        <f>(C192+D192)/2</f>
        <v>95</v>
      </c>
      <c r="F192" s="115">
        <f>F191+B192</f>
        <v>50</v>
      </c>
      <c r="G192" s="115">
        <v>10</v>
      </c>
      <c r="H192" s="121">
        <f t="shared" si="10"/>
        <v>20</v>
      </c>
      <c r="I192" s="107"/>
      <c r="J192" s="107"/>
      <c r="K192" s="107"/>
      <c r="L192" s="107"/>
    </row>
    <row r="193" spans="1:12" ht="15" thickBot="1" x14ac:dyDescent="0.35">
      <c r="A193" s="116"/>
      <c r="B193" s="123">
        <f>SUM(B188:B192)</f>
        <v>50</v>
      </c>
      <c r="C193" s="117"/>
      <c r="D193" s="117"/>
      <c r="E193" s="117"/>
      <c r="F193" s="117"/>
      <c r="G193" s="117"/>
      <c r="H193" s="124"/>
      <c r="I193" s="109"/>
      <c r="J193" s="109"/>
      <c r="K193" s="107"/>
      <c r="L193" s="107"/>
    </row>
    <row r="194" spans="1:12" x14ac:dyDescent="0.3">
      <c r="A194" s="109"/>
      <c r="B194" s="109"/>
      <c r="C194" s="109"/>
      <c r="D194" s="109"/>
      <c r="E194" s="107"/>
      <c r="F194" s="107"/>
      <c r="G194" s="107"/>
      <c r="H194" s="107"/>
      <c r="I194" s="107"/>
      <c r="J194" s="107"/>
      <c r="K194" s="107"/>
      <c r="L194" s="107"/>
    </row>
    <row r="195" spans="1:12" x14ac:dyDescent="0.3">
      <c r="A195" s="125"/>
      <c r="B195" s="109"/>
      <c r="C195" s="109"/>
      <c r="D195" s="125"/>
      <c r="E195" s="107"/>
      <c r="F195" s="107"/>
      <c r="G195" s="107"/>
      <c r="H195" s="107"/>
      <c r="I195" s="107"/>
      <c r="J195" s="107"/>
      <c r="K195" s="107"/>
      <c r="L195" s="107"/>
    </row>
    <row r="196" spans="1:12" ht="15" thickBot="1" x14ac:dyDescent="0.35">
      <c r="A196" s="107"/>
      <c r="B196" s="109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</row>
    <row r="197" spans="1:12" ht="15" thickBot="1" x14ac:dyDescent="0.35">
      <c r="A197" s="110" t="s">
        <v>1</v>
      </c>
      <c r="B197" s="134" t="s">
        <v>33</v>
      </c>
      <c r="C197" s="224" t="s">
        <v>3</v>
      </c>
      <c r="D197" s="202"/>
      <c r="E197" s="202"/>
      <c r="F197" s="202"/>
      <c r="G197" s="203"/>
      <c r="H197" s="109"/>
      <c r="I197" s="109"/>
      <c r="J197" s="107"/>
      <c r="K197" s="107"/>
      <c r="L197" s="107"/>
    </row>
    <row r="198" spans="1:12" ht="18" x14ac:dyDescent="0.4">
      <c r="A198" s="126" t="s">
        <v>199</v>
      </c>
      <c r="B198" s="127">
        <f>SUMPRODUCT(B188:B192,H188:H192)/B193</f>
        <v>-0.6</v>
      </c>
      <c r="C198" s="204" t="s">
        <v>213</v>
      </c>
      <c r="D198" s="204"/>
      <c r="E198" s="204"/>
      <c r="F198" s="204"/>
      <c r="G198" s="204"/>
      <c r="H198" s="128"/>
      <c r="I198" s="128"/>
      <c r="J198" s="107"/>
      <c r="K198" s="107"/>
      <c r="L198" s="107"/>
    </row>
    <row r="199" spans="1:12" ht="18" x14ac:dyDescent="0.4">
      <c r="A199" s="129" t="s">
        <v>200</v>
      </c>
      <c r="B199" s="115">
        <f>SUMPRODUCT(B188:B192,H188:H192^2)/B193</f>
        <v>126</v>
      </c>
      <c r="C199" s="201" t="s">
        <v>224</v>
      </c>
      <c r="D199" s="201"/>
      <c r="E199" s="201"/>
      <c r="F199" s="201"/>
      <c r="G199" s="201"/>
      <c r="H199" s="128"/>
      <c r="I199" s="128"/>
      <c r="J199" s="107"/>
      <c r="K199" s="107"/>
      <c r="L199" s="107"/>
    </row>
    <row r="200" spans="1:12" ht="18" x14ac:dyDescent="0.4">
      <c r="A200" s="129" t="s">
        <v>201</v>
      </c>
      <c r="B200" s="115">
        <f>SUMPRODUCT(B188:B192,H188:H192^3)/B193</f>
        <v>60</v>
      </c>
      <c r="C200" s="201" t="s">
        <v>225</v>
      </c>
      <c r="D200" s="201"/>
      <c r="E200" s="201"/>
      <c r="F200" s="201"/>
      <c r="G200" s="201"/>
      <c r="H200" s="128"/>
      <c r="I200" s="128"/>
      <c r="J200" s="107"/>
      <c r="K200" s="107"/>
      <c r="L200" s="107"/>
    </row>
    <row r="201" spans="1:12" ht="18" x14ac:dyDescent="0.4">
      <c r="A201" s="129" t="s">
        <v>202</v>
      </c>
      <c r="B201" s="115">
        <f>SUMPRODUCT(B188:B192,H188:H192^4)/B193</f>
        <v>39000</v>
      </c>
      <c r="C201" s="201" t="s">
        <v>226</v>
      </c>
      <c r="D201" s="201"/>
      <c r="E201" s="201"/>
      <c r="F201" s="201"/>
      <c r="G201" s="201"/>
      <c r="H201" s="128"/>
      <c r="I201" s="128"/>
      <c r="J201" s="107"/>
      <c r="K201" s="107"/>
      <c r="L201" s="107"/>
    </row>
    <row r="202" spans="1:12" ht="18" x14ac:dyDescent="0.4">
      <c r="A202" s="129" t="s">
        <v>203</v>
      </c>
      <c r="B202" s="133">
        <f>B198-B198</f>
        <v>0</v>
      </c>
      <c r="C202" s="201" t="s">
        <v>227</v>
      </c>
      <c r="D202" s="201"/>
      <c r="E202" s="201"/>
      <c r="F202" s="201"/>
      <c r="G202" s="201"/>
      <c r="H202" s="128"/>
      <c r="I202" s="128"/>
      <c r="J202" s="107"/>
      <c r="K202" s="107"/>
      <c r="L202" s="107"/>
    </row>
    <row r="203" spans="1:12" ht="18" x14ac:dyDescent="0.4">
      <c r="A203" s="129" t="s">
        <v>204</v>
      </c>
      <c r="B203" s="130">
        <f>B199-B198^2</f>
        <v>125.64</v>
      </c>
      <c r="C203" s="201" t="s">
        <v>228</v>
      </c>
      <c r="D203" s="201"/>
      <c r="E203" s="201"/>
      <c r="F203" s="201"/>
      <c r="G203" s="201"/>
      <c r="H203" s="128"/>
      <c r="I203" s="128"/>
      <c r="J203" s="107"/>
      <c r="K203" s="107"/>
      <c r="L203" s="107"/>
    </row>
    <row r="204" spans="1:12" ht="18" x14ac:dyDescent="0.4">
      <c r="A204" s="129" t="s">
        <v>205</v>
      </c>
      <c r="B204" s="115">
        <f>B200-3*B199*B198+2*B198^3</f>
        <v>286.36799999999994</v>
      </c>
      <c r="C204" s="201" t="s">
        <v>229</v>
      </c>
      <c r="D204" s="201"/>
      <c r="E204" s="201"/>
      <c r="F204" s="201"/>
      <c r="G204" s="201"/>
      <c r="H204" s="128"/>
      <c r="I204" s="128"/>
      <c r="J204" s="107"/>
      <c r="K204" s="107"/>
      <c r="L204" s="107"/>
    </row>
    <row r="205" spans="1:12" ht="18" x14ac:dyDescent="0.4">
      <c r="A205" s="129" t="s">
        <v>206</v>
      </c>
      <c r="B205" s="130">
        <f>B201-4*B200*B198+6*B199*B198^2-3*B198^4</f>
        <v>39415.771200000003</v>
      </c>
      <c r="C205" s="201" t="s">
        <v>230</v>
      </c>
      <c r="D205" s="201"/>
      <c r="E205" s="201"/>
      <c r="F205" s="201"/>
      <c r="G205" s="201"/>
      <c r="H205" s="128"/>
      <c r="I205" s="128"/>
      <c r="J205" s="107"/>
      <c r="K205" s="107"/>
      <c r="L205" s="107"/>
    </row>
    <row r="206" spans="1:12" ht="16.2" x14ac:dyDescent="0.35">
      <c r="A206" s="114" t="s">
        <v>207</v>
      </c>
      <c r="B206" s="131">
        <f>B204/(B203^1.5)</f>
        <v>0.20334457705798659</v>
      </c>
      <c r="C206" s="201" t="s">
        <v>231</v>
      </c>
      <c r="D206" s="201"/>
      <c r="E206" s="201"/>
      <c r="F206" s="201"/>
      <c r="G206" s="201"/>
      <c r="H206" s="128"/>
      <c r="I206" s="128"/>
      <c r="J206" s="107"/>
      <c r="K206" s="107"/>
      <c r="L206" s="107"/>
    </row>
    <row r="207" spans="1:12" ht="16.8" thickBot="1" x14ac:dyDescent="0.4">
      <c r="A207" s="116" t="s">
        <v>208</v>
      </c>
      <c r="B207" s="132">
        <f>B205/(B203^2)-3</f>
        <v>-0.50302512264236698</v>
      </c>
      <c r="C207" s="201" t="s">
        <v>232</v>
      </c>
      <c r="D207" s="201"/>
      <c r="E207" s="201"/>
      <c r="F207" s="201"/>
      <c r="G207" s="201"/>
      <c r="H207" s="128"/>
      <c r="I207" s="128"/>
      <c r="J207" s="107"/>
      <c r="K207" s="107"/>
      <c r="L207" s="107"/>
    </row>
    <row r="208" spans="1:12" ht="16.2" x14ac:dyDescent="0.35">
      <c r="A208" s="148" t="s">
        <v>209</v>
      </c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</row>
    <row r="209" spans="1:12" ht="16.2" x14ac:dyDescent="0.35">
      <c r="A209" s="148" t="s">
        <v>210</v>
      </c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</row>
    <row r="210" spans="1:12" x14ac:dyDescent="0.3">
      <c r="A210" s="149" t="s">
        <v>211</v>
      </c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</row>
    <row r="211" spans="1:12" x14ac:dyDescent="0.3">
      <c r="A211" s="149" t="s">
        <v>212</v>
      </c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</row>
    <row r="237" spans="1:12" x14ac:dyDescent="0.3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</row>
    <row r="240" spans="1:12" ht="15" thickBot="1" x14ac:dyDescent="0.35">
      <c r="A240" s="150" t="s">
        <v>161</v>
      </c>
      <c r="B240" s="150"/>
      <c r="C240" s="150"/>
      <c r="D240" s="150"/>
      <c r="E240" s="150"/>
      <c r="F240" s="150"/>
      <c r="G240" s="150"/>
      <c r="H240" s="150"/>
      <c r="I240" s="150"/>
      <c r="J240" s="150"/>
      <c r="K240" s="150"/>
      <c r="L240" s="150"/>
    </row>
    <row r="241" spans="1:12" x14ac:dyDescent="0.3">
      <c r="A241" s="31" t="s">
        <v>65</v>
      </c>
      <c r="B241" s="76" t="s">
        <v>162</v>
      </c>
      <c r="C241" s="77" t="s">
        <v>163</v>
      </c>
      <c r="D241" s="76" t="s">
        <v>164</v>
      </c>
      <c r="E241" s="76" t="s">
        <v>165</v>
      </c>
      <c r="F241" s="76" t="s">
        <v>166</v>
      </c>
      <c r="G241" s="217" t="s">
        <v>167</v>
      </c>
      <c r="H241" s="218"/>
    </row>
    <row r="242" spans="1:12" ht="15" thickBot="1" x14ac:dyDescent="0.35">
      <c r="A242" s="32" t="s">
        <v>34</v>
      </c>
      <c r="B242" s="43">
        <v>9</v>
      </c>
      <c r="C242" s="43">
        <v>20</v>
      </c>
      <c r="D242" s="43">
        <v>35</v>
      </c>
      <c r="E242" s="43">
        <v>40</v>
      </c>
      <c r="F242" s="43">
        <v>24</v>
      </c>
      <c r="G242" s="219">
        <v>12</v>
      </c>
      <c r="H242" s="216"/>
    </row>
    <row r="244" spans="1:12" x14ac:dyDescent="0.3">
      <c r="A244" s="141" t="s">
        <v>168</v>
      </c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</row>
    <row r="245" spans="1:12" ht="15" thickBot="1" x14ac:dyDescent="0.35">
      <c r="A245" s="141" t="s">
        <v>169</v>
      </c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</row>
    <row r="246" spans="1:12" ht="15" thickBot="1" x14ac:dyDescent="0.35">
      <c r="A246" s="23" t="s">
        <v>170</v>
      </c>
      <c r="B246" s="220" t="s">
        <v>171</v>
      </c>
      <c r="C246" s="221"/>
      <c r="D246" s="220" t="s">
        <v>172</v>
      </c>
      <c r="E246" s="221"/>
      <c r="F246" s="220" t="s">
        <v>3</v>
      </c>
      <c r="G246" s="221"/>
    </row>
    <row r="247" spans="1:12" ht="15" thickBot="1" x14ac:dyDescent="0.35">
      <c r="A247" s="78">
        <v>14</v>
      </c>
      <c r="B247" s="222">
        <v>15</v>
      </c>
      <c r="C247" s="223"/>
      <c r="D247" s="135">
        <f>(B247-A247)/2</f>
        <v>0.5</v>
      </c>
      <c r="E247" s="136"/>
      <c r="F247" s="135" t="s">
        <v>173</v>
      </c>
      <c r="G247" s="136"/>
    </row>
    <row r="249" spans="1:12" x14ac:dyDescent="0.3">
      <c r="A249" s="150" t="s">
        <v>174</v>
      </c>
      <c r="B249" s="150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</row>
    <row r="250" spans="1:12" x14ac:dyDescent="0.3">
      <c r="A250" s="150" t="s">
        <v>175</v>
      </c>
      <c r="B250" s="150"/>
      <c r="C250" s="150"/>
      <c r="D250" s="150"/>
      <c r="E250" s="150"/>
      <c r="F250" s="150"/>
      <c r="G250" s="150"/>
      <c r="H250" s="150"/>
      <c r="I250" s="150"/>
      <c r="J250" s="150"/>
      <c r="K250" s="150"/>
      <c r="L250" s="150"/>
    </row>
    <row r="251" spans="1:12" ht="15" thickBot="1" x14ac:dyDescent="0.35"/>
    <row r="252" spans="1:12" x14ac:dyDescent="0.3">
      <c r="A252" s="31" t="s">
        <v>65</v>
      </c>
      <c r="B252" s="11" t="s">
        <v>162</v>
      </c>
      <c r="C252" s="79" t="s">
        <v>176</v>
      </c>
      <c r="D252" s="11" t="s">
        <v>177</v>
      </c>
      <c r="E252" s="11" t="s">
        <v>178</v>
      </c>
      <c r="F252" s="213" t="s">
        <v>179</v>
      </c>
      <c r="G252" s="214"/>
      <c r="H252" s="209" t="s">
        <v>180</v>
      </c>
      <c r="I252" s="210"/>
    </row>
    <row r="253" spans="1:12" ht="15" thickBot="1" x14ac:dyDescent="0.35">
      <c r="A253" s="32" t="s">
        <v>34</v>
      </c>
      <c r="B253" s="27">
        <v>9</v>
      </c>
      <c r="C253" s="27">
        <v>20</v>
      </c>
      <c r="D253" s="27">
        <v>35</v>
      </c>
      <c r="E253" s="27">
        <v>40</v>
      </c>
      <c r="F253" s="215">
        <v>24</v>
      </c>
      <c r="G253" s="216"/>
      <c r="H253" s="211">
        <v>12</v>
      </c>
      <c r="I253" s="212"/>
    </row>
    <row r="254" spans="1:12" ht="15" thickBot="1" x14ac:dyDescent="0.35"/>
    <row r="255" spans="1:12" ht="15" thickBot="1" x14ac:dyDescent="0.35">
      <c r="A255" s="23" t="s">
        <v>65</v>
      </c>
      <c r="B255" s="23" t="s">
        <v>36</v>
      </c>
      <c r="C255" s="34" t="s">
        <v>37</v>
      </c>
      <c r="D255" s="23" t="s">
        <v>69</v>
      </c>
      <c r="E255" s="23" t="s">
        <v>70</v>
      </c>
      <c r="F255" s="23" t="s">
        <v>72</v>
      </c>
    </row>
    <row r="256" spans="1:12" x14ac:dyDescent="0.3">
      <c r="A256" s="71" t="s">
        <v>162</v>
      </c>
      <c r="B256" s="44">
        <v>9</v>
      </c>
      <c r="C256" s="44">
        <f>B256</f>
        <v>9</v>
      </c>
      <c r="D256" s="44">
        <v>4.5</v>
      </c>
      <c r="E256" s="44">
        <v>9.5</v>
      </c>
      <c r="F256" s="59">
        <f>(E256-D256)</f>
        <v>5</v>
      </c>
    </row>
    <row r="257" spans="1:12" x14ac:dyDescent="0.3">
      <c r="A257" s="57" t="s">
        <v>176</v>
      </c>
      <c r="B257" s="12">
        <v>20</v>
      </c>
      <c r="C257" s="12">
        <f>C256+B257</f>
        <v>29</v>
      </c>
      <c r="D257" s="12">
        <v>9.5</v>
      </c>
      <c r="E257" s="12">
        <v>14.5</v>
      </c>
      <c r="F257" s="59">
        <f t="shared" ref="F257:F261" si="11">(E257-D257)</f>
        <v>5</v>
      </c>
    </row>
    <row r="258" spans="1:12" x14ac:dyDescent="0.3">
      <c r="A258" s="57" t="s">
        <v>177</v>
      </c>
      <c r="B258" s="12">
        <v>35</v>
      </c>
      <c r="C258" s="12">
        <f t="shared" ref="C258:C261" si="12">C257+B258</f>
        <v>64</v>
      </c>
      <c r="D258" s="12">
        <v>14.5</v>
      </c>
      <c r="E258" s="12">
        <v>19.5</v>
      </c>
      <c r="F258" s="59">
        <f t="shared" si="11"/>
        <v>5</v>
      </c>
    </row>
    <row r="259" spans="1:12" x14ac:dyDescent="0.3">
      <c r="A259" s="57" t="s">
        <v>178</v>
      </c>
      <c r="B259" s="12">
        <v>40</v>
      </c>
      <c r="C259" s="12">
        <f t="shared" si="12"/>
        <v>104</v>
      </c>
      <c r="D259" s="12">
        <v>19.5</v>
      </c>
      <c r="E259" s="12">
        <v>24.5</v>
      </c>
      <c r="F259" s="59">
        <f t="shared" si="11"/>
        <v>5</v>
      </c>
    </row>
    <row r="260" spans="1:12" x14ac:dyDescent="0.3">
      <c r="A260" s="57" t="s">
        <v>179</v>
      </c>
      <c r="B260" s="12">
        <v>24</v>
      </c>
      <c r="C260" s="12">
        <f t="shared" si="12"/>
        <v>128</v>
      </c>
      <c r="D260" s="12">
        <v>24.5</v>
      </c>
      <c r="E260" s="12">
        <v>29.5</v>
      </c>
      <c r="F260" s="59">
        <f t="shared" si="11"/>
        <v>5</v>
      </c>
    </row>
    <row r="261" spans="1:12" ht="15" thickBot="1" x14ac:dyDescent="0.35">
      <c r="A261" s="60" t="s">
        <v>180</v>
      </c>
      <c r="B261" s="13">
        <v>12</v>
      </c>
      <c r="C261" s="13">
        <f t="shared" si="12"/>
        <v>140</v>
      </c>
      <c r="D261" s="13">
        <v>29.5</v>
      </c>
      <c r="E261" s="13">
        <v>34.5</v>
      </c>
      <c r="F261" s="62">
        <f t="shared" si="11"/>
        <v>5</v>
      </c>
    </row>
    <row r="262" spans="1:12" ht="15" thickBot="1" x14ac:dyDescent="0.35">
      <c r="A262" s="33"/>
      <c r="B262" s="23">
        <f>C261</f>
        <v>140</v>
      </c>
      <c r="C262" s="23"/>
      <c r="D262" s="23"/>
      <c r="E262" s="23"/>
      <c r="F262" s="24"/>
    </row>
    <row r="263" spans="1:12" ht="15" thickBot="1" x14ac:dyDescent="0.35"/>
    <row r="264" spans="1:12" ht="15" thickBot="1" x14ac:dyDescent="0.35">
      <c r="A264" s="17" t="s">
        <v>181</v>
      </c>
      <c r="B264" s="17" t="s">
        <v>43</v>
      </c>
      <c r="C264" s="17" t="s">
        <v>3</v>
      </c>
      <c r="D264" s="17" t="s">
        <v>2</v>
      </c>
      <c r="E264" s="142" t="s">
        <v>3</v>
      </c>
      <c r="F264" s="142"/>
      <c r="G264" s="142"/>
      <c r="H264" s="143"/>
    </row>
    <row r="265" spans="1:12" x14ac:dyDescent="0.3">
      <c r="A265" s="12" t="s">
        <v>5</v>
      </c>
      <c r="B265" s="25">
        <f>B262/2</f>
        <v>70</v>
      </c>
      <c r="C265" s="12" t="s">
        <v>184</v>
      </c>
      <c r="D265" s="25">
        <f>D259+(B265-C258)/B259*F259</f>
        <v>20.25</v>
      </c>
      <c r="E265" s="138" t="s">
        <v>219</v>
      </c>
      <c r="F265" s="138"/>
      <c r="G265" s="138"/>
      <c r="H265" s="139"/>
    </row>
    <row r="266" spans="1:12" x14ac:dyDescent="0.3">
      <c r="A266" s="12" t="s">
        <v>11</v>
      </c>
      <c r="B266" s="25">
        <f>B262/4</f>
        <v>35</v>
      </c>
      <c r="C266" s="12" t="s">
        <v>185</v>
      </c>
      <c r="D266" s="26">
        <f>D258+(B266-C257)/B258*F258</f>
        <v>15.357142857142858</v>
      </c>
      <c r="E266" s="138" t="s">
        <v>220</v>
      </c>
      <c r="F266" s="138"/>
      <c r="G266" s="138"/>
      <c r="H266" s="139"/>
    </row>
    <row r="267" spans="1:12" x14ac:dyDescent="0.3">
      <c r="A267" s="12" t="s">
        <v>10</v>
      </c>
      <c r="B267" s="25">
        <f>(3*B262)/4</f>
        <v>105</v>
      </c>
      <c r="C267" s="12" t="s">
        <v>186</v>
      </c>
      <c r="D267" s="26">
        <f>D260+(B267-C259)/B260*F260</f>
        <v>24.708333333333332</v>
      </c>
      <c r="E267" s="144" t="s">
        <v>221</v>
      </c>
      <c r="F267" s="144"/>
      <c r="G267" s="144"/>
      <c r="H267" s="145"/>
    </row>
    <row r="268" spans="1:12" x14ac:dyDescent="0.3">
      <c r="A268" s="12" t="s">
        <v>182</v>
      </c>
      <c r="B268" s="12"/>
      <c r="C268" s="12"/>
      <c r="D268" s="26">
        <f>(D267-D266)/2</f>
        <v>4.6755952380952372</v>
      </c>
      <c r="E268" s="144" t="s">
        <v>222</v>
      </c>
      <c r="F268" s="144"/>
      <c r="G268" s="144"/>
      <c r="H268" s="145"/>
    </row>
    <row r="269" spans="1:12" ht="15" thickBot="1" x14ac:dyDescent="0.35">
      <c r="A269" s="13" t="s">
        <v>183</v>
      </c>
      <c r="B269" s="13"/>
      <c r="C269" s="13"/>
      <c r="D269" s="45">
        <f>(D267+D266-2*D265)/(D267-D266)</f>
        <v>-4.646721833227252E-2</v>
      </c>
      <c r="E269" s="146" t="s">
        <v>223</v>
      </c>
      <c r="F269" s="146"/>
      <c r="G269" s="146"/>
      <c r="H269" s="147"/>
    </row>
    <row r="270" spans="1:12" x14ac:dyDescent="0.3">
      <c r="E270" s="141"/>
      <c r="F270" s="141"/>
      <c r="G270" s="141"/>
    </row>
    <row r="271" spans="1:12" x14ac:dyDescent="0.3">
      <c r="A271" s="140" t="s">
        <v>187</v>
      </c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</row>
    <row r="300" spans="1:12" x14ac:dyDescent="0.3">
      <c r="A300" s="149" t="s">
        <v>188</v>
      </c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</row>
    <row r="301" spans="1:12" x14ac:dyDescent="0.3">
      <c r="A301" s="108">
        <v>10</v>
      </c>
      <c r="B301" s="108">
        <v>50</v>
      </c>
      <c r="C301" s="108">
        <v>70</v>
      </c>
      <c r="D301" s="108">
        <v>80</v>
      </c>
      <c r="E301" s="108">
        <v>90</v>
      </c>
      <c r="F301" s="108">
        <v>55</v>
      </c>
      <c r="G301" s="108">
        <v>65</v>
      </c>
      <c r="H301" s="108">
        <v>70</v>
      </c>
      <c r="I301" s="108">
        <v>85</v>
      </c>
      <c r="J301" s="108">
        <v>90</v>
      </c>
      <c r="K301" s="108">
        <v>15</v>
      </c>
      <c r="L301" s="108">
        <v>40</v>
      </c>
    </row>
    <row r="302" spans="1:12" x14ac:dyDescent="0.3">
      <c r="A302" s="108">
        <v>35</v>
      </c>
      <c r="B302" s="108">
        <v>25</v>
      </c>
      <c r="C302" s="108">
        <v>20</v>
      </c>
      <c r="D302" s="108">
        <v>5</v>
      </c>
      <c r="E302" s="108">
        <v>75</v>
      </c>
      <c r="F302" s="108">
        <v>45</v>
      </c>
      <c r="G302" s="109"/>
      <c r="H302" s="109"/>
      <c r="I302" s="109"/>
      <c r="J302" s="109"/>
      <c r="K302" s="109"/>
      <c r="L302" s="109"/>
    </row>
    <row r="303" spans="1:12" x14ac:dyDescent="0.3">
      <c r="A303" s="109" t="s">
        <v>196</v>
      </c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</row>
    <row r="304" spans="1:12" x14ac:dyDescent="0.3">
      <c r="A304" s="149" t="s">
        <v>189</v>
      </c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</row>
    <row r="305" spans="1:12" ht="15" thickBot="1" x14ac:dyDescent="0.3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</row>
    <row r="306" spans="1:12" ht="15" thickBot="1" x14ac:dyDescent="0.35">
      <c r="A306" s="110" t="s">
        <v>1</v>
      </c>
      <c r="B306" s="111" t="s">
        <v>2</v>
      </c>
      <c r="C306" s="202" t="s">
        <v>3</v>
      </c>
      <c r="D306" s="202"/>
      <c r="E306" s="202"/>
      <c r="F306" s="203"/>
      <c r="G306" s="107"/>
      <c r="H306" s="107"/>
      <c r="I306" s="107"/>
      <c r="J306" s="107"/>
      <c r="K306" s="107"/>
      <c r="L306" s="107"/>
    </row>
    <row r="307" spans="1:12" ht="16.2" x14ac:dyDescent="0.35">
      <c r="A307" s="112" t="s">
        <v>190</v>
      </c>
      <c r="B307" s="113">
        <f>QUARTILE(A301:L302,1)</f>
        <v>27.5</v>
      </c>
      <c r="C307" s="204" t="s">
        <v>214</v>
      </c>
      <c r="D307" s="204"/>
      <c r="E307" s="204"/>
      <c r="F307" s="205"/>
      <c r="G307" s="107"/>
      <c r="H307" s="107"/>
      <c r="I307" s="107"/>
      <c r="J307" s="107"/>
      <c r="K307" s="107"/>
      <c r="L307" s="107"/>
    </row>
    <row r="308" spans="1:12" x14ac:dyDescent="0.3">
      <c r="A308" s="114" t="s">
        <v>191</v>
      </c>
      <c r="B308" s="115">
        <f>MIN(A301:L302)</f>
        <v>5</v>
      </c>
      <c r="C308" s="206" t="s">
        <v>215</v>
      </c>
      <c r="D308" s="206"/>
      <c r="E308" s="206"/>
      <c r="F308" s="207"/>
      <c r="G308" s="107"/>
      <c r="H308" s="107"/>
      <c r="I308" s="107"/>
      <c r="J308" s="107"/>
      <c r="K308" s="107"/>
      <c r="L308" s="107"/>
    </row>
    <row r="309" spans="1:12" x14ac:dyDescent="0.3">
      <c r="A309" s="114" t="s">
        <v>192</v>
      </c>
      <c r="B309" s="115">
        <f>MEDIAN(A301:L302)</f>
        <v>52.5</v>
      </c>
      <c r="C309" s="201" t="s">
        <v>216</v>
      </c>
      <c r="D309" s="201"/>
      <c r="E309" s="201"/>
      <c r="F309" s="208"/>
      <c r="G309" s="107"/>
      <c r="H309" s="107"/>
      <c r="I309" s="107"/>
      <c r="J309" s="107"/>
      <c r="K309" s="107"/>
      <c r="L309" s="107"/>
    </row>
    <row r="310" spans="1:12" x14ac:dyDescent="0.3">
      <c r="A310" s="114" t="s">
        <v>193</v>
      </c>
      <c r="B310" s="115">
        <f>MAX(A301:L302)</f>
        <v>90</v>
      </c>
      <c r="C310" s="201" t="s">
        <v>217</v>
      </c>
      <c r="D310" s="201"/>
      <c r="E310" s="201"/>
      <c r="F310" s="208"/>
      <c r="G310" s="107"/>
      <c r="H310" s="107"/>
      <c r="I310" s="107"/>
      <c r="J310" s="107"/>
      <c r="K310" s="107"/>
      <c r="L310" s="107"/>
    </row>
    <row r="311" spans="1:12" ht="16.8" thickBot="1" x14ac:dyDescent="0.4">
      <c r="A311" s="116" t="s">
        <v>194</v>
      </c>
      <c r="B311" s="117">
        <f>QUARTILE(A301:L302,3)</f>
        <v>73.75</v>
      </c>
      <c r="C311" s="196" t="s">
        <v>218</v>
      </c>
      <c r="D311" s="197"/>
      <c r="E311" s="197"/>
      <c r="F311" s="198"/>
      <c r="G311" s="107"/>
      <c r="H311" s="107"/>
      <c r="I311" s="107"/>
      <c r="J311" s="107"/>
      <c r="K311" s="107"/>
      <c r="L311" s="107"/>
    </row>
    <row r="312" spans="1:12" x14ac:dyDescent="0.3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</row>
    <row r="313" spans="1:12" x14ac:dyDescent="0.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</row>
    <row r="314" spans="1:12" x14ac:dyDescent="0.3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</row>
    <row r="315" spans="1:12" x14ac:dyDescent="0.3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</row>
    <row r="316" spans="1:12" x14ac:dyDescent="0.3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</row>
    <row r="317" spans="1:12" x14ac:dyDescent="0.3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</row>
    <row r="318" spans="1:12" x14ac:dyDescent="0.3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</row>
    <row r="319" spans="1:12" x14ac:dyDescent="0.3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</row>
    <row r="320" spans="1:12" x14ac:dyDescent="0.3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</row>
    <row r="321" spans="1:12" x14ac:dyDescent="0.3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</row>
    <row r="322" spans="1:12" x14ac:dyDescent="0.3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</row>
    <row r="323" spans="1:12" x14ac:dyDescent="0.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</row>
    <row r="324" spans="1:12" x14ac:dyDescent="0.3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</row>
    <row r="325" spans="1:12" x14ac:dyDescent="0.3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</row>
    <row r="326" spans="1:12" x14ac:dyDescent="0.3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</row>
    <row r="327" spans="1:12" x14ac:dyDescent="0.3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</row>
    <row r="328" spans="1:12" x14ac:dyDescent="0.3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</row>
    <row r="329" spans="1:12" x14ac:dyDescent="0.3">
      <c r="A329" s="149" t="s">
        <v>195</v>
      </c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</row>
  </sheetData>
  <mergeCells count="195">
    <mergeCell ref="C197:G197"/>
    <mergeCell ref="C198:G198"/>
    <mergeCell ref="C199:G199"/>
    <mergeCell ref="C200:G200"/>
    <mergeCell ref="C201:G201"/>
    <mergeCell ref="C202:G202"/>
    <mergeCell ref="C203:G203"/>
    <mergeCell ref="C204:G204"/>
    <mergeCell ref="C205:G205"/>
    <mergeCell ref="C206:G206"/>
    <mergeCell ref="C207:G207"/>
    <mergeCell ref="A300:L300"/>
    <mergeCell ref="A304:L304"/>
    <mergeCell ref="C306:F306"/>
    <mergeCell ref="C307:F307"/>
    <mergeCell ref="C308:F308"/>
    <mergeCell ref="C309:F309"/>
    <mergeCell ref="C310:F310"/>
    <mergeCell ref="H252:I252"/>
    <mergeCell ref="H253:I253"/>
    <mergeCell ref="A249:L249"/>
    <mergeCell ref="A250:L250"/>
    <mergeCell ref="F252:G252"/>
    <mergeCell ref="F253:G253"/>
    <mergeCell ref="G241:H241"/>
    <mergeCell ref="G242:H242"/>
    <mergeCell ref="A244:L244"/>
    <mergeCell ref="A245:L245"/>
    <mergeCell ref="B246:C246"/>
    <mergeCell ref="B247:C247"/>
    <mergeCell ref="D246:E246"/>
    <mergeCell ref="D247:E247"/>
    <mergeCell ref="F246:G246"/>
    <mergeCell ref="C311:F311"/>
    <mergeCell ref="A329:L329"/>
    <mergeCell ref="C22:D22"/>
    <mergeCell ref="C16:D16"/>
    <mergeCell ref="C17:D17"/>
    <mergeCell ref="C18:D18"/>
    <mergeCell ref="C19:D19"/>
    <mergeCell ref="C20:D20"/>
    <mergeCell ref="C21:D21"/>
    <mergeCell ref="C42:D42"/>
    <mergeCell ref="C43:D43"/>
    <mergeCell ref="C44:D44"/>
    <mergeCell ref="C45:D45"/>
    <mergeCell ref="C46:D46"/>
    <mergeCell ref="C37:D37"/>
    <mergeCell ref="C38:D38"/>
    <mergeCell ref="C39:D39"/>
    <mergeCell ref="C40:D40"/>
    <mergeCell ref="C41:D41"/>
    <mergeCell ref="F46:I46"/>
    <mergeCell ref="F47:I47"/>
    <mergeCell ref="F48:I48"/>
    <mergeCell ref="F49:I49"/>
    <mergeCell ref="C47:D47"/>
    <mergeCell ref="A1:L1"/>
    <mergeCell ref="A2:L2"/>
    <mergeCell ref="C15:D15"/>
    <mergeCell ref="C7:D7"/>
    <mergeCell ref="C6:D6"/>
    <mergeCell ref="C8:D8"/>
    <mergeCell ref="C9:D9"/>
    <mergeCell ref="C10:D10"/>
    <mergeCell ref="C11:D11"/>
    <mergeCell ref="C12:D12"/>
    <mergeCell ref="C13:D13"/>
    <mergeCell ref="C14:D14"/>
    <mergeCell ref="C48:D48"/>
    <mergeCell ref="C49:D49"/>
    <mergeCell ref="C50:D50"/>
    <mergeCell ref="C51:D51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C76:D76"/>
    <mergeCell ref="F76:I76"/>
    <mergeCell ref="C77:D77"/>
    <mergeCell ref="F77:I77"/>
    <mergeCell ref="F50:I50"/>
    <mergeCell ref="F51:I51"/>
    <mergeCell ref="F52:I52"/>
    <mergeCell ref="F53:I53"/>
    <mergeCell ref="C52:D52"/>
    <mergeCell ref="C53:D53"/>
    <mergeCell ref="H68:I68"/>
    <mergeCell ref="H67:I67"/>
    <mergeCell ref="H66:I66"/>
    <mergeCell ref="H72:I72"/>
    <mergeCell ref="H71:I71"/>
    <mergeCell ref="H70:I70"/>
    <mergeCell ref="H69:I69"/>
    <mergeCell ref="J66:K66"/>
    <mergeCell ref="J67:K67"/>
    <mergeCell ref="J68:K68"/>
    <mergeCell ref="J69:K69"/>
    <mergeCell ref="J70:K70"/>
    <mergeCell ref="C90:D90"/>
    <mergeCell ref="F90:I90"/>
    <mergeCell ref="C91:D91"/>
    <mergeCell ref="F91:I91"/>
    <mergeCell ref="H73:I73"/>
    <mergeCell ref="C87:D87"/>
    <mergeCell ref="F87:I87"/>
    <mergeCell ref="C88:D88"/>
    <mergeCell ref="F88:I88"/>
    <mergeCell ref="C89:D89"/>
    <mergeCell ref="F89:I89"/>
    <mergeCell ref="C84:D84"/>
    <mergeCell ref="F84:I84"/>
    <mergeCell ref="C85:D85"/>
    <mergeCell ref="F85:I85"/>
    <mergeCell ref="C86:D86"/>
    <mergeCell ref="F86:I86"/>
    <mergeCell ref="C81:D81"/>
    <mergeCell ref="F81:I81"/>
    <mergeCell ref="F99:H99"/>
    <mergeCell ref="F100:H100"/>
    <mergeCell ref="F101:H101"/>
    <mergeCell ref="F102:H102"/>
    <mergeCell ref="C99:D99"/>
    <mergeCell ref="C100:D100"/>
    <mergeCell ref="C101:D101"/>
    <mergeCell ref="C102:D102"/>
    <mergeCell ref="J71:K71"/>
    <mergeCell ref="J72:K72"/>
    <mergeCell ref="J73:K73"/>
    <mergeCell ref="A95:L95"/>
    <mergeCell ref="C82:D82"/>
    <mergeCell ref="F82:I82"/>
    <mergeCell ref="C83:D83"/>
    <mergeCell ref="F83:I83"/>
    <mergeCell ref="C78:D78"/>
    <mergeCell ref="F78:I78"/>
    <mergeCell ref="C79:D79"/>
    <mergeCell ref="F79:I79"/>
    <mergeCell ref="C80:D80"/>
    <mergeCell ref="F80:I80"/>
    <mergeCell ref="C75:D75"/>
    <mergeCell ref="F75:I75"/>
    <mergeCell ref="C135:D135"/>
    <mergeCell ref="C136:D136"/>
    <mergeCell ref="C137:D137"/>
    <mergeCell ref="F135:J135"/>
    <mergeCell ref="F136:J136"/>
    <mergeCell ref="F137:J137"/>
    <mergeCell ref="A104:L104"/>
    <mergeCell ref="A105:L105"/>
    <mergeCell ref="A121:L121"/>
    <mergeCell ref="A122:L122"/>
    <mergeCell ref="C134:D134"/>
    <mergeCell ref="F134:J134"/>
    <mergeCell ref="C144:D144"/>
    <mergeCell ref="C145:D145"/>
    <mergeCell ref="F138:J138"/>
    <mergeCell ref="F139:J139"/>
    <mergeCell ref="F140:J140"/>
    <mergeCell ref="F141:J141"/>
    <mergeCell ref="F142:J142"/>
    <mergeCell ref="C138:D138"/>
    <mergeCell ref="C139:D139"/>
    <mergeCell ref="C140:D140"/>
    <mergeCell ref="C141:D141"/>
    <mergeCell ref="C142:D142"/>
    <mergeCell ref="F247:G247"/>
    <mergeCell ref="F143:J143"/>
    <mergeCell ref="F144:J144"/>
    <mergeCell ref="A271:L271"/>
    <mergeCell ref="E270:G270"/>
    <mergeCell ref="E264:H264"/>
    <mergeCell ref="E265:H265"/>
    <mergeCell ref="E266:H266"/>
    <mergeCell ref="E267:H267"/>
    <mergeCell ref="E268:H268"/>
    <mergeCell ref="E269:H269"/>
    <mergeCell ref="A208:L208"/>
    <mergeCell ref="A209:L209"/>
    <mergeCell ref="A210:L210"/>
    <mergeCell ref="A211:L211"/>
    <mergeCell ref="A240:L240"/>
    <mergeCell ref="A147:L147"/>
    <mergeCell ref="A148:L148"/>
    <mergeCell ref="A149:L149"/>
    <mergeCell ref="A150:L150"/>
    <mergeCell ref="A182:L182"/>
    <mergeCell ref="A183:L183"/>
    <mergeCell ref="F145:J145"/>
    <mergeCell ref="C143:D143"/>
  </mergeCells>
  <printOptions headings="1" gridLines="1"/>
  <pageMargins left="0.7" right="0.7" top="0.75" bottom="0.75" header="0.3" footer="0.3"/>
  <pageSetup scale="75" orientation="portrait" r:id="rId1"/>
  <headerFooter>
    <oddHeader>&amp;L&amp;"Times New Roman,Bold"&amp;16Lab Work 1&amp;C&amp;"Times New Roman,Bold"&amp;14Nikhil Rana
191810 'B'</oddHeader>
  </headerFooter>
  <ignoredErrors>
    <ignoredError sqref="C63 A68 A127 B123 C241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2021-03-02T15:38:38Z</cp:lastPrinted>
  <dcterms:created xsi:type="dcterms:W3CDTF">2021-02-28T14:55:51Z</dcterms:created>
  <dcterms:modified xsi:type="dcterms:W3CDTF">2021-04-06T16:07:31Z</dcterms:modified>
</cp:coreProperties>
</file>