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meg\Desktop\"/>
    </mc:Choice>
  </mc:AlternateContent>
  <xr:revisionPtr revIDLastSave="0" documentId="13_ncr:1_{1600C473-B3CC-4F71-B898-28CA1B190085}" xr6:coauthVersionLast="47" xr6:coauthVersionMax="47" xr10:uidLastSave="{00000000-0000-0000-0000-000000000000}"/>
  <bookViews>
    <workbookView xWindow="-108" yWindow="-108" windowWidth="23256" windowHeight="12456" xr2:uid="{6EA6E7F4-DA9B-46D3-8E96-6811088A464C}"/>
  </bookViews>
  <sheets>
    <sheet name="Financial Analysis" sheetId="4" r:id="rId1"/>
    <sheet name="Sheet8" sheetId="8" state="hidden" r:id="rId2"/>
    <sheet name="Data" sheetId="5" state="hidden" r:id="rId3"/>
  </sheet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I11" i="4"/>
  <c r="J11" i="4"/>
  <c r="H11" i="4"/>
  <c r="G11" i="4"/>
  <c r="I15" i="4"/>
  <c r="J15" i="4"/>
  <c r="K15" i="4"/>
  <c r="H15" i="4"/>
  <c r="G15" i="4"/>
  <c r="F15" i="4"/>
  <c r="E15" i="4"/>
  <c r="J13" i="4"/>
  <c r="I13" i="4"/>
  <c r="K13" i="4"/>
  <c r="H13" i="4"/>
  <c r="K7" i="4"/>
  <c r="K9" i="4" s="1"/>
  <c r="J7" i="4"/>
  <c r="J8" i="4" s="1"/>
  <c r="I7" i="4"/>
  <c r="I9" i="4" s="1"/>
  <c r="H7" i="4"/>
  <c r="H8" i="4" s="1"/>
  <c r="G7" i="4"/>
  <c r="F7" i="4"/>
  <c r="F8" i="4" s="1"/>
  <c r="F12" i="4" s="1"/>
  <c r="E7" i="4"/>
  <c r="E20" i="4" s="1"/>
  <c r="E21" i="4" s="1"/>
  <c r="D7" i="4"/>
  <c r="D8" i="4" s="1"/>
  <c r="D13" i="4" s="1"/>
  <c r="C29" i="8"/>
  <c r="E5" i="5"/>
  <c r="E6" i="5" s="1"/>
  <c r="E8" i="5" s="1"/>
  <c r="E9" i="5" s="1"/>
  <c r="E10" i="5" s="1"/>
  <c r="E11" i="5" s="1"/>
  <c r="E15" i="5" s="1"/>
  <c r="D4" i="5"/>
  <c r="C5" i="5"/>
  <c r="C6" i="5" s="1"/>
  <c r="E5" i="4"/>
  <c r="F5" i="4" s="1"/>
  <c r="G5" i="4" s="1"/>
  <c r="H5" i="4" s="1"/>
  <c r="I5" i="4" s="1"/>
  <c r="J5" i="4" s="1"/>
  <c r="K5" i="4" s="1"/>
  <c r="C7" i="8"/>
  <c r="C8" i="8"/>
  <c r="C9" i="8"/>
  <c r="C10" i="8"/>
  <c r="F11" i="4" l="1"/>
  <c r="D11" i="4"/>
  <c r="H12" i="4"/>
  <c r="J9" i="4"/>
  <c r="J19" i="4"/>
  <c r="J20" i="4"/>
  <c r="J21" i="4" s="1"/>
  <c r="J12" i="4"/>
  <c r="J14" i="4"/>
  <c r="H14" i="4"/>
  <c r="F13" i="4"/>
  <c r="F14" i="4"/>
  <c r="D15" i="4"/>
  <c r="D12" i="4"/>
  <c r="D14" i="4"/>
  <c r="D19" i="4"/>
  <c r="D20" i="4"/>
  <c r="D21" i="4" s="1"/>
  <c r="K8" i="4"/>
  <c r="K19" i="4"/>
  <c r="K20" i="4"/>
  <c r="K21" i="4" s="1"/>
  <c r="I8" i="4"/>
  <c r="I19" i="4"/>
  <c r="I20" i="4"/>
  <c r="I21" i="4" s="1"/>
  <c r="H19" i="4"/>
  <c r="H9" i="4"/>
  <c r="H20" i="4"/>
  <c r="H21" i="4" s="1"/>
  <c r="G20" i="4"/>
  <c r="G21" i="4" s="1"/>
  <c r="G8" i="4"/>
  <c r="G9" i="4"/>
  <c r="G19" i="4"/>
  <c r="F19" i="4"/>
  <c r="F20" i="4"/>
  <c r="F21" i="4" s="1"/>
  <c r="F9" i="4"/>
  <c r="E8" i="4"/>
  <c r="E11" i="4" s="1"/>
  <c r="E19" i="4"/>
  <c r="E9" i="4"/>
  <c r="D9" i="4"/>
  <c r="D5" i="5"/>
  <c r="C7" i="5"/>
  <c r="D6" i="5"/>
  <c r="D10" i="8"/>
  <c r="D9" i="8"/>
  <c r="E7" i="8"/>
  <c r="E10" i="8"/>
  <c r="D8" i="8"/>
  <c r="D7" i="8"/>
  <c r="E8" i="8"/>
  <c r="E9" i="8"/>
  <c r="J17" i="4" l="1"/>
  <c r="J23" i="4" s="1"/>
  <c r="J24" i="4" s="1"/>
  <c r="J25" i="4" s="1"/>
  <c r="D17" i="4"/>
  <c r="D23" i="4" s="1"/>
  <c r="D24" i="4" s="1"/>
  <c r="D25" i="4" s="1"/>
  <c r="H17" i="4"/>
  <c r="H23" i="4" s="1"/>
  <c r="H24" i="4" s="1"/>
  <c r="H25" i="4" s="1"/>
  <c r="F17" i="4"/>
  <c r="F23" i="4" s="1"/>
  <c r="F24" i="4" s="1"/>
  <c r="F25" i="4" s="1"/>
  <c r="K12" i="4"/>
  <c r="K14" i="4"/>
  <c r="I14" i="4"/>
  <c r="I12" i="4"/>
  <c r="G12" i="4"/>
  <c r="G13" i="4"/>
  <c r="G14" i="4"/>
  <c r="E13" i="4"/>
  <c r="E17" i="4" s="1"/>
  <c r="E23" i="4" s="1"/>
  <c r="E24" i="4" s="1"/>
  <c r="E25" i="4" s="1"/>
  <c r="E12" i="4"/>
  <c r="E14" i="4"/>
  <c r="C8" i="5"/>
  <c r="D7" i="5"/>
  <c r="D18" i="4" l="1"/>
  <c r="J18" i="4"/>
  <c r="H18" i="4"/>
  <c r="F18" i="4"/>
  <c r="I17" i="4"/>
  <c r="I23" i="4" s="1"/>
  <c r="I24" i="4" s="1"/>
  <c r="I25" i="4" s="1"/>
  <c r="K17" i="4"/>
  <c r="K23" i="4" s="1"/>
  <c r="K24" i="4" s="1"/>
  <c r="K25" i="4" s="1"/>
  <c r="E18" i="4"/>
  <c r="G17" i="4"/>
  <c r="G23" i="4" s="1"/>
  <c r="G24" i="4" s="1"/>
  <c r="G25" i="4" s="1"/>
  <c r="C9" i="5"/>
  <c r="D8" i="5"/>
  <c r="I18" i="4" l="1"/>
  <c r="K18" i="4"/>
  <c r="G18" i="4"/>
  <c r="C10" i="5"/>
  <c r="D9" i="5"/>
  <c r="C11" i="5" l="1"/>
  <c r="D10" i="5"/>
  <c r="C12" i="5" l="1"/>
  <c r="D11" i="5"/>
  <c r="C13" i="5" l="1"/>
  <c r="D12" i="5"/>
  <c r="C14" i="5" l="1"/>
  <c r="D13" i="5"/>
  <c r="C15" i="5" l="1"/>
  <c r="D14" i="5"/>
  <c r="D15" i="5" l="1"/>
  <c r="D16" i="5"/>
  <c r="B39" i="5"/>
  <c r="C16" i="5"/>
  <c r="E16" i="5" s="1"/>
  <c r="C39" i="5" l="1"/>
  <c r="B38" i="5"/>
  <c r="B37" i="5" l="1"/>
  <c r="C38" i="5"/>
  <c r="C37" i="5" l="1"/>
  <c r="B36" i="5"/>
  <c r="B35" i="5" l="1"/>
  <c r="C35" i="5" s="1"/>
  <c r="C36" i="5"/>
</calcChain>
</file>

<file path=xl/sharedStrings.xml><?xml version="1.0" encoding="utf-8"?>
<sst xmlns="http://schemas.openxmlformats.org/spreadsheetml/2006/main" count="112" uniqueCount="59">
  <si>
    <t>Key Financials</t>
  </si>
  <si>
    <t>Revenue</t>
  </si>
  <si>
    <t>Revenues</t>
  </si>
  <si>
    <t>Gross Margin</t>
  </si>
  <si>
    <t>Gross Margin %</t>
  </si>
  <si>
    <t>Direct Costs</t>
  </si>
  <si>
    <t>$112,500</t>
  </si>
  <si>
    <t>Operating Expenses</t>
  </si>
  <si>
    <t>Salaries &amp; Wages</t>
  </si>
  <si>
    <t>Employee Related Expenses</t>
  </si>
  <si>
    <t>Rent</t>
  </si>
  <si>
    <t>Marketing</t>
  </si>
  <si>
    <t>Utilities</t>
  </si>
  <si>
    <t>Amortization of Other Current Assets</t>
  </si>
  <si>
    <t>Total Operating Expenses</t>
  </si>
  <si>
    <t>Operating Income</t>
  </si>
  <si>
    <t>Interest Incurred</t>
  </si>
  <si>
    <t>Depreciation and Amortization</t>
  </si>
  <si>
    <t>Gain or Loss from Sale of Assets</t>
  </si>
  <si>
    <t>Income Taxes</t>
  </si>
  <si>
    <t>Total Expenses</t>
  </si>
  <si>
    <t>Net Profit</t>
  </si>
  <si>
    <t>Net Profit/Sales</t>
  </si>
  <si>
    <t>$378,000</t>
  </si>
  <si>
    <t>$129,000</t>
  </si>
  <si>
    <t>Actuals</t>
  </si>
  <si>
    <t>Projected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</si>
  <si>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</si>
  <si>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</si>
  <si>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</si>
  <si>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</si>
  <si>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</si>
  <si>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</si>
  <si>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</si>
  <si>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</si>
  <si>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</si>
  <si>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</si>
  <si>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</si>
  <si>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</si>
  <si>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</si>
  <si>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</si>
  <si>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Costss</t>
  </si>
  <si>
    <t>Months</t>
  </si>
  <si>
    <t>Years</t>
  </si>
  <si>
    <t>Sum of Costss</t>
  </si>
  <si>
    <t>Margin</t>
  </si>
  <si>
    <t>Revenue By Month Current Year</t>
  </si>
  <si>
    <t>Revenue to Cost By Month Current Year</t>
  </si>
  <si>
    <t>CoGS</t>
  </si>
  <si>
    <t>Revenue By Business Category</t>
  </si>
  <si>
    <t>Revenue Historic and Projections</t>
  </si>
  <si>
    <t>Revenue Dummy Data</t>
  </si>
  <si>
    <t>Forecast(Revenues)</t>
  </si>
  <si>
    <t>Lower Confidence Bound(Revenues)</t>
  </si>
  <si>
    <t>Upper Confidence Bound(Revenues)</t>
  </si>
  <si>
    <t>Appliances</t>
  </si>
  <si>
    <t>Luggage</t>
  </si>
  <si>
    <t>M&amp;E</t>
  </si>
  <si>
    <t>Financial Over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</si>
</sst>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$-C09]#,##0"/>
    <numFmt numFmtId="173" formatCode="[$$-C09]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mbria"/>
      <family val="1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mbria"/>
      <family val="1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7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221F1F"/>
        <bgColor indexed="64"/>
      </patternFill>
    </fill>
    <fill>
      <patternFill patternType="solid">
        <fgColor rgb="FFFF9C00"/>
        <bgColor indexed="64"/>
      </patternFill>
    </fill>
    <fill>
      <patternFill patternType="solid">
        <fgColor rgb="FF00A8E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3" fontId="0" fillId="0" borderId="0" xfId="0" applyNumberFormat="1"/>
    <xf numFmtId="173" fontId="0" fillId="0" borderId="0" xfId="0" applyNumberFormat="1"/>
    <xf numFmtId="0" fontId="0" fillId="0" borderId="0" xfId="0" applyFill="1" applyAlignment="1"/>
    <xf numFmtId="0" fontId="2" fillId="0" borderId="1" xfId="0" applyFont="1" applyBorder="1"/>
    <xf numFmtId="0" fontId="6" fillId="2" borderId="4" xfId="0" applyFont="1" applyFill="1" applyBorder="1" applyAlignment="1">
      <alignment horizontal="left" indent="1"/>
    </xf>
    <xf numFmtId="0" fontId="7" fillId="2" borderId="0" xfId="0" applyFont="1" applyFill="1" applyBorder="1" applyAlignment="1"/>
    <xf numFmtId="0" fontId="7" fillId="2" borderId="5" xfId="0" applyFont="1" applyFill="1" applyBorder="1" applyAlignment="1"/>
    <xf numFmtId="0" fontId="8" fillId="0" borderId="4" xfId="0" applyFont="1" applyBorder="1" applyAlignment="1">
      <alignment horizontal="left" indent="9"/>
    </xf>
    <xf numFmtId="171" fontId="8" fillId="0" borderId="0" xfId="0" applyNumberFormat="1" applyFont="1" applyBorder="1"/>
    <xf numFmtId="171" fontId="8" fillId="0" borderId="5" xfId="0" applyNumberFormat="1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1" fontId="8" fillId="0" borderId="13" xfId="0" applyNumberFormat="1" applyFont="1" applyBorder="1"/>
    <xf numFmtId="171" fontId="8" fillId="0" borderId="14" xfId="0" applyNumberFormat="1" applyFont="1" applyBorder="1"/>
    <xf numFmtId="9" fontId="8" fillId="0" borderId="10" xfId="0" applyNumberFormat="1" applyFont="1" applyBorder="1"/>
    <xf numFmtId="9" fontId="8" fillId="0" borderId="11" xfId="0" applyNumberFormat="1" applyFont="1" applyBorder="1"/>
    <xf numFmtId="171" fontId="8" fillId="0" borderId="10" xfId="0" applyNumberFormat="1" applyFont="1" applyBorder="1"/>
    <xf numFmtId="171" fontId="8" fillId="0" borderId="11" xfId="0" applyNumberFormat="1" applyFont="1" applyBorder="1"/>
    <xf numFmtId="171" fontId="11" fillId="0" borderId="0" xfId="0" applyNumberFormat="1" applyFont="1" applyBorder="1"/>
    <xf numFmtId="171" fontId="11" fillId="0" borderId="5" xfId="0" applyNumberFormat="1" applyFont="1" applyBorder="1"/>
    <xf numFmtId="0" fontId="10" fillId="0" borderId="21" xfId="0" applyFont="1" applyBorder="1" applyAlignment="1">
      <alignment horizontal="left" vertical="center"/>
    </xf>
    <xf numFmtId="0" fontId="11" fillId="0" borderId="12" xfId="0" applyFont="1" applyBorder="1" applyAlignment="1">
      <alignment horizontal="left" indent="1"/>
    </xf>
    <xf numFmtId="0" fontId="10" fillId="0" borderId="15" xfId="0" applyFont="1" applyBorder="1" applyAlignment="1">
      <alignment horizontal="left"/>
    </xf>
    <xf numFmtId="171" fontId="10" fillId="0" borderId="16" xfId="0" applyNumberFormat="1" applyFont="1" applyBorder="1"/>
    <xf numFmtId="171" fontId="10" fillId="0" borderId="17" xfId="0" applyNumberFormat="1" applyFont="1" applyBorder="1"/>
    <xf numFmtId="0" fontId="12" fillId="0" borderId="9" xfId="0" applyFont="1" applyBorder="1" applyAlignment="1">
      <alignment horizontal="left"/>
    </xf>
    <xf numFmtId="171" fontId="12" fillId="0" borderId="10" xfId="0" applyNumberFormat="1" applyFont="1" applyBorder="1"/>
    <xf numFmtId="171" fontId="12" fillId="0" borderId="11" xfId="0" applyNumberFormat="1" applyFont="1" applyBorder="1"/>
    <xf numFmtId="0" fontId="12" fillId="0" borderId="18" xfId="0" applyFont="1" applyBorder="1" applyAlignment="1">
      <alignment horizontal="left"/>
    </xf>
    <xf numFmtId="171" fontId="12" fillId="0" borderId="19" xfId="0" applyNumberFormat="1" applyFont="1" applyBorder="1"/>
    <xf numFmtId="171" fontId="12" fillId="0" borderId="20" xfId="0" applyNumberFormat="1" applyFont="1" applyBorder="1"/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9" fontId="12" fillId="0" borderId="7" xfId="1" applyFont="1" applyBorder="1"/>
    <xf numFmtId="9" fontId="12" fillId="0" borderId="8" xfId="1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 applyAlignment="1"/>
    <xf numFmtId="0" fontId="0" fillId="0" borderId="6" xfId="0" applyFill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numFmt numFmtId="173" formatCode="[$$-C09]#,##0.00"/>
    </dxf>
    <dxf>
      <numFmt numFmtId="173" formatCode="[$$-C09]#,##0.00"/>
    </dxf>
    <dxf>
      <numFmt numFmtId="173" formatCode="[$$-C09]#,##0.00"/>
    </dxf>
    <dxf>
      <numFmt numFmtId="3" formatCode="#,##0"/>
    </dxf>
  </dxfs>
  <tableStyles count="0" defaultTableStyle="TableStyleMedium2" defaultPivotStyle="PivotStyleLight16"/>
  <colors>
    <mruColors>
      <color rgb="FFFF9C00"/>
      <color rgb="FF00A8E1"/>
      <color rgb="FF2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Analysis.xlsx]Data!PivotTable7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rgbClr val="221F1F"/>
              </a:gs>
              <a:gs pos="34000">
                <a:srgbClr val="00A8E1"/>
              </a:gs>
              <a:gs pos="83000">
                <a:srgbClr val="FF9C00"/>
              </a:gs>
              <a:gs pos="100000">
                <a:srgbClr val="FF9C00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rgbClr val="00A8E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7"/>
          <c:spPr>
            <a:noFill/>
            <a:ln w="9525">
              <a:solidFill>
                <a:srgbClr val="221F1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48390859744683"/>
          <c:y val="0.15277777777777779"/>
          <c:w val="0.77313779997930365"/>
          <c:h val="0.762263414989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rgbClr val="221F1F"/>
                </a:gs>
                <a:gs pos="34000">
                  <a:srgbClr val="00A8E1"/>
                </a:gs>
                <a:gs pos="83000">
                  <a:srgbClr val="FF9C00"/>
                </a:gs>
                <a:gs pos="100000">
                  <a:srgbClr val="FF9C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Data!$H$4:$H$16</c:f>
              <c:numCache>
                <c:formatCode>#,##0</c:formatCode>
                <c:ptCount val="12"/>
                <c:pt idx="0">
                  <c:v>100000</c:v>
                </c:pt>
                <c:pt idx="1">
                  <c:v>110000.00000000001</c:v>
                </c:pt>
                <c:pt idx="2">
                  <c:v>121000.00000000003</c:v>
                </c:pt>
                <c:pt idx="3">
                  <c:v>133100.00000000003</c:v>
                </c:pt>
                <c:pt idx="4">
                  <c:v>146410.00000000006</c:v>
                </c:pt>
                <c:pt idx="5">
                  <c:v>161051.00000000009</c:v>
                </c:pt>
                <c:pt idx="6">
                  <c:v>177156.10000000012</c:v>
                </c:pt>
                <c:pt idx="7">
                  <c:v>194871.71000000014</c:v>
                </c:pt>
                <c:pt idx="8">
                  <c:v>214358.88100000017</c:v>
                </c:pt>
                <c:pt idx="9">
                  <c:v>235794.76910000021</c:v>
                </c:pt>
                <c:pt idx="10">
                  <c:v>259374.24601000026</c:v>
                </c:pt>
                <c:pt idx="11">
                  <c:v>285311.67061100033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0-4EE1-B1F4-77BC9FA3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34330031"/>
        <c:axId val="1703662671"/>
      </c:barChart>
      <c:lineChart>
        <c:grouping val="standard"/>
        <c:varyColors val="0"/>
        <c:ser>
          <c:idx val="1"/>
          <c:order val="1"/>
          <c:tx>
            <c:strRef>
              <c:f>Data!$I$3</c:f>
              <c:strCache>
                <c:ptCount val="1"/>
                <c:pt idx="0">
                  <c:v>Margin</c:v>
                </c:pt>
              </c:strCache>
            </c:strRef>
          </c:tx>
          <c:spPr>
            <a:ln w="15875" cap="rnd">
              <a:solidFill>
                <a:srgbClr val="00A8E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7"/>
            <c:spPr>
              <a:noFill/>
              <a:ln w="9525">
                <a:solidFill>
                  <a:srgbClr val="221F1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Data!$G$4:$G$16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Data!$I$4:$I$16</c:f>
              <c:numCache>
                <c:formatCode>0%</c:formatCode>
                <c:ptCount val="12"/>
                <c:pt idx="0">
                  <c:v>0.4</c:v>
                </c:pt>
                <c:pt idx="1">
                  <c:v>0.39</c:v>
                </c:pt>
                <c:pt idx="2">
                  <c:v>0.38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0.27999999999999997</c:v>
                </c:pt>
                <c:pt idx="6">
                  <c:v>0.26999999999999996</c:v>
                </c:pt>
                <c:pt idx="7">
                  <c:v>0.25999999999999995</c:v>
                </c:pt>
                <c:pt idx="8">
                  <c:v>0.26</c:v>
                </c:pt>
                <c:pt idx="9">
                  <c:v>0.27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4EE1-B1F4-77BC9FA3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863215"/>
        <c:axId val="1902686799"/>
      </c:lineChart>
      <c:catAx>
        <c:axId val="16343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62671"/>
        <c:crosses val="autoZero"/>
        <c:auto val="1"/>
        <c:lblAlgn val="ctr"/>
        <c:lblOffset val="100"/>
        <c:noMultiLvlLbl val="0"/>
      </c:catAx>
      <c:valAx>
        <c:axId val="170366267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30031"/>
        <c:crosses val="autoZero"/>
        <c:crossBetween val="between"/>
      </c:valAx>
      <c:valAx>
        <c:axId val="19026867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63215"/>
        <c:crosses val="max"/>
        <c:crossBetween val="between"/>
      </c:valAx>
      <c:catAx>
        <c:axId val="1699863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2686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08486439195101"/>
          <c:y val="3.2985564304461944E-2"/>
          <c:w val="0.74029294725256112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Analysis.xlsx]Data!PivotTable8</c:name>
    <c:fmtId val="1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rgbClr val="221F1F"/>
              </a:gs>
              <a:gs pos="34000">
                <a:srgbClr val="00A8E1"/>
              </a:gs>
              <a:gs pos="83000">
                <a:srgbClr val="FF9C00"/>
              </a:gs>
              <a:gs pos="100000">
                <a:srgbClr val="FF9C00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rgbClr val="00A8E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7"/>
          <c:spPr>
            <a:solidFill>
              <a:schemeClr val="bg1"/>
            </a:solidFill>
            <a:ln w="9525">
              <a:solidFill>
                <a:srgbClr val="221F1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16719551847064"/>
          <c:y val="0.14035087719298245"/>
          <c:w val="0.83694206134680926"/>
          <c:h val="0.7739676169287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Data!$H$18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rgbClr val="221F1F"/>
                </a:gs>
                <a:gs pos="34000">
                  <a:srgbClr val="00A8E1"/>
                </a:gs>
                <a:gs pos="83000">
                  <a:srgbClr val="FF9C00"/>
                </a:gs>
                <a:gs pos="100000">
                  <a:srgbClr val="FF9C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Data!$G$19:$G$31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Data!$H$19:$H$31</c:f>
              <c:numCache>
                <c:formatCode>#,##0</c:formatCode>
                <c:ptCount val="12"/>
                <c:pt idx="0">
                  <c:v>100000</c:v>
                </c:pt>
                <c:pt idx="1">
                  <c:v>110000.00000000001</c:v>
                </c:pt>
                <c:pt idx="2">
                  <c:v>121000.00000000003</c:v>
                </c:pt>
                <c:pt idx="3">
                  <c:v>133100.00000000003</c:v>
                </c:pt>
                <c:pt idx="4">
                  <c:v>146410.00000000006</c:v>
                </c:pt>
                <c:pt idx="5">
                  <c:v>161051.00000000009</c:v>
                </c:pt>
                <c:pt idx="6">
                  <c:v>177156.10000000012</c:v>
                </c:pt>
                <c:pt idx="7">
                  <c:v>194871.71000000014</c:v>
                </c:pt>
                <c:pt idx="8">
                  <c:v>214358.88100000017</c:v>
                </c:pt>
                <c:pt idx="9">
                  <c:v>235794.76910000021</c:v>
                </c:pt>
                <c:pt idx="10">
                  <c:v>259374.24601000026</c:v>
                </c:pt>
                <c:pt idx="11">
                  <c:v>285311.67061100033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AC-BBD7-CFB411B6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3097151"/>
        <c:axId val="1731693407"/>
      </c:barChart>
      <c:lineChart>
        <c:grouping val="standard"/>
        <c:varyColors val="0"/>
        <c:ser>
          <c:idx val="1"/>
          <c:order val="1"/>
          <c:tx>
            <c:strRef>
              <c:f>Data!$I$18</c:f>
              <c:strCache>
                <c:ptCount val="1"/>
                <c:pt idx="0">
                  <c:v>CoGS</c:v>
                </c:pt>
              </c:strCache>
            </c:strRef>
          </c:tx>
          <c:spPr>
            <a:ln w="15875" cap="rnd">
              <a:solidFill>
                <a:srgbClr val="00A8E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bg1"/>
              </a:solidFill>
              <a:ln w="9525">
                <a:solidFill>
                  <a:srgbClr val="221F1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Data!$G$19:$G$31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Data!$I$19:$I$31</c:f>
              <c:numCache>
                <c:formatCode>General</c:formatCode>
                <c:ptCount val="12"/>
                <c:pt idx="0">
                  <c:v>60000</c:v>
                </c:pt>
                <c:pt idx="1">
                  <c:v>67100.000000000015</c:v>
                </c:pt>
                <c:pt idx="2">
                  <c:v>75020.000000000015</c:v>
                </c:pt>
                <c:pt idx="3">
                  <c:v>93170.000000000015</c:v>
                </c:pt>
                <c:pt idx="4">
                  <c:v>103951.10000000003</c:v>
                </c:pt>
                <c:pt idx="5">
                  <c:v>115956.72000000006</c:v>
                </c:pt>
                <c:pt idx="6">
                  <c:v>129323.95300000008</c:v>
                </c:pt>
                <c:pt idx="7">
                  <c:v>144205.06540000011</c:v>
                </c:pt>
                <c:pt idx="8">
                  <c:v>158625.57194000011</c:v>
                </c:pt>
                <c:pt idx="9">
                  <c:v>172130.18144300015</c:v>
                </c:pt>
                <c:pt idx="10">
                  <c:v>189343.19958730019</c:v>
                </c:pt>
                <c:pt idx="11">
                  <c:v>211130.63625214025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7-4DAC-BBD7-CFB411B6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80847"/>
        <c:axId val="31372751"/>
      </c:lineChart>
      <c:catAx>
        <c:axId val="19030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93407"/>
        <c:crosses val="autoZero"/>
        <c:auto val="1"/>
        <c:lblAlgn val="ctr"/>
        <c:lblOffset val="100"/>
        <c:noMultiLvlLbl val="0"/>
      </c:catAx>
      <c:valAx>
        <c:axId val="173169340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97151"/>
        <c:crosses val="autoZero"/>
        <c:crossBetween val="between"/>
      </c:valAx>
      <c:valAx>
        <c:axId val="313727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80847"/>
        <c:crosses val="max"/>
        <c:crossBetween val="between"/>
      </c:valAx>
      <c:catAx>
        <c:axId val="1792180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372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410428174090177"/>
          <c:y val="1.8461404235827852E-3"/>
          <c:w val="0.46977631527402358"/>
          <c:h val="0.12465461207930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5414393733699"/>
          <c:y val="2.2434690320014074E-2"/>
          <c:w val="0.89784585606266298"/>
          <c:h val="0.87195762634616969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Revenues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Sheet8!$B$2:$B$10</c:f>
              <c:numCache>
                <c:formatCode>[$$-C09]#,##0.00</c:formatCode>
                <c:ptCount val="9"/>
                <c:pt idx="0">
                  <c:v>1037351.6055473576</c:v>
                </c:pt>
                <c:pt idx="1">
                  <c:v>1481930.8650676538</c:v>
                </c:pt>
                <c:pt idx="2">
                  <c:v>1347209.8773342306</c:v>
                </c:pt>
                <c:pt idx="3">
                  <c:v>1924585.5390489011</c:v>
                </c:pt>
                <c:pt idx="4">
                  <c:v>2138428.3767210012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DC5-8FAA-DF658FBCEBF0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Forecast(Revenues)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Sheet8!$C$2:$C$10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2553441.9333955985</c:v>
                </c:pt>
                <c:pt idx="6" formatCode="[$$-C09]#,##0.00">
                  <c:v>2536047.5348326806</c:v>
                </c:pt>
                <c:pt idx="7" formatCode="[$$-C09]#,##0.00">
                  <c:v>3070660.242912862</c:v>
                </c:pt>
                <c:pt idx="8" formatCode="[$$-C09]#,##0.00">
                  <c:v>3053265.844349944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DC5-8FAA-DF658FBCEBF0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Bound(Revenues)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Sheet8!$D$2:$D$10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2309990.8092867197</c:v>
                </c:pt>
                <c:pt idx="6" formatCode="[$$-C09]#,##0.00">
                  <c:v>2284985.3244786067</c:v>
                </c:pt>
                <c:pt idx="7" formatCode="[$$-C09]#,##0.00">
                  <c:v>2812094.9769216664</c:v>
                </c:pt>
                <c:pt idx="8" formatCode="[$$-C09]#,##0.00">
                  <c:v>2787409.1910829591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4DC5-8FAA-DF658FBCEBF0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Bound(Revenues)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Sheet8!$E$2:$E$10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2796893.0575044774</c:v>
                </c:pt>
                <c:pt idx="6" formatCode="[$$-C09]#,##0.00">
                  <c:v>2787109.7451867545</c:v>
                </c:pt>
                <c:pt idx="7" formatCode="[$$-C09]#,##0.00">
                  <c:v>3329225.5089040576</c:v>
                </c:pt>
                <c:pt idx="8" formatCode="[$$-C09]#,##0.00">
                  <c:v>3319122.497616929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B-4DC5-8FAA-DF658FBC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03823"/>
        <c:axId val="32492303"/>
      </c:lineChart>
      <c:catAx>
        <c:axId val="16946038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03"/>
        <c:crosses val="autoZero"/>
        <c:auto val="1"/>
        <c:lblAlgn val="ctr"/>
        <c:lblOffset val="100"/>
        <c:noMultiLvlLbl val="0"/>
      </c:catAx>
      <c:valAx>
        <c:axId val="32492303"/>
        <c:scaling>
          <c:orientation val="minMax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8262615292158E-5"/>
          <c:y val="0.68178281947882269"/>
          <c:w val="0.99993561737384684"/>
          <c:h val="0.21053066698510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426071741033"/>
          <c:y val="5.0925925925925923E-2"/>
          <c:w val="0.83953018372703414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Data!$B$44</c:f>
              <c:strCache>
                <c:ptCount val="1"/>
                <c:pt idx="0">
                  <c:v>Appliances</c:v>
                </c:pt>
              </c:strCache>
            </c:strRef>
          </c:tx>
          <c:spPr>
            <a:ln w="12700" cap="rnd">
              <a:solidFill>
                <a:srgbClr val="00A8E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Data!$A$45:$A$52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Data!$B$45:$B$52</c:f>
              <c:numCache>
                <c:formatCode>General</c:formatCode>
                <c:ptCount val="8"/>
                <c:pt idx="0">
                  <c:v>414940.64221894305</c:v>
                </c:pt>
                <c:pt idx="1">
                  <c:v>444579.25952029612</c:v>
                </c:pt>
                <c:pt idx="2">
                  <c:v>471523.45706698066</c:v>
                </c:pt>
                <c:pt idx="3">
                  <c:v>866063.49257200549</c:v>
                </c:pt>
                <c:pt idx="4">
                  <c:v>1069214.1883605006</c:v>
                </c:pt>
                <c:pt idx="5">
                  <c:v>842635.83802054753</c:v>
                </c:pt>
                <c:pt idx="6">
                  <c:v>938337.5878880918</c:v>
                </c:pt>
                <c:pt idx="7">
                  <c:v>1105437.6874486303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E-43D8-A396-1DF1E9BC6AA1}"/>
            </c:ext>
          </c:extLst>
        </c:ser>
        <c:ser>
          <c:idx val="1"/>
          <c:order val="1"/>
          <c:tx>
            <c:strRef>
              <c:f>Data!$C$44</c:f>
              <c:strCache>
                <c:ptCount val="1"/>
                <c:pt idx="0">
                  <c:v>Luggage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Data!$A$45:$A$52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Data!$C$45:$C$52</c:f>
              <c:numCache>
                <c:formatCode>General</c:formatCode>
                <c:ptCount val="8"/>
                <c:pt idx="0">
                  <c:v>311205.48166420724</c:v>
                </c:pt>
                <c:pt idx="1">
                  <c:v>474217.87682164914</c:v>
                </c:pt>
                <c:pt idx="2">
                  <c:v>417635.06197361147</c:v>
                </c:pt>
                <c:pt idx="3">
                  <c:v>288687.83085733518</c:v>
                </c:pt>
                <c:pt idx="4">
                  <c:v>235227.12143931011</c:v>
                </c:pt>
                <c:pt idx="5">
                  <c:v>893704.67668845924</c:v>
                </c:pt>
                <c:pt idx="6">
                  <c:v>684732.83440482384</c:v>
                </c:pt>
                <c:pt idx="7">
                  <c:v>1013317.8801612445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E-43D8-A396-1DF1E9BC6AA1}"/>
            </c:ext>
          </c:extLst>
        </c:ser>
        <c:ser>
          <c:idx val="2"/>
          <c:order val="2"/>
          <c:tx>
            <c:strRef>
              <c:f>Data!$D$44</c:f>
              <c:strCache>
                <c:ptCount val="1"/>
                <c:pt idx="0">
                  <c:v>M&amp;E</c:v>
                </c:pt>
              </c:strCache>
            </c:strRef>
          </c:tx>
          <c:spPr>
            <a:ln w="12700" cap="rnd">
              <a:solidFill>
                <a:srgbClr val="FF9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Data!$A$45:$A$52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cat>
          <c:val>
            <c:numRef>
              <c:f>Data!$D$45:$D$52</c:f>
              <c:numCache>
                <c:formatCode>General</c:formatCode>
                <c:ptCount val="8"/>
                <c:pt idx="0">
                  <c:v>311205.48166420724</c:v>
                </c:pt>
                <c:pt idx="1">
                  <c:v>563133.72872570844</c:v>
                </c:pt>
                <c:pt idx="2">
                  <c:v>458051.35829363845</c:v>
                </c:pt>
                <c:pt idx="3">
                  <c:v>769834.21561956045</c:v>
                </c:pt>
                <c:pt idx="4">
                  <c:v>833987.06692119048</c:v>
                </c:pt>
                <c:pt idx="5">
                  <c:v>817101.41868659155</c:v>
                </c:pt>
                <c:pt idx="6">
                  <c:v>912977.11253976496</c:v>
                </c:pt>
                <c:pt idx="7">
                  <c:v>951904.67530298722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E-43D8-A396-1DF1E9BC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61007"/>
        <c:axId val="36497151"/>
      </c:lineChart>
      <c:catAx>
        <c:axId val="9945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7151"/>
        <c:crosses val="autoZero"/>
        <c:auto val="1"/>
        <c:lblAlgn val="ctr"/>
        <c:lblOffset val="100"/>
        <c:noMultiLvlLbl val="0"/>
      </c:catAx>
      <c:valAx>
        <c:axId val="36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2.76888560327339E-2"/>
          <c:w val="0.99843219780581816"/>
          <c:h val="0.12907167990464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Sheet8!$B$2:$B$10</c:f>
              <c:numCache>
                <c:formatCode>[$$-C09]#,##0.00</c:formatCode>
                <c:ptCount val="9"/>
                <c:pt idx="0">
                  <c:v>1037351.6055473576</c:v>
                </c:pt>
                <c:pt idx="1">
                  <c:v>1481930.8650676538</c:v>
                </c:pt>
                <c:pt idx="2">
                  <c:v>1347209.8773342306</c:v>
                </c:pt>
                <c:pt idx="3">
                  <c:v>1924585.5390489011</c:v>
                </c:pt>
                <c:pt idx="4">
                  <c:v>2138428.3767210012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A-46BA-BF60-90D52D9DA2E7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Forecast(Revenues)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Sheet8!$C$2:$C$10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2553441.9333955985</c:v>
                </c:pt>
                <c:pt idx="6" formatCode="[$$-C09]#,##0.00">
                  <c:v>2536047.5348326806</c:v>
                </c:pt>
                <c:pt idx="7" formatCode="[$$-C09]#,##0.00">
                  <c:v>3070660.242912862</c:v>
                </c:pt>
                <c:pt idx="8" formatCode="[$$-C09]#,##0.00">
                  <c:v>3053265.844349944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A-46BA-BF60-90D52D9DA2E7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Bound(Revenues)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Sheet8!$D$2:$D$10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2309990.8092867197</c:v>
                </c:pt>
                <c:pt idx="6" formatCode="[$$-C09]#,##0.00">
                  <c:v>2284985.3244786067</c:v>
                </c:pt>
                <c:pt idx="7" formatCode="[$$-C09]#,##0.00">
                  <c:v>2812094.9769216664</c:v>
                </c:pt>
                <c:pt idx="8" formatCode="[$$-C09]#,##0.00">
                  <c:v>2787409.1910829591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A-46BA-BF60-90D52D9DA2E7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Bound(Revenues)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Sheet8!$A$2:$A$10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</c:numCache>
            </c:numRef>
          </c:cat>
          <c:val>
            <c:numRef>
              <c:f>Sheet8!$E$2:$E$10</c:f>
              <c:numCache>
                <c:formatCode>General</c:formatCode>
                <c:ptCount val="9"/>
                <c:pt idx="4" formatCode="[$$-C09]#,##0.00">
                  <c:v>2138428.3767210012</c:v>
                </c:pt>
                <c:pt idx="5" formatCode="[$$-C09]#,##0.00">
                  <c:v>2796893.0575044774</c:v>
                </c:pt>
                <c:pt idx="6" formatCode="[$$-C09]#,##0.00">
                  <c:v>2787109.7451867545</c:v>
                </c:pt>
                <c:pt idx="7" formatCode="[$$-C09]#,##0.00">
                  <c:v>3329225.5089040576</c:v>
                </c:pt>
                <c:pt idx="8" formatCode="[$$-C09]#,##0.00">
                  <c:v>3319122.497616929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A-46BA-BF60-90D52D9D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03823"/>
        <c:axId val="32492303"/>
      </c:lineChart>
      <c:catAx>
        <c:axId val="16946038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03"/>
        <c:crosses val="autoZero"/>
        <c:auto val="1"/>
        <c:lblAlgn val="ctr"/>
        <c:lblOffset val="100"/>
        <c:noMultiLvlLbl val="0"/>
      </c:catAx>
      <c:valAx>
        <c:axId val="324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2244436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D3E180-AB01-7089-EC0B-D73B178D4F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27" t="29953" r="17754" b="32850"/>
        <a:stretch/>
      </xdr:blipFill>
      <xdr:spPr>
        <a:xfrm>
          <a:off x="166255" y="0"/>
          <a:ext cx="2244436" cy="1052945"/>
        </a:xfrm>
        <a:prstGeom prst="rect">
          <a:avLst/>
        </a:prstGeom>
      </xdr:spPr>
    </xdr:pic>
    <xdr:clientData/>
  </xdr:twoCellAnchor>
  <xdr:twoCellAnchor>
    <xdr:from>
      <xdr:col>2</xdr:col>
      <xdr:colOff>1209</xdr:colOff>
      <xdr:row>27</xdr:row>
      <xdr:rowOff>19133</xdr:rowOff>
    </xdr:from>
    <xdr:to>
      <xdr:col>6</xdr:col>
      <xdr:colOff>6047</xdr:colOff>
      <xdr:row>45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D480E-3AD7-4158-B957-3C7B30C4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15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FFE9F-6970-41E5-AD1D-F9F5DC453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</xdr:row>
      <xdr:rowOff>8404</xdr:rowOff>
    </xdr:from>
    <xdr:to>
      <xdr:col>22</xdr:col>
      <xdr:colOff>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ECCD4-DF6D-4A5D-99AD-002FDD47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22</xdr:col>
      <xdr:colOff>0</xdr:colOff>
      <xdr:row>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87E820-5862-441D-BB95-E7C82CD52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352425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3D269-7EFC-2D7D-FCB5-02A27C86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na S G" refreshedDate="45312.62574826389" createdVersion="8" refreshedVersion="8" minRefreshableVersion="3" recordCount="12" xr:uid="{109A6B6A-7A84-4220-8691-8057A81477B5}">
  <cacheSource type="worksheet">
    <worksheetSource ref="A3:E15" sheet="Data"/>
  </cacheSource>
  <cacheFields count="5">
    <cacheField name="Years" numFmtId="0">
      <sharedItems containsSemiMixedTypes="0" containsString="0" containsNumber="1" containsInteger="1" minValue="2023" maxValue="2023"/>
    </cacheField>
    <cacheField name="Month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venues" numFmtId="171">
      <sharedItems containsSemiMixedTypes="0" containsString="0" containsNumber="1" minValue="100000" maxValue="285311.67061100033"/>
    </cacheField>
    <cacheField name="Costss" numFmtId="171">
      <sharedItems containsSemiMixedTypes="0" containsString="0" containsNumber="1" minValue="60000" maxValue="211130.63625214025"/>
    </cacheField>
    <cacheField name="Gross Margin" numFmtId="10">
      <sharedItems containsSemiMixedTypes="0" containsString="0" containsNumber="1" minValue="0.25999999999999995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023"/>
    <x v="0"/>
    <n v="100000"/>
    <n v="60000"/>
    <n v="0.4"/>
  </r>
  <r>
    <n v="2023"/>
    <x v="1"/>
    <n v="110000.00000000001"/>
    <n v="67100.000000000015"/>
    <n v="0.39"/>
  </r>
  <r>
    <n v="2023"/>
    <x v="2"/>
    <n v="121000.00000000003"/>
    <n v="75020.000000000015"/>
    <n v="0.38"/>
  </r>
  <r>
    <n v="2023"/>
    <x v="3"/>
    <n v="133100.00000000003"/>
    <n v="93170.000000000015"/>
    <n v="0.3"/>
  </r>
  <r>
    <n v="2023"/>
    <x v="4"/>
    <n v="146410.00000000006"/>
    <n v="103951.10000000003"/>
    <n v="0.28999999999999998"/>
  </r>
  <r>
    <n v="2023"/>
    <x v="5"/>
    <n v="161051.00000000009"/>
    <n v="115956.72000000006"/>
    <n v="0.27999999999999997"/>
  </r>
  <r>
    <n v="2023"/>
    <x v="6"/>
    <n v="177156.10000000012"/>
    <n v="129323.95300000008"/>
    <n v="0.26999999999999996"/>
  </r>
  <r>
    <n v="2023"/>
    <x v="7"/>
    <n v="194871.71000000014"/>
    <n v="144205.06540000011"/>
    <n v="0.25999999999999995"/>
  </r>
  <r>
    <n v="2023"/>
    <x v="8"/>
    <n v="214358.88100000017"/>
    <n v="158625.57194000011"/>
    <n v="0.26"/>
  </r>
  <r>
    <n v="2023"/>
    <x v="9"/>
    <n v="235794.76910000021"/>
    <n v="172130.18144300015"/>
    <n v="0.27"/>
  </r>
  <r>
    <n v="2023"/>
    <x v="10"/>
    <n v="259374.24601000026"/>
    <n v="189343.19958730019"/>
    <n v="0.27"/>
  </r>
  <r>
    <n v="2023"/>
    <x v="11"/>
    <n v="285311.67061100033"/>
    <n v="211130.63625214025"/>
    <n v="0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5E92-2A0A-476F-A296-CFF0C5FFF2B7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7:D30" firstHeaderRow="0" firstDataRow="1" firstDataCol="1"/>
  <pivotFields count="5">
    <pivotField compact="0" outline="0" subtotalTop="0" showAll="0" defaultSubtotal="0"/>
    <pivotField axis="axisRow" compact="0" outline="0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171" outline="0" subtotalTop="0" showAll="0" defaultSubtotal="0"/>
    <pivotField dataField="1" compact="0" numFmtId="171" outline="0" subtotalTop="0" showAll="0" defaultSubtotal="0"/>
    <pivotField dataField="1" compact="0" numFmtId="10" outline="0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venue" fld="2" baseField="1" baseItem="0" numFmtId="3"/>
    <dataField name="Margin" fld="4" baseField="1" baseItem="0" numFmtId="9"/>
    <dataField name="Sum of Costs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FA374-1AEE-4976-BC5D-2B9D321B0BFF}" name="PivotTable8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G18:I31" firstHeaderRow="0" firstDataRow="1" firstDataCol="1"/>
  <pivotFields count="5">
    <pivotField compact="0" outline="0" subtotalTop="0" showAll="0" defaultSubtotal="0"/>
    <pivotField axis="axisRow" compact="0" outline="0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171" outline="0" subtotalTop="0" showAll="0" defaultSubtotal="0"/>
    <pivotField dataField="1" compact="0" numFmtId="171" outline="0" subtotalTop="0" showAll="0" defaultSubtotal="0"/>
    <pivotField compact="0" numFmtId="10" outline="0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2" baseField="1" baseItem="0" numFmtId="3"/>
    <dataField name="CoGS" fld="3" baseField="1" baseItem="0"/>
  </dataFields>
  <formats count="1">
    <format dxfId="3">
      <pivotArea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CA864-11AD-448D-B08B-5E2A4B6C81D5}" name="PivotTable7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G3:I16" firstHeaderRow="0" firstDataRow="1" firstDataCol="1"/>
  <pivotFields count="5">
    <pivotField compact="0" outline="0" subtotalTop="0" showAll="0" defaultSubtotal="0"/>
    <pivotField axis="axisRow" compact="0" outline="0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171" outline="0" subtotalTop="0" showAll="0" defaultSubtotal="0"/>
    <pivotField compact="0" numFmtId="171" outline="0" subtotalTop="0" showAll="0" defaultSubtotal="0"/>
    <pivotField dataField="1" compact="0" numFmtId="10" outline="0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2" baseField="1" baseItem="0" numFmtId="3"/>
    <dataField name="Margin" fld="4" baseField="1" baseItem="0" numFmtId="9"/>
  </dataFields>
  <chartFormats count="2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89D85-744B-4829-ABE5-C1BDD1995A03}" name="Table4" displayName="Table4" ref="A1:E10" totalsRowShown="0">
  <autoFilter ref="A1:E10" xr:uid="{7C289D85-744B-4829-ABE5-C1BDD1995A03}"/>
  <tableColumns count="5">
    <tableColumn id="1" xr3:uid="{65D3D7C1-E241-4F78-9517-319CBA6D4FD7}" name="Year"/>
    <tableColumn id="2" xr3:uid="{DCFCE3F9-258A-4964-A54F-0E99EFF8A2BC}" name="Revenues"/>
    <tableColumn id="3" xr3:uid="{E6071669-2292-4604-BEFB-EA5A09BF4DFF}" name="Forecast(Revenues)" dataDxfId="2">
      <calculatedColumnFormula>_xlfn.FORECAST.ETS(A2,$B$2:$B$6,$A$2:$A$6,1,1)</calculatedColumnFormula>
    </tableColumn>
    <tableColumn id="4" xr3:uid="{767F7E2D-403F-4450-9B33-FF8FCB3A7AC6}" name="Lower Confidence Bound(Revenues)" dataDxfId="1">
      <calculatedColumnFormula>C2-_xlfn.FORECAST.ETS.CONFINT(A2,$B$2:$B$6,$A$2:$A$6,0.95,1,1)</calculatedColumnFormula>
    </tableColumn>
    <tableColumn id="5" xr3:uid="{CF945FF6-5922-47E1-B2FF-32C39DC7D711}" name="Upper Confidence Bound(Revenues)" dataDxfId="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DB9C-18BC-4811-9F03-6645BAD16FA7}">
  <dimension ref="B1:W47"/>
  <sheetViews>
    <sheetView showGridLines="0" tabSelected="1" zoomScale="50" zoomScaleNormal="50" workbookViewId="0">
      <selection activeCell="X12" sqref="X12:Y12"/>
    </sheetView>
  </sheetViews>
  <sheetFormatPr defaultRowHeight="14.4" x14ac:dyDescent="0.3"/>
  <cols>
    <col min="2" max="2" width="2.44140625" style="10" customWidth="1"/>
    <col min="3" max="3" width="62.33203125" bestFit="1" customWidth="1"/>
    <col min="4" max="4" width="19.33203125" customWidth="1"/>
    <col min="5" max="5" width="20.88671875" customWidth="1"/>
    <col min="6" max="6" width="21.6640625" customWidth="1"/>
    <col min="7" max="11" width="18.109375" bestFit="1" customWidth="1"/>
    <col min="16" max="16" width="17.109375" customWidth="1"/>
    <col min="17" max="17" width="35" customWidth="1"/>
    <col min="18" max="22" width="14.21875" customWidth="1"/>
    <col min="23" max="23" width="2.109375" customWidth="1"/>
  </cols>
  <sheetData>
    <row r="1" spans="2:23" ht="15" thickBot="1" x14ac:dyDescent="0.35"/>
    <row r="2" spans="2:23" ht="82.8" customHeight="1" thickBot="1" x14ac:dyDescent="0.35">
      <c r="B2" s="56"/>
      <c r="C2" s="62" t="s">
        <v>58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7"/>
      <c r="Q2" s="57"/>
      <c r="R2" s="57"/>
      <c r="S2" s="57"/>
      <c r="T2" s="58"/>
      <c r="U2" s="58"/>
      <c r="V2" s="58"/>
      <c r="W2" s="59"/>
    </row>
    <row r="3" spans="2:23" ht="20.399999999999999" customHeight="1" thickBot="1" x14ac:dyDescent="0.35">
      <c r="B3" s="60"/>
      <c r="C3" s="63"/>
      <c r="D3" s="63"/>
      <c r="E3" s="63"/>
      <c r="F3" s="63"/>
      <c r="G3" s="63"/>
      <c r="H3" s="63"/>
      <c r="I3" s="63"/>
      <c r="J3" s="63"/>
      <c r="K3" s="63"/>
      <c r="L3" s="64"/>
      <c r="M3" s="63"/>
      <c r="N3" s="63"/>
      <c r="O3" s="63"/>
      <c r="P3" s="57"/>
      <c r="Q3" s="57"/>
      <c r="R3" s="57"/>
      <c r="S3" s="57"/>
      <c r="T3" s="65"/>
      <c r="U3" s="65"/>
      <c r="V3" s="65"/>
      <c r="W3" s="19"/>
    </row>
    <row r="4" spans="2:23" ht="23.4" x14ac:dyDescent="0.45">
      <c r="B4" s="60"/>
      <c r="C4" s="11"/>
      <c r="D4" s="66" t="s">
        <v>25</v>
      </c>
      <c r="E4" s="66"/>
      <c r="F4" s="66"/>
      <c r="G4" s="66"/>
      <c r="H4" s="66"/>
      <c r="I4" s="67" t="s">
        <v>26</v>
      </c>
      <c r="J4" s="67"/>
      <c r="K4" s="68"/>
      <c r="L4" s="18"/>
      <c r="M4" s="47" t="s">
        <v>50</v>
      </c>
      <c r="N4" s="48"/>
      <c r="O4" s="48"/>
      <c r="P4" s="48"/>
      <c r="Q4" s="48"/>
      <c r="R4" s="48"/>
      <c r="S4" s="48"/>
      <c r="T4" s="48"/>
      <c r="U4" s="48"/>
      <c r="V4" s="49"/>
      <c r="W4" s="19"/>
    </row>
    <row r="5" spans="2:23" ht="26.4" thickBot="1" x14ac:dyDescent="0.55000000000000004">
      <c r="B5" s="60"/>
      <c r="C5" s="12" t="s">
        <v>0</v>
      </c>
      <c r="D5" s="13">
        <v>2019</v>
      </c>
      <c r="E5" s="13">
        <f>D5+1</f>
        <v>2020</v>
      </c>
      <c r="F5" s="13">
        <f t="shared" ref="F5:K5" si="0">E5+1</f>
        <v>2021</v>
      </c>
      <c r="G5" s="13">
        <f t="shared" si="0"/>
        <v>2022</v>
      </c>
      <c r="H5" s="13">
        <f t="shared" si="0"/>
        <v>2023</v>
      </c>
      <c r="I5" s="13">
        <f t="shared" si="0"/>
        <v>2024</v>
      </c>
      <c r="J5" s="13">
        <f t="shared" si="0"/>
        <v>2025</v>
      </c>
      <c r="K5" s="14">
        <f t="shared" si="0"/>
        <v>2026</v>
      </c>
      <c r="L5" s="18"/>
      <c r="M5" s="50"/>
      <c r="N5" s="51"/>
      <c r="O5" s="51"/>
      <c r="P5" s="51"/>
      <c r="Q5" s="51"/>
      <c r="R5" s="51"/>
      <c r="S5" s="51"/>
      <c r="T5" s="51"/>
      <c r="U5" s="51"/>
      <c r="V5" s="52"/>
      <c r="W5" s="19"/>
    </row>
    <row r="6" spans="2:23" ht="23.4" x14ac:dyDescent="0.45">
      <c r="B6" s="60"/>
      <c r="C6" s="43" t="s">
        <v>1</v>
      </c>
      <c r="D6" s="38">
        <v>1037351.6055473576</v>
      </c>
      <c r="E6" s="38">
        <v>1481930.8650676538</v>
      </c>
      <c r="F6" s="38">
        <v>1347209.8773342306</v>
      </c>
      <c r="G6" s="38">
        <v>1924585.5390489011</v>
      </c>
      <c r="H6" s="38">
        <v>2138428.3767210012</v>
      </c>
      <c r="I6" s="38">
        <v>2553441.9333955985</v>
      </c>
      <c r="J6" s="38">
        <v>2536047.5348326806</v>
      </c>
      <c r="K6" s="39">
        <v>3070660.242912862</v>
      </c>
      <c r="L6" s="18"/>
      <c r="M6" s="20"/>
      <c r="N6" s="18"/>
      <c r="O6" s="18"/>
      <c r="P6" s="18"/>
      <c r="Q6" s="18"/>
      <c r="R6" s="18"/>
      <c r="S6" s="18"/>
      <c r="T6" s="18"/>
      <c r="U6" s="18"/>
      <c r="V6" s="19"/>
      <c r="W6" s="19"/>
    </row>
    <row r="7" spans="2:23" ht="21" x14ac:dyDescent="0.4">
      <c r="B7" s="60"/>
      <c r="C7" s="15" t="s">
        <v>5</v>
      </c>
      <c r="D7" s="24">
        <f>D6*0.7</f>
        <v>726146.12388315029</v>
      </c>
      <c r="E7" s="24">
        <f>E6*0.7</f>
        <v>1037351.6055473576</v>
      </c>
      <c r="F7" s="24">
        <f>F6*0.68</f>
        <v>916102.7165872769</v>
      </c>
      <c r="G7" s="24">
        <f>G6*0.72</f>
        <v>1385701.5881152088</v>
      </c>
      <c r="H7" s="24">
        <f>H6*0.71</f>
        <v>1518284.1474719108</v>
      </c>
      <c r="I7" s="24">
        <f>I6*0.7</f>
        <v>1787409.3533769189</v>
      </c>
      <c r="J7" s="24">
        <f>J6*0.72</f>
        <v>1825954.2250795299</v>
      </c>
      <c r="K7" s="25">
        <f>K6*0.68</f>
        <v>2088048.9651807463</v>
      </c>
      <c r="L7" s="18"/>
      <c r="M7" s="20"/>
      <c r="N7" s="18"/>
      <c r="O7" s="18"/>
      <c r="P7" s="18"/>
      <c r="Q7" s="18"/>
      <c r="R7" s="18"/>
      <c r="S7" s="18"/>
      <c r="T7" s="18"/>
      <c r="U7" s="18"/>
      <c r="V7" s="19"/>
      <c r="W7" s="19"/>
    </row>
    <row r="8" spans="2:23" ht="21" x14ac:dyDescent="0.4">
      <c r="B8" s="60"/>
      <c r="C8" s="15" t="s">
        <v>3</v>
      </c>
      <c r="D8" s="16">
        <f>D6-D7</f>
        <v>311205.4816642073</v>
      </c>
      <c r="E8" s="16">
        <f t="shared" ref="E8:K8" si="1">E6-E7</f>
        <v>444579.25952029624</v>
      </c>
      <c r="F8" s="16">
        <f t="shared" si="1"/>
        <v>431107.16074695368</v>
      </c>
      <c r="G8" s="16">
        <f t="shared" si="1"/>
        <v>538883.95093369228</v>
      </c>
      <c r="H8" s="16">
        <f t="shared" si="1"/>
        <v>620144.22924909042</v>
      </c>
      <c r="I8" s="16">
        <f t="shared" si="1"/>
        <v>766032.58001867961</v>
      </c>
      <c r="J8" s="16">
        <f t="shared" si="1"/>
        <v>710093.30975315068</v>
      </c>
      <c r="K8" s="17">
        <f t="shared" si="1"/>
        <v>982611.2777321157</v>
      </c>
      <c r="L8" s="18"/>
      <c r="M8" s="20"/>
      <c r="N8" s="18"/>
      <c r="O8" s="18"/>
      <c r="P8" s="18"/>
      <c r="Q8" s="18"/>
      <c r="R8" s="18"/>
      <c r="S8" s="18"/>
      <c r="T8" s="18"/>
      <c r="U8" s="18"/>
      <c r="V8" s="19"/>
      <c r="W8" s="19"/>
    </row>
    <row r="9" spans="2:23" ht="21" x14ac:dyDescent="0.4">
      <c r="B9" s="60"/>
      <c r="C9" s="15" t="s">
        <v>4</v>
      </c>
      <c r="D9" s="26">
        <f>(D6-D7)/D6</f>
        <v>0.30000000000000004</v>
      </c>
      <c r="E9" s="26">
        <f>(E6-E7)/E6</f>
        <v>0.30000000000000004</v>
      </c>
      <c r="F9" s="26">
        <f>(F6-F7)/F6</f>
        <v>0.31999999999999995</v>
      </c>
      <c r="G9" s="26">
        <f>(G6-G7)/G6</f>
        <v>0.27999999999999997</v>
      </c>
      <c r="H9" s="26">
        <f>(H6-H7)/H6</f>
        <v>0.29000000000000004</v>
      </c>
      <c r="I9" s="26">
        <f>(I6-I7)/I6</f>
        <v>0.30000000000000004</v>
      </c>
      <c r="J9" s="26">
        <f>(J6-J7)/J6</f>
        <v>0.28000000000000003</v>
      </c>
      <c r="K9" s="27">
        <f>(K6-K7)/K6</f>
        <v>0.31999999999999995</v>
      </c>
      <c r="L9" s="18"/>
      <c r="M9" s="20"/>
      <c r="N9" s="18"/>
      <c r="O9" s="18"/>
      <c r="P9" s="18"/>
      <c r="Q9" s="18"/>
      <c r="R9" s="18"/>
      <c r="S9" s="18"/>
      <c r="T9" s="18"/>
      <c r="U9" s="18"/>
      <c r="V9" s="19"/>
      <c r="W9" s="19"/>
    </row>
    <row r="10" spans="2:23" ht="21" x14ac:dyDescent="0.4">
      <c r="B10" s="60"/>
      <c r="C10" s="33" t="s">
        <v>7</v>
      </c>
      <c r="D10" s="18"/>
      <c r="E10" s="18"/>
      <c r="F10" s="18"/>
      <c r="G10" s="18"/>
      <c r="H10" s="18"/>
      <c r="I10" s="18"/>
      <c r="J10" s="18"/>
      <c r="K10" s="19"/>
      <c r="L10" s="18"/>
      <c r="M10" s="20"/>
      <c r="N10" s="18"/>
      <c r="O10" s="18"/>
      <c r="P10" s="18"/>
      <c r="Q10" s="18"/>
      <c r="R10" s="18"/>
      <c r="S10" s="18"/>
      <c r="T10" s="18"/>
      <c r="U10" s="18"/>
      <c r="V10" s="19"/>
      <c r="W10" s="19"/>
    </row>
    <row r="11" spans="2:23" ht="21" x14ac:dyDescent="0.4">
      <c r="B11" s="60"/>
      <c r="C11" s="15" t="s">
        <v>8</v>
      </c>
      <c r="D11" s="16">
        <f>D8*0.2</f>
        <v>62241.096332841465</v>
      </c>
      <c r="E11" s="16">
        <f t="shared" ref="E11:K11" si="2">E8*0.2</f>
        <v>88915.851904059251</v>
      </c>
      <c r="F11" s="16">
        <f t="shared" si="2"/>
        <v>86221.432149390748</v>
      </c>
      <c r="G11" s="16">
        <f>G8*0.15</f>
        <v>80832.592640053845</v>
      </c>
      <c r="H11" s="16">
        <f t="shared" ref="H11:K11" si="3">H8*0.15</f>
        <v>93021.634387363563</v>
      </c>
      <c r="I11" s="16">
        <f>I8*0.12</f>
        <v>91923.909602241547</v>
      </c>
      <c r="J11" s="16">
        <f>J8*0.13</f>
        <v>92312.130267909597</v>
      </c>
      <c r="K11" s="17">
        <f>K8*0.12</f>
        <v>117913.35332785388</v>
      </c>
      <c r="L11" s="18"/>
      <c r="M11" s="20"/>
      <c r="N11" s="18"/>
      <c r="O11" s="18"/>
      <c r="P11" s="18"/>
      <c r="Q11" s="18"/>
      <c r="R11" s="18"/>
      <c r="S11" s="18"/>
      <c r="T11" s="18"/>
      <c r="U11" s="18"/>
      <c r="V11" s="19"/>
      <c r="W11" s="19"/>
    </row>
    <row r="12" spans="2:23" ht="21" x14ac:dyDescent="0.4">
      <c r="B12" s="60"/>
      <c r="C12" s="15" t="s">
        <v>9</v>
      </c>
      <c r="D12" s="16">
        <f>D8*0.05</f>
        <v>15560.274083210366</v>
      </c>
      <c r="E12" s="16">
        <f t="shared" ref="E12:K12" si="4">E8*0.05</f>
        <v>22228.962976014813</v>
      </c>
      <c r="F12" s="16">
        <f t="shared" si="4"/>
        <v>21555.358037347687</v>
      </c>
      <c r="G12" s="16">
        <f t="shared" si="4"/>
        <v>26944.197546684616</v>
      </c>
      <c r="H12" s="16">
        <f t="shared" si="4"/>
        <v>31007.211462454521</v>
      </c>
      <c r="I12" s="16">
        <f t="shared" si="4"/>
        <v>38301.629000933979</v>
      </c>
      <c r="J12" s="16">
        <f t="shared" si="4"/>
        <v>35504.665487657534</v>
      </c>
      <c r="K12" s="17">
        <f t="shared" si="4"/>
        <v>49130.563886605785</v>
      </c>
      <c r="L12" s="18"/>
      <c r="M12" s="20"/>
      <c r="N12" s="18"/>
      <c r="O12" s="18"/>
      <c r="P12" s="18"/>
      <c r="Q12" s="18"/>
      <c r="R12" s="18"/>
      <c r="S12" s="18"/>
      <c r="T12" s="18"/>
      <c r="U12" s="18"/>
      <c r="V12" s="19"/>
      <c r="W12" s="19"/>
    </row>
    <row r="13" spans="2:23" ht="21" x14ac:dyDescent="0.4">
      <c r="B13" s="60"/>
      <c r="C13" s="15" t="s">
        <v>10</v>
      </c>
      <c r="D13" s="16">
        <f>D8*0.1</f>
        <v>31120.548166420733</v>
      </c>
      <c r="E13" s="16">
        <f t="shared" ref="E13:K13" si="5">E8*0.1</f>
        <v>44457.925952029625</v>
      </c>
      <c r="F13" s="16">
        <f t="shared" si="5"/>
        <v>43110.716074695374</v>
      </c>
      <c r="G13" s="16">
        <f t="shared" si="5"/>
        <v>53888.395093369232</v>
      </c>
      <c r="H13" s="16">
        <f>H8*0.07</f>
        <v>43410.096047436331</v>
      </c>
      <c r="I13" s="16">
        <f t="shared" ref="I13:K13" si="6">I8*0.07</f>
        <v>53622.280601307575</v>
      </c>
      <c r="J13" s="16">
        <f>J8*0.06</f>
        <v>42605.598585189036</v>
      </c>
      <c r="K13" s="17">
        <f t="shared" si="6"/>
        <v>68782.789441248111</v>
      </c>
      <c r="L13" s="18"/>
      <c r="M13" s="20"/>
      <c r="N13" s="18"/>
      <c r="O13" s="18"/>
      <c r="P13" s="18"/>
      <c r="Q13" s="18"/>
      <c r="R13" s="18"/>
      <c r="S13" s="18"/>
      <c r="T13" s="18"/>
      <c r="U13" s="18"/>
      <c r="V13" s="19"/>
      <c r="W13" s="19"/>
    </row>
    <row r="14" spans="2:23" ht="21" x14ac:dyDescent="0.4">
      <c r="B14" s="60"/>
      <c r="C14" s="15" t="s">
        <v>11</v>
      </c>
      <c r="D14" s="16">
        <f>D8*0.07</f>
        <v>21784.383716494514</v>
      </c>
      <c r="E14" s="16">
        <f t="shared" ref="E14:K14" si="7">E8*0.07</f>
        <v>31120.54816642074</v>
      </c>
      <c r="F14" s="16">
        <f t="shared" si="7"/>
        <v>30177.501252286762</v>
      </c>
      <c r="G14" s="16">
        <f t="shared" si="7"/>
        <v>37721.876565358463</v>
      </c>
      <c r="H14" s="16">
        <f t="shared" si="7"/>
        <v>43410.096047436331</v>
      </c>
      <c r="I14" s="16">
        <f t="shared" si="7"/>
        <v>53622.280601307575</v>
      </c>
      <c r="J14" s="16">
        <f t="shared" si="7"/>
        <v>49706.531682720553</v>
      </c>
      <c r="K14" s="17">
        <f t="shared" si="7"/>
        <v>68782.789441248111</v>
      </c>
      <c r="L14" s="18"/>
      <c r="M14" s="20"/>
      <c r="N14" s="18"/>
      <c r="O14" s="18"/>
      <c r="P14" s="18"/>
      <c r="Q14" s="18"/>
      <c r="R14" s="18"/>
      <c r="S14" s="18"/>
      <c r="T14" s="18"/>
      <c r="U14" s="18"/>
      <c r="V14" s="19"/>
      <c r="W14" s="19"/>
    </row>
    <row r="15" spans="2:23" ht="21" x14ac:dyDescent="0.4">
      <c r="B15" s="60"/>
      <c r="C15" s="15" t="s">
        <v>12</v>
      </c>
      <c r="D15" s="16">
        <f>D8*0.05</f>
        <v>15560.274083210366</v>
      </c>
      <c r="E15" s="16">
        <f>E8*0.04</f>
        <v>17783.170380811851</v>
      </c>
      <c r="F15" s="16">
        <f t="shared" ref="F15:K15" si="8">F8*0.04</f>
        <v>17244.286429878146</v>
      </c>
      <c r="G15" s="16">
        <f>G8*0.035</f>
        <v>18860.938282679232</v>
      </c>
      <c r="H15" s="16">
        <f>H8*0.03</f>
        <v>18604.326877472711</v>
      </c>
      <c r="I15" s="16">
        <f>I8*0.025</f>
        <v>19150.81450046699</v>
      </c>
      <c r="J15" s="16">
        <f>J8*0.025</f>
        <v>17752.332743828767</v>
      </c>
      <c r="K15" s="17">
        <f>K8*0.02</f>
        <v>19652.225554642315</v>
      </c>
      <c r="L15" s="18"/>
      <c r="M15" s="20"/>
      <c r="N15" s="18"/>
      <c r="O15" s="18"/>
      <c r="P15" s="18"/>
      <c r="Q15" s="18"/>
      <c r="R15" s="18"/>
      <c r="S15" s="18"/>
      <c r="T15" s="18"/>
      <c r="U15" s="18"/>
      <c r="V15" s="19"/>
      <c r="W15" s="19"/>
    </row>
    <row r="16" spans="2:23" ht="21" x14ac:dyDescent="0.4">
      <c r="B16" s="60"/>
      <c r="C16" s="15" t="s">
        <v>13</v>
      </c>
      <c r="D16" s="28">
        <v>0</v>
      </c>
      <c r="E16" s="28">
        <v>1</v>
      </c>
      <c r="F16" s="28">
        <v>2</v>
      </c>
      <c r="G16" s="28">
        <v>3</v>
      </c>
      <c r="H16" s="28">
        <v>4</v>
      </c>
      <c r="I16" s="28">
        <v>5</v>
      </c>
      <c r="J16" s="28">
        <v>6</v>
      </c>
      <c r="K16" s="29">
        <v>7</v>
      </c>
      <c r="L16" s="18"/>
      <c r="M16" s="20"/>
      <c r="N16" s="18"/>
      <c r="O16" s="18"/>
      <c r="P16" s="18"/>
      <c r="Q16" s="18"/>
      <c r="R16" s="18"/>
      <c r="S16" s="18"/>
      <c r="T16" s="18"/>
      <c r="U16" s="18"/>
      <c r="V16" s="19"/>
      <c r="W16" s="19"/>
    </row>
    <row r="17" spans="2:23" ht="24" thickBot="1" x14ac:dyDescent="0.45">
      <c r="B17" s="60"/>
      <c r="C17" s="32" t="s">
        <v>14</v>
      </c>
      <c r="D17" s="30">
        <f>SUM(D11:D16)</f>
        <v>146266.57638217745</v>
      </c>
      <c r="E17" s="30">
        <f t="shared" ref="E17:K17" si="9">SUM(E11:E16)</f>
        <v>204507.45937933627</v>
      </c>
      <c r="F17" s="30">
        <f t="shared" si="9"/>
        <v>198311.29394359875</v>
      </c>
      <c r="G17" s="30">
        <f t="shared" si="9"/>
        <v>218251.00012814539</v>
      </c>
      <c r="H17" s="30">
        <f t="shared" si="9"/>
        <v>229457.36482216345</v>
      </c>
      <c r="I17" s="30">
        <f t="shared" si="9"/>
        <v>256625.91430625765</v>
      </c>
      <c r="J17" s="30">
        <f t="shared" si="9"/>
        <v>237887.25876730549</v>
      </c>
      <c r="K17" s="31">
        <f t="shared" si="9"/>
        <v>324268.72165159823</v>
      </c>
      <c r="L17" s="18"/>
      <c r="M17" s="20"/>
      <c r="N17" s="18"/>
      <c r="O17" s="18"/>
      <c r="P17" s="18"/>
      <c r="Q17" s="18"/>
      <c r="R17" s="18"/>
      <c r="S17" s="18"/>
      <c r="T17" s="18"/>
      <c r="U17" s="18"/>
      <c r="V17" s="19"/>
      <c r="W17" s="19"/>
    </row>
    <row r="18" spans="2:23" ht="24" thickBot="1" x14ac:dyDescent="0.5">
      <c r="B18" s="60"/>
      <c r="C18" s="40" t="s">
        <v>15</v>
      </c>
      <c r="D18" s="41">
        <f>D6-D7-D17</f>
        <v>164938.90528202985</v>
      </c>
      <c r="E18" s="41">
        <f t="shared" ref="E18:K18" si="10">E6-E7-E17</f>
        <v>240071.80014095997</v>
      </c>
      <c r="F18" s="41">
        <f t="shared" si="10"/>
        <v>232795.86680335493</v>
      </c>
      <c r="G18" s="41">
        <f t="shared" si="10"/>
        <v>320632.95080554689</v>
      </c>
      <c r="H18" s="41">
        <f t="shared" si="10"/>
        <v>390686.86442692694</v>
      </c>
      <c r="I18" s="41">
        <f t="shared" si="10"/>
        <v>509406.66571242199</v>
      </c>
      <c r="J18" s="41">
        <f t="shared" si="10"/>
        <v>472206.05098584516</v>
      </c>
      <c r="K18" s="42">
        <f t="shared" si="10"/>
        <v>658342.55608051748</v>
      </c>
      <c r="L18" s="18"/>
      <c r="M18" s="20"/>
      <c r="N18" s="18"/>
      <c r="O18" s="18"/>
      <c r="P18" s="18"/>
      <c r="Q18" s="18"/>
      <c r="R18" s="18"/>
      <c r="S18" s="18"/>
      <c r="T18" s="18"/>
      <c r="U18" s="18"/>
      <c r="V18" s="19"/>
      <c r="W18" s="19"/>
    </row>
    <row r="19" spans="2:23" ht="21" x14ac:dyDescent="0.4">
      <c r="B19" s="60"/>
      <c r="C19" s="15" t="s">
        <v>16</v>
      </c>
      <c r="D19" s="16">
        <f>D8*0.008</f>
        <v>2489.6438533136584</v>
      </c>
      <c r="E19" s="16">
        <f t="shared" ref="E19:K19" si="11">E7*0.008</f>
        <v>8298.812844378861</v>
      </c>
      <c r="F19" s="16">
        <f t="shared" si="11"/>
        <v>7328.8217326982149</v>
      </c>
      <c r="G19" s="16">
        <f t="shared" si="11"/>
        <v>11085.61270492167</v>
      </c>
      <c r="H19" s="16">
        <f t="shared" si="11"/>
        <v>12146.273179775286</v>
      </c>
      <c r="I19" s="16">
        <f t="shared" si="11"/>
        <v>14299.274827015352</v>
      </c>
      <c r="J19" s="16">
        <f t="shared" si="11"/>
        <v>14607.63380063624</v>
      </c>
      <c r="K19" s="17">
        <f t="shared" si="11"/>
        <v>16704.391721445969</v>
      </c>
      <c r="L19" s="18"/>
      <c r="M19" s="20"/>
      <c r="N19" s="18"/>
      <c r="O19" s="18"/>
      <c r="P19" s="18"/>
      <c r="Q19" s="18"/>
      <c r="R19" s="18"/>
      <c r="S19" s="18"/>
      <c r="T19" s="18"/>
      <c r="U19" s="18"/>
      <c r="V19" s="19"/>
      <c r="W19" s="19"/>
    </row>
    <row r="20" spans="2:23" ht="21" x14ac:dyDescent="0.4">
      <c r="B20" s="60"/>
      <c r="C20" s="15" t="s">
        <v>17</v>
      </c>
      <c r="D20" s="16">
        <f>0.1*D8</f>
        <v>31120.548166420733</v>
      </c>
      <c r="E20" s="16">
        <f t="shared" ref="E20:K20" si="12">0.1*E7</f>
        <v>103735.16055473576</v>
      </c>
      <c r="F20" s="16">
        <f t="shared" si="12"/>
        <v>91610.271658727695</v>
      </c>
      <c r="G20" s="16">
        <f t="shared" si="12"/>
        <v>138570.15881152087</v>
      </c>
      <c r="H20" s="16">
        <f t="shared" si="12"/>
        <v>151828.4147471911</v>
      </c>
      <c r="I20" s="16">
        <f t="shared" si="12"/>
        <v>178740.93533769192</v>
      </c>
      <c r="J20" s="16">
        <f t="shared" si="12"/>
        <v>182595.42250795302</v>
      </c>
      <c r="K20" s="17">
        <f t="shared" si="12"/>
        <v>208804.89651807465</v>
      </c>
      <c r="L20" s="18"/>
      <c r="M20" s="20"/>
      <c r="N20" s="18"/>
      <c r="O20" s="18"/>
      <c r="P20" s="18"/>
      <c r="Q20" s="18"/>
      <c r="R20" s="18"/>
      <c r="S20" s="18"/>
      <c r="T20" s="18"/>
      <c r="U20" s="18"/>
      <c r="V20" s="19"/>
      <c r="W20" s="19"/>
    </row>
    <row r="21" spans="2:23" ht="21" x14ac:dyDescent="0.4">
      <c r="B21" s="60"/>
      <c r="C21" s="15" t="s">
        <v>18</v>
      </c>
      <c r="D21" s="16">
        <f>D20*0.3</f>
        <v>9336.1644499262202</v>
      </c>
      <c r="E21" s="16">
        <f t="shared" ref="E21:K21" si="13">E20*0.3</f>
        <v>31120.548166420725</v>
      </c>
      <c r="F21" s="16">
        <f t="shared" si="13"/>
        <v>27483.081497618306</v>
      </c>
      <c r="G21" s="16">
        <f t="shared" si="13"/>
        <v>41571.047643456259</v>
      </c>
      <c r="H21" s="16">
        <f t="shared" si="13"/>
        <v>45548.524424157331</v>
      </c>
      <c r="I21" s="16">
        <f t="shared" si="13"/>
        <v>53622.280601307575</v>
      </c>
      <c r="J21" s="16">
        <f t="shared" si="13"/>
        <v>54778.626752385906</v>
      </c>
      <c r="K21" s="17">
        <f t="shared" si="13"/>
        <v>62641.468955422388</v>
      </c>
      <c r="L21" s="18"/>
      <c r="M21" s="20"/>
      <c r="N21" s="18"/>
      <c r="O21" s="18"/>
      <c r="P21" s="18"/>
      <c r="Q21" s="18"/>
      <c r="R21" s="18"/>
      <c r="S21" s="18"/>
      <c r="T21" s="18"/>
      <c r="U21" s="18"/>
      <c r="V21" s="19"/>
      <c r="W21" s="19"/>
    </row>
    <row r="22" spans="2:23" ht="21" x14ac:dyDescent="0.4">
      <c r="B22" s="60"/>
      <c r="C22" s="15" t="s">
        <v>19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7">
        <v>0</v>
      </c>
      <c r="L22" s="18"/>
      <c r="M22" s="20"/>
      <c r="N22" s="18"/>
      <c r="O22" s="18"/>
      <c r="P22" s="18"/>
      <c r="Q22" s="18"/>
      <c r="R22" s="18"/>
      <c r="S22" s="18"/>
      <c r="T22" s="18"/>
      <c r="U22" s="18"/>
      <c r="V22" s="19"/>
      <c r="W22" s="19"/>
    </row>
    <row r="23" spans="2:23" ht="23.4" x14ac:dyDescent="0.45">
      <c r="B23" s="60"/>
      <c r="C23" s="34" t="s">
        <v>20</v>
      </c>
      <c r="D23" s="35">
        <f>SUM(D19:D22)+D17+D7</f>
        <v>915359.05673498835</v>
      </c>
      <c r="E23" s="35">
        <f t="shared" ref="E23:K23" si="14">SUM(E19:E22)+E17+E7</f>
        <v>1385013.5864922293</v>
      </c>
      <c r="F23" s="35">
        <f t="shared" si="14"/>
        <v>1240836.1854199199</v>
      </c>
      <c r="G23" s="35">
        <f t="shared" si="14"/>
        <v>1795179.407403253</v>
      </c>
      <c r="H23" s="35">
        <f t="shared" si="14"/>
        <v>1957264.7246451979</v>
      </c>
      <c r="I23" s="35">
        <f t="shared" si="14"/>
        <v>2290697.7584491912</v>
      </c>
      <c r="J23" s="35">
        <f t="shared" si="14"/>
        <v>2315823.1669078106</v>
      </c>
      <c r="K23" s="36">
        <f t="shared" si="14"/>
        <v>2700468.4440272874</v>
      </c>
      <c r="L23" s="18"/>
      <c r="M23" s="20"/>
      <c r="N23" s="18"/>
      <c r="O23" s="18"/>
      <c r="P23" s="18"/>
      <c r="Q23" s="18"/>
      <c r="R23" s="18"/>
      <c r="S23" s="18"/>
      <c r="T23" s="18"/>
      <c r="U23" s="18"/>
      <c r="V23" s="19"/>
      <c r="W23" s="19"/>
    </row>
    <row r="24" spans="2:23" ht="23.4" x14ac:dyDescent="0.45">
      <c r="B24" s="60"/>
      <c r="C24" s="37" t="s">
        <v>21</v>
      </c>
      <c r="D24" s="38">
        <f>D6-D23</f>
        <v>121992.54881236923</v>
      </c>
      <c r="E24" s="38">
        <f t="shared" ref="E24:K24" si="15">E6-E23</f>
        <v>96917.278575424571</v>
      </c>
      <c r="F24" s="38">
        <f t="shared" si="15"/>
        <v>106373.69191431068</v>
      </c>
      <c r="G24" s="38">
        <f t="shared" si="15"/>
        <v>129406.13164564804</v>
      </c>
      <c r="H24" s="38">
        <f t="shared" si="15"/>
        <v>181163.65207580337</v>
      </c>
      <c r="I24" s="38">
        <f t="shared" si="15"/>
        <v>262744.17494640732</v>
      </c>
      <c r="J24" s="38">
        <f t="shared" si="15"/>
        <v>220224.36792486999</v>
      </c>
      <c r="K24" s="39">
        <f t="shared" si="15"/>
        <v>370191.79888557456</v>
      </c>
      <c r="L24" s="18"/>
      <c r="M24" s="20"/>
      <c r="N24" s="18"/>
      <c r="O24" s="18"/>
      <c r="P24" s="18"/>
      <c r="Q24" s="18"/>
      <c r="R24" s="18"/>
      <c r="S24" s="18"/>
      <c r="T24" s="18"/>
      <c r="U24" s="18"/>
      <c r="V24" s="19"/>
      <c r="W24" s="19"/>
    </row>
    <row r="25" spans="2:23" ht="24" thickBot="1" x14ac:dyDescent="0.5">
      <c r="B25" s="60"/>
      <c r="C25" s="44" t="s">
        <v>22</v>
      </c>
      <c r="D25" s="45">
        <f>D24/D6</f>
        <v>0.11759999999999998</v>
      </c>
      <c r="E25" s="45">
        <f t="shared" ref="E25:K25" si="16">E24/E6</f>
        <v>6.5399325204688316E-2</v>
      </c>
      <c r="F25" s="45">
        <f t="shared" si="16"/>
        <v>7.8958515450314154E-2</v>
      </c>
      <c r="G25" s="45">
        <f t="shared" si="16"/>
        <v>6.7238441222829959E-2</v>
      </c>
      <c r="H25" s="45">
        <f t="shared" si="16"/>
        <v>8.4718129467396056E-2</v>
      </c>
      <c r="I25" s="45">
        <f t="shared" si="16"/>
        <v>0.10289804185874196</v>
      </c>
      <c r="J25" s="45">
        <f t="shared" si="16"/>
        <v>8.6837634113746856E-2</v>
      </c>
      <c r="K25" s="46">
        <f t="shared" si="16"/>
        <v>0.12055772035997267</v>
      </c>
      <c r="L25" s="18"/>
      <c r="M25" s="21"/>
      <c r="N25" s="22"/>
      <c r="O25" s="22"/>
      <c r="P25" s="22"/>
      <c r="Q25" s="22"/>
      <c r="R25" s="22"/>
      <c r="S25" s="22"/>
      <c r="T25" s="22"/>
      <c r="U25" s="22"/>
      <c r="V25" s="23"/>
      <c r="W25" s="19"/>
    </row>
    <row r="26" spans="2:23" ht="15" thickBot="1" x14ac:dyDescent="0.35">
      <c r="B26" s="6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</row>
    <row r="27" spans="2:23" ht="20.399999999999999" x14ac:dyDescent="0.3">
      <c r="B27" s="60"/>
      <c r="C27" s="53" t="s">
        <v>46</v>
      </c>
      <c r="D27" s="54"/>
      <c r="E27" s="54"/>
      <c r="F27" s="55"/>
      <c r="G27" s="18"/>
      <c r="H27" s="53" t="s">
        <v>47</v>
      </c>
      <c r="I27" s="54"/>
      <c r="J27" s="54"/>
      <c r="K27" s="54"/>
      <c r="L27" s="54"/>
      <c r="M27" s="54"/>
      <c r="N27" s="54"/>
      <c r="O27" s="55"/>
      <c r="P27" s="18"/>
      <c r="Q27" s="53" t="s">
        <v>49</v>
      </c>
      <c r="R27" s="54"/>
      <c r="S27" s="54"/>
      <c r="T27" s="54"/>
      <c r="U27" s="54"/>
      <c r="V27" s="55"/>
      <c r="W27" s="19"/>
    </row>
    <row r="28" spans="2:23" x14ac:dyDescent="0.3">
      <c r="B28" s="60"/>
      <c r="C28" s="20"/>
      <c r="D28" s="18"/>
      <c r="E28" s="18"/>
      <c r="F28" s="19"/>
      <c r="G28" s="18"/>
      <c r="H28" s="20"/>
      <c r="I28" s="18"/>
      <c r="J28" s="18"/>
      <c r="K28" s="18"/>
      <c r="L28" s="18"/>
      <c r="M28" s="18"/>
      <c r="N28" s="18"/>
      <c r="O28" s="19"/>
      <c r="P28" s="18"/>
      <c r="Q28" s="20"/>
      <c r="R28" s="18"/>
      <c r="S28" s="18"/>
      <c r="T28" s="18"/>
      <c r="U28" s="18"/>
      <c r="V28" s="19"/>
      <c r="W28" s="19"/>
    </row>
    <row r="29" spans="2:23" x14ac:dyDescent="0.3">
      <c r="B29" s="60"/>
      <c r="C29" s="20"/>
      <c r="D29" s="18"/>
      <c r="E29" s="18"/>
      <c r="F29" s="19"/>
      <c r="G29" s="18"/>
      <c r="H29" s="20"/>
      <c r="I29" s="18"/>
      <c r="J29" s="18"/>
      <c r="K29" s="18"/>
      <c r="L29" s="18"/>
      <c r="M29" s="18"/>
      <c r="N29" s="18"/>
      <c r="O29" s="19"/>
      <c r="P29" s="18"/>
      <c r="Q29" s="20"/>
      <c r="R29" s="18"/>
      <c r="S29" s="18"/>
      <c r="T29" s="18"/>
      <c r="U29" s="18"/>
      <c r="V29" s="19"/>
      <c r="W29" s="19"/>
    </row>
    <row r="30" spans="2:23" x14ac:dyDescent="0.3">
      <c r="B30" s="60"/>
      <c r="C30" s="20"/>
      <c r="D30" s="18"/>
      <c r="E30" s="18"/>
      <c r="F30" s="19"/>
      <c r="G30" s="18"/>
      <c r="H30" s="20"/>
      <c r="I30" s="18"/>
      <c r="J30" s="18"/>
      <c r="K30" s="18"/>
      <c r="L30" s="18"/>
      <c r="M30" s="18"/>
      <c r="N30" s="18"/>
      <c r="O30" s="19"/>
      <c r="P30" s="18"/>
      <c r="Q30" s="20"/>
      <c r="R30" s="18"/>
      <c r="S30" s="18"/>
      <c r="T30" s="18"/>
      <c r="U30" s="18"/>
      <c r="V30" s="19"/>
      <c r="W30" s="19"/>
    </row>
    <row r="31" spans="2:23" x14ac:dyDescent="0.3">
      <c r="B31" s="60"/>
      <c r="C31" s="20"/>
      <c r="D31" s="18"/>
      <c r="E31" s="18"/>
      <c r="F31" s="19"/>
      <c r="G31" s="18"/>
      <c r="H31" s="20"/>
      <c r="I31" s="18"/>
      <c r="J31" s="18"/>
      <c r="K31" s="18"/>
      <c r="L31" s="18"/>
      <c r="M31" s="18"/>
      <c r="N31" s="18"/>
      <c r="O31" s="19"/>
      <c r="P31" s="18"/>
      <c r="Q31" s="20"/>
      <c r="R31" s="18"/>
      <c r="S31" s="18"/>
      <c r="T31" s="18"/>
      <c r="U31" s="18"/>
      <c r="V31" s="19"/>
      <c r="W31" s="19"/>
    </row>
    <row r="32" spans="2:23" x14ac:dyDescent="0.3">
      <c r="B32" s="60"/>
      <c r="C32" s="20"/>
      <c r="D32" s="18"/>
      <c r="E32" s="18"/>
      <c r="F32" s="19"/>
      <c r="G32" s="18"/>
      <c r="H32" s="20"/>
      <c r="I32" s="18"/>
      <c r="J32" s="18"/>
      <c r="K32" s="18"/>
      <c r="L32" s="18"/>
      <c r="M32" s="18"/>
      <c r="N32" s="18"/>
      <c r="O32" s="19"/>
      <c r="P32" s="18"/>
      <c r="Q32" s="20"/>
      <c r="R32" s="18"/>
      <c r="S32" s="18"/>
      <c r="T32" s="18"/>
      <c r="U32" s="18"/>
      <c r="V32" s="19"/>
      <c r="W32" s="19"/>
    </row>
    <row r="33" spans="2:23" x14ac:dyDescent="0.3">
      <c r="B33" s="60"/>
      <c r="C33" s="20"/>
      <c r="D33" s="18"/>
      <c r="E33" s="18"/>
      <c r="F33" s="19"/>
      <c r="G33" s="18"/>
      <c r="H33" s="20"/>
      <c r="I33" s="18"/>
      <c r="J33" s="18"/>
      <c r="K33" s="18"/>
      <c r="L33" s="18"/>
      <c r="M33" s="18"/>
      <c r="N33" s="18"/>
      <c r="O33" s="19"/>
      <c r="P33" s="18"/>
      <c r="Q33" s="20"/>
      <c r="R33" s="18"/>
      <c r="S33" s="18"/>
      <c r="T33" s="18"/>
      <c r="U33" s="18"/>
      <c r="V33" s="19"/>
      <c r="W33" s="19"/>
    </row>
    <row r="34" spans="2:23" x14ac:dyDescent="0.3">
      <c r="B34" s="60"/>
      <c r="C34" s="20"/>
      <c r="D34" s="18"/>
      <c r="E34" s="18"/>
      <c r="F34" s="19"/>
      <c r="G34" s="18"/>
      <c r="H34" s="20"/>
      <c r="I34" s="18"/>
      <c r="J34" s="18"/>
      <c r="K34" s="18"/>
      <c r="L34" s="18"/>
      <c r="M34" s="18"/>
      <c r="N34" s="18"/>
      <c r="O34" s="19"/>
      <c r="P34" s="18"/>
      <c r="Q34" s="20"/>
      <c r="R34" s="18"/>
      <c r="S34" s="18"/>
      <c r="T34" s="18"/>
      <c r="U34" s="18"/>
      <c r="V34" s="19"/>
      <c r="W34" s="19"/>
    </row>
    <row r="35" spans="2:23" x14ac:dyDescent="0.3">
      <c r="B35" s="60"/>
      <c r="C35" s="20"/>
      <c r="D35" s="18"/>
      <c r="E35" s="18"/>
      <c r="F35" s="19"/>
      <c r="G35" s="18"/>
      <c r="H35" s="20"/>
      <c r="I35" s="18"/>
      <c r="J35" s="18"/>
      <c r="K35" s="18"/>
      <c r="L35" s="18"/>
      <c r="M35" s="18"/>
      <c r="N35" s="18"/>
      <c r="O35" s="19"/>
      <c r="P35" s="18"/>
      <c r="Q35" s="20"/>
      <c r="R35" s="18"/>
      <c r="S35" s="18"/>
      <c r="T35" s="18"/>
      <c r="U35" s="18"/>
      <c r="V35" s="19"/>
      <c r="W35" s="19"/>
    </row>
    <row r="36" spans="2:23" x14ac:dyDescent="0.3">
      <c r="B36" s="60"/>
      <c r="C36" s="20"/>
      <c r="D36" s="18"/>
      <c r="E36" s="18"/>
      <c r="F36" s="19"/>
      <c r="G36" s="18"/>
      <c r="H36" s="20"/>
      <c r="I36" s="18"/>
      <c r="J36" s="18"/>
      <c r="K36" s="18"/>
      <c r="L36" s="18"/>
      <c r="M36" s="18"/>
      <c r="N36" s="18"/>
      <c r="O36" s="19"/>
      <c r="P36" s="18"/>
      <c r="Q36" s="20"/>
      <c r="R36" s="18"/>
      <c r="S36" s="18"/>
      <c r="T36" s="18"/>
      <c r="U36" s="18"/>
      <c r="V36" s="19"/>
      <c r="W36" s="19"/>
    </row>
    <row r="37" spans="2:23" x14ac:dyDescent="0.3">
      <c r="B37" s="60"/>
      <c r="C37" s="20"/>
      <c r="D37" s="18"/>
      <c r="E37" s="18"/>
      <c r="F37" s="19"/>
      <c r="G37" s="18"/>
      <c r="H37" s="20"/>
      <c r="I37" s="18"/>
      <c r="J37" s="18"/>
      <c r="K37" s="18"/>
      <c r="L37" s="18"/>
      <c r="M37" s="18"/>
      <c r="N37" s="18"/>
      <c r="O37" s="19"/>
      <c r="P37" s="18"/>
      <c r="Q37" s="20"/>
      <c r="R37" s="18"/>
      <c r="S37" s="18"/>
      <c r="T37" s="18"/>
      <c r="U37" s="18"/>
      <c r="V37" s="19"/>
      <c r="W37" s="19"/>
    </row>
    <row r="38" spans="2:23" x14ac:dyDescent="0.3">
      <c r="B38" s="60"/>
      <c r="C38" s="20"/>
      <c r="D38" s="18"/>
      <c r="E38" s="18"/>
      <c r="F38" s="19"/>
      <c r="G38" s="18"/>
      <c r="H38" s="20"/>
      <c r="I38" s="18"/>
      <c r="J38" s="18"/>
      <c r="K38" s="18"/>
      <c r="L38" s="18"/>
      <c r="M38" s="18"/>
      <c r="N38" s="18"/>
      <c r="O38" s="19"/>
      <c r="P38" s="18"/>
      <c r="Q38" s="20"/>
      <c r="R38" s="18"/>
      <c r="S38" s="18"/>
      <c r="T38" s="18"/>
      <c r="U38" s="18"/>
      <c r="V38" s="19"/>
      <c r="W38" s="19"/>
    </row>
    <row r="39" spans="2:23" x14ac:dyDescent="0.3">
      <c r="B39" s="60"/>
      <c r="C39" s="20"/>
      <c r="D39" s="18"/>
      <c r="E39" s="18"/>
      <c r="F39" s="19"/>
      <c r="G39" s="18"/>
      <c r="H39" s="20"/>
      <c r="I39" s="18"/>
      <c r="J39" s="18"/>
      <c r="K39" s="18"/>
      <c r="L39" s="18"/>
      <c r="M39" s="18"/>
      <c r="N39" s="18"/>
      <c r="O39" s="19"/>
      <c r="P39" s="18"/>
      <c r="Q39" s="20"/>
      <c r="R39" s="18"/>
      <c r="S39" s="18"/>
      <c r="T39" s="18"/>
      <c r="U39" s="18"/>
      <c r="V39" s="19"/>
      <c r="W39" s="19"/>
    </row>
    <row r="40" spans="2:23" x14ac:dyDescent="0.3">
      <c r="B40" s="60"/>
      <c r="C40" s="20"/>
      <c r="D40" s="18"/>
      <c r="E40" s="18"/>
      <c r="F40" s="19"/>
      <c r="G40" s="18"/>
      <c r="H40" s="20"/>
      <c r="I40" s="18"/>
      <c r="J40" s="18"/>
      <c r="K40" s="18"/>
      <c r="L40" s="18"/>
      <c r="M40" s="18"/>
      <c r="N40" s="18"/>
      <c r="O40" s="19"/>
      <c r="P40" s="18"/>
      <c r="Q40" s="20"/>
      <c r="R40" s="18"/>
      <c r="S40" s="18"/>
      <c r="T40" s="18"/>
      <c r="U40" s="18"/>
      <c r="V40" s="19"/>
      <c r="W40" s="19"/>
    </row>
    <row r="41" spans="2:23" x14ac:dyDescent="0.3">
      <c r="B41" s="60"/>
      <c r="C41" s="20"/>
      <c r="D41" s="18"/>
      <c r="E41" s="18"/>
      <c r="F41" s="19"/>
      <c r="G41" s="18"/>
      <c r="H41" s="20"/>
      <c r="I41" s="18"/>
      <c r="J41" s="18"/>
      <c r="K41" s="18"/>
      <c r="L41" s="18"/>
      <c r="M41" s="18"/>
      <c r="N41" s="18"/>
      <c r="O41" s="19"/>
      <c r="P41" s="18"/>
      <c r="Q41" s="20"/>
      <c r="R41" s="18"/>
      <c r="S41" s="18"/>
      <c r="T41" s="18"/>
      <c r="U41" s="18"/>
      <c r="V41" s="19"/>
      <c r="W41" s="19"/>
    </row>
    <row r="42" spans="2:23" x14ac:dyDescent="0.3">
      <c r="B42" s="60"/>
      <c r="C42" s="20"/>
      <c r="D42" s="18"/>
      <c r="E42" s="18"/>
      <c r="F42" s="19"/>
      <c r="G42" s="18"/>
      <c r="H42" s="20"/>
      <c r="I42" s="18"/>
      <c r="J42" s="18"/>
      <c r="K42" s="18"/>
      <c r="L42" s="18"/>
      <c r="M42" s="18"/>
      <c r="N42" s="18"/>
      <c r="O42" s="19"/>
      <c r="P42" s="18"/>
      <c r="Q42" s="20"/>
      <c r="R42" s="18"/>
      <c r="S42" s="18"/>
      <c r="T42" s="18"/>
      <c r="U42" s="18"/>
      <c r="V42" s="19"/>
      <c r="W42" s="19"/>
    </row>
    <row r="43" spans="2:23" x14ac:dyDescent="0.3">
      <c r="B43" s="60"/>
      <c r="C43" s="20"/>
      <c r="D43" s="18"/>
      <c r="E43" s="18"/>
      <c r="F43" s="19"/>
      <c r="G43" s="18"/>
      <c r="H43" s="20"/>
      <c r="I43" s="18"/>
      <c r="J43" s="18"/>
      <c r="K43" s="18"/>
      <c r="L43" s="18"/>
      <c r="M43" s="18"/>
      <c r="N43" s="18"/>
      <c r="O43" s="19"/>
      <c r="P43" s="18"/>
      <c r="Q43" s="20"/>
      <c r="R43" s="18"/>
      <c r="S43" s="18"/>
      <c r="T43" s="18"/>
      <c r="U43" s="18"/>
      <c r="V43" s="19"/>
      <c r="W43" s="19"/>
    </row>
    <row r="44" spans="2:23" x14ac:dyDescent="0.3">
      <c r="B44" s="60"/>
      <c r="C44" s="20"/>
      <c r="D44" s="18"/>
      <c r="E44" s="18"/>
      <c r="F44" s="19"/>
      <c r="G44" s="18"/>
      <c r="H44" s="20"/>
      <c r="I44" s="18"/>
      <c r="J44" s="18"/>
      <c r="K44" s="18"/>
      <c r="L44" s="18"/>
      <c r="M44" s="18"/>
      <c r="N44" s="18"/>
      <c r="O44" s="19"/>
      <c r="P44" s="18"/>
      <c r="Q44" s="20"/>
      <c r="R44" s="18"/>
      <c r="S44" s="18"/>
      <c r="T44" s="18"/>
      <c r="U44" s="18"/>
      <c r="V44" s="19"/>
      <c r="W44" s="19"/>
    </row>
    <row r="45" spans="2:23" x14ac:dyDescent="0.3">
      <c r="B45" s="60"/>
      <c r="C45" s="20"/>
      <c r="D45" s="18"/>
      <c r="E45" s="18"/>
      <c r="F45" s="19"/>
      <c r="G45" s="18"/>
      <c r="H45" s="20"/>
      <c r="I45" s="18"/>
      <c r="J45" s="18"/>
      <c r="K45" s="18"/>
      <c r="L45" s="18"/>
      <c r="M45" s="18"/>
      <c r="N45" s="18"/>
      <c r="O45" s="19"/>
      <c r="P45" s="18"/>
      <c r="Q45" s="20"/>
      <c r="R45" s="18"/>
      <c r="S45" s="18"/>
      <c r="T45" s="18"/>
      <c r="U45" s="18"/>
      <c r="V45" s="19"/>
      <c r="W45" s="19"/>
    </row>
    <row r="46" spans="2:23" ht="15" thickBot="1" x14ac:dyDescent="0.35">
      <c r="B46" s="60"/>
      <c r="C46" s="21"/>
      <c r="D46" s="22"/>
      <c r="E46" s="22"/>
      <c r="F46" s="23"/>
      <c r="G46" s="18"/>
      <c r="H46" s="21"/>
      <c r="I46" s="22"/>
      <c r="J46" s="22"/>
      <c r="K46" s="22"/>
      <c r="L46" s="22"/>
      <c r="M46" s="22"/>
      <c r="N46" s="22"/>
      <c r="O46" s="23"/>
      <c r="P46" s="18"/>
      <c r="Q46" s="21"/>
      <c r="R46" s="22"/>
      <c r="S46" s="22"/>
      <c r="T46" s="22"/>
      <c r="U46" s="22"/>
      <c r="V46" s="23"/>
      <c r="W46" s="19"/>
    </row>
    <row r="47" spans="2:23" ht="15" thickBot="1" x14ac:dyDescent="0.35">
      <c r="B47" s="6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</row>
  </sheetData>
  <mergeCells count="8">
    <mergeCell ref="T2:V2"/>
    <mergeCell ref="M4:V5"/>
    <mergeCell ref="C2:O2"/>
    <mergeCell ref="C27:F27"/>
    <mergeCell ref="H27:O27"/>
    <mergeCell ref="Q27:V27"/>
    <mergeCell ref="D4:H4"/>
    <mergeCell ref="I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49C6-4D26-454A-AB79-A90F60DAF01C}">
  <dimension ref="A1:E29"/>
  <sheetViews>
    <sheetView workbookViewId="0">
      <selection activeCell="C7" sqref="C7:C10"/>
    </sheetView>
  </sheetViews>
  <sheetFormatPr defaultRowHeight="14.4" x14ac:dyDescent="0.3"/>
  <cols>
    <col min="1" max="1" width="9" bestFit="1" customWidth="1"/>
    <col min="2" max="2" width="12.44140625" bestFit="1" customWidth="1"/>
    <col min="3" max="3" width="19.33203125" customWidth="1"/>
    <col min="4" max="4" width="33.44140625" customWidth="1"/>
    <col min="5" max="5" width="33.5546875" customWidth="1"/>
  </cols>
  <sheetData>
    <row r="1" spans="1:5" x14ac:dyDescent="0.3">
      <c r="A1" t="s">
        <v>27</v>
      </c>
      <c r="B1" t="s">
        <v>2</v>
      </c>
      <c r="C1" t="s">
        <v>52</v>
      </c>
      <c r="D1" t="s">
        <v>53</v>
      </c>
      <c r="E1" t="s">
        <v>54</v>
      </c>
    </row>
    <row r="2" spans="1:5" x14ac:dyDescent="0.3">
      <c r="A2">
        <v>2019</v>
      </c>
      <c r="B2" s="9">
        <v>1037351.6055473576</v>
      </c>
    </row>
    <row r="3" spans="1:5" x14ac:dyDescent="0.3">
      <c r="A3">
        <v>2020</v>
      </c>
      <c r="B3" s="9">
        <v>1481930.8650676538</v>
      </c>
    </row>
    <row r="4" spans="1:5" x14ac:dyDescent="0.3">
      <c r="A4">
        <v>2021</v>
      </c>
      <c r="B4" s="9">
        <v>1347209.8773342306</v>
      </c>
    </row>
    <row r="5" spans="1:5" x14ac:dyDescent="0.3">
      <c r="A5">
        <v>2022</v>
      </c>
      <c r="B5" s="9">
        <v>1924585.5390489011</v>
      </c>
    </row>
    <row r="6" spans="1:5" x14ac:dyDescent="0.3">
      <c r="A6">
        <v>2023</v>
      </c>
      <c r="B6" s="9">
        <v>2138428.3767210012</v>
      </c>
      <c r="C6" s="9">
        <v>2138428.3767210012</v>
      </c>
      <c r="D6" s="9">
        <v>2138428.3767210012</v>
      </c>
      <c r="E6" s="9">
        <v>2138428.3767210012</v>
      </c>
    </row>
    <row r="7" spans="1:5" x14ac:dyDescent="0.3">
      <c r="A7">
        <v>2024</v>
      </c>
      <c r="C7" s="9">
        <f>_xlfn.FORECAST.ETS(A7,$B$2:$B$6,$A$2:$A$6,1,1)</f>
        <v>2553441.9333955985</v>
      </c>
      <c r="D7" s="9">
        <f>C7-_xlfn.FORECAST.ETS.CONFINT(A7,$B$2:$B$6,$A$2:$A$6,0.95,1,1)</f>
        <v>2309990.8092867197</v>
      </c>
      <c r="E7" s="9">
        <f>C7+_xlfn.FORECAST.ETS.CONFINT(A7,$B$2:$B$6,$A$2:$A$6,0.95,1,1)</f>
        <v>2796893.0575044774</v>
      </c>
    </row>
    <row r="8" spans="1:5" x14ac:dyDescent="0.3">
      <c r="A8">
        <v>2025</v>
      </c>
      <c r="C8" s="9">
        <f>_xlfn.FORECAST.ETS(A8,$B$2:$B$6,$A$2:$A$6,1,1)</f>
        <v>2536047.5348326806</v>
      </c>
      <c r="D8" s="9">
        <f>C8-_xlfn.FORECAST.ETS.CONFINT(A8,$B$2:$B$6,$A$2:$A$6,0.95,1,1)</f>
        <v>2284985.3244786067</v>
      </c>
      <c r="E8" s="9">
        <f>C8+_xlfn.FORECAST.ETS.CONFINT(A8,$B$2:$B$6,$A$2:$A$6,0.95,1,1)</f>
        <v>2787109.7451867545</v>
      </c>
    </row>
    <row r="9" spans="1:5" x14ac:dyDescent="0.3">
      <c r="A9">
        <v>2026</v>
      </c>
      <c r="C9" s="9">
        <f>_xlfn.FORECAST.ETS(A9,$B$2:$B$6,$A$2:$A$6,1,1)</f>
        <v>3070660.242912862</v>
      </c>
      <c r="D9" s="9">
        <f>C9-_xlfn.FORECAST.ETS.CONFINT(A9,$B$2:$B$6,$A$2:$A$6,0.95,1,1)</f>
        <v>2812094.9769216664</v>
      </c>
      <c r="E9" s="9">
        <f>C9+_xlfn.FORECAST.ETS.CONFINT(A9,$B$2:$B$6,$A$2:$A$6,0.95,1,1)</f>
        <v>3329225.5089040576</v>
      </c>
    </row>
    <row r="10" spans="1:5" x14ac:dyDescent="0.3">
      <c r="A10">
        <v>2027</v>
      </c>
      <c r="C10" s="9">
        <f>_xlfn.FORECAST.ETS(A10,$B$2:$B$6,$A$2:$A$6,1,1)</f>
        <v>3053265.844349944</v>
      </c>
      <c r="D10" s="9">
        <f>C10-_xlfn.FORECAST.ETS.CONFINT(A10,$B$2:$B$6,$A$2:$A$6,0.95,1,1)</f>
        <v>2787409.1910829591</v>
      </c>
      <c r="E10" s="9">
        <f>C10+_xlfn.FORECAST.ETS.CONFINT(A10,$B$2:$B$6,$A$2:$A$6,0.95,1,1)</f>
        <v>3319122.497616929</v>
      </c>
    </row>
    <row r="16" spans="1:5" x14ac:dyDescent="0.3">
      <c r="C16">
        <v>2553441.9333955985</v>
      </c>
    </row>
    <row r="17" spans="2:5" x14ac:dyDescent="0.3">
      <c r="C17">
        <v>2536047.5348326806</v>
      </c>
    </row>
    <row r="18" spans="2:5" x14ac:dyDescent="0.3">
      <c r="C18">
        <v>3070660.242912862</v>
      </c>
    </row>
    <row r="19" spans="2:5" x14ac:dyDescent="0.3">
      <c r="C19">
        <v>3053265.844349944</v>
      </c>
    </row>
    <row r="25" spans="2:5" x14ac:dyDescent="0.3">
      <c r="B25" s="8">
        <v>309000</v>
      </c>
      <c r="C25" s="4">
        <v>335000</v>
      </c>
      <c r="D25" t="s">
        <v>23</v>
      </c>
    </row>
    <row r="26" spans="2:5" x14ac:dyDescent="0.3">
      <c r="C26" s="4"/>
    </row>
    <row r="27" spans="2:5" x14ac:dyDescent="0.3">
      <c r="B27" t="s">
        <v>5</v>
      </c>
      <c r="C27" s="4">
        <v>101100</v>
      </c>
      <c r="D27" t="s">
        <v>6</v>
      </c>
      <c r="E27" t="s">
        <v>24</v>
      </c>
    </row>
    <row r="29" spans="2:5" x14ac:dyDescent="0.3">
      <c r="C29">
        <f>C27/C25</f>
        <v>0.3017910447761194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0DD7-A824-45BA-BB87-3FF7D3B57EC5}">
  <dimension ref="A1:I52"/>
  <sheetViews>
    <sheetView topLeftCell="A28" workbookViewId="0">
      <selection activeCell="M32" sqref="M32"/>
    </sheetView>
  </sheetViews>
  <sheetFormatPr defaultRowHeight="14.4" x14ac:dyDescent="0.3"/>
  <cols>
    <col min="1" max="1" width="10.77734375" bestFit="1" customWidth="1"/>
    <col min="2" max="2" width="12.44140625" bestFit="1" customWidth="1"/>
    <col min="3" max="3" width="11.44140625" bestFit="1" customWidth="1"/>
    <col min="4" max="4" width="12.6640625" bestFit="1" customWidth="1"/>
    <col min="5" max="5" width="15.21875" bestFit="1" customWidth="1"/>
    <col min="7" max="7" width="10.77734375" bestFit="1" customWidth="1"/>
    <col min="8" max="8" width="9.109375" bestFit="1" customWidth="1"/>
    <col min="9" max="9" width="7" bestFit="1" customWidth="1"/>
    <col min="10" max="10" width="12" bestFit="1" customWidth="1"/>
    <col min="11" max="11" width="9" customWidth="1"/>
  </cols>
  <sheetData>
    <row r="1" spans="1:9" x14ac:dyDescent="0.3">
      <c r="A1" s="2" t="s">
        <v>51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t="s">
        <v>43</v>
      </c>
      <c r="B3" t="s">
        <v>42</v>
      </c>
      <c r="C3" t="s">
        <v>2</v>
      </c>
      <c r="D3" t="s">
        <v>41</v>
      </c>
      <c r="E3" t="s">
        <v>3</v>
      </c>
      <c r="G3" s="7" t="s">
        <v>42</v>
      </c>
      <c r="H3" t="s">
        <v>1</v>
      </c>
      <c r="I3" t="s">
        <v>45</v>
      </c>
    </row>
    <row r="4" spans="1:9" x14ac:dyDescent="0.3">
      <c r="A4">
        <v>2023</v>
      </c>
      <c r="B4" t="s">
        <v>28</v>
      </c>
      <c r="C4" s="5">
        <v>100000</v>
      </c>
      <c r="D4" s="5">
        <f>C4*(1-E4)</f>
        <v>60000</v>
      </c>
      <c r="E4" s="3">
        <v>0.4</v>
      </c>
      <c r="G4" t="s">
        <v>28</v>
      </c>
      <c r="H4" s="8">
        <v>100000</v>
      </c>
      <c r="I4" s="1">
        <v>0.4</v>
      </c>
    </row>
    <row r="5" spans="1:9" x14ac:dyDescent="0.3">
      <c r="A5">
        <v>2023</v>
      </c>
      <c r="B5" t="s">
        <v>29</v>
      </c>
      <c r="C5" s="5">
        <f>C4*1.1</f>
        <v>110000.00000000001</v>
      </c>
      <c r="D5" s="5">
        <f t="shared" ref="D5:D15" si="0">C5*(1-E5)</f>
        <v>67100.000000000015</v>
      </c>
      <c r="E5" s="3">
        <f>E4-0.01</f>
        <v>0.39</v>
      </c>
      <c r="G5" t="s">
        <v>29</v>
      </c>
      <c r="H5" s="8">
        <v>110000.00000000001</v>
      </c>
      <c r="I5" s="1">
        <v>0.39</v>
      </c>
    </row>
    <row r="6" spans="1:9" x14ac:dyDescent="0.3">
      <c r="A6">
        <v>2023</v>
      </c>
      <c r="B6" t="s">
        <v>30</v>
      </c>
      <c r="C6" s="5">
        <f t="shared" ref="C6:C14" si="1">C5*1.1</f>
        <v>121000.00000000003</v>
      </c>
      <c r="D6" s="5">
        <f t="shared" si="0"/>
        <v>75020.000000000015</v>
      </c>
      <c r="E6" s="3">
        <f t="shared" ref="E6:E14" si="2">E5-0.01</f>
        <v>0.38</v>
      </c>
      <c r="G6" t="s">
        <v>30</v>
      </c>
      <c r="H6" s="8">
        <v>121000.00000000003</v>
      </c>
      <c r="I6" s="1">
        <v>0.38</v>
      </c>
    </row>
    <row r="7" spans="1:9" x14ac:dyDescent="0.3">
      <c r="A7">
        <v>2023</v>
      </c>
      <c r="B7" t="s">
        <v>31</v>
      </c>
      <c r="C7" s="5">
        <f t="shared" si="1"/>
        <v>133100.00000000003</v>
      </c>
      <c r="D7" s="5">
        <f t="shared" si="0"/>
        <v>93170.000000000015</v>
      </c>
      <c r="E7" s="3">
        <v>0.3</v>
      </c>
      <c r="G7" t="s">
        <v>31</v>
      </c>
      <c r="H7" s="8">
        <v>133100.00000000003</v>
      </c>
      <c r="I7" s="1">
        <v>0.3</v>
      </c>
    </row>
    <row r="8" spans="1:9" x14ac:dyDescent="0.3">
      <c r="A8">
        <v>2023</v>
      </c>
      <c r="B8" t="s">
        <v>32</v>
      </c>
      <c r="C8" s="5">
        <f t="shared" si="1"/>
        <v>146410.00000000006</v>
      </c>
      <c r="D8" s="5">
        <f t="shared" si="0"/>
        <v>103951.10000000003</v>
      </c>
      <c r="E8" s="3">
        <f t="shared" si="2"/>
        <v>0.28999999999999998</v>
      </c>
      <c r="G8" t="s">
        <v>32</v>
      </c>
      <c r="H8" s="8">
        <v>146410.00000000006</v>
      </c>
      <c r="I8" s="1">
        <v>0.28999999999999998</v>
      </c>
    </row>
    <row r="9" spans="1:9" x14ac:dyDescent="0.3">
      <c r="A9">
        <v>2023</v>
      </c>
      <c r="B9" t="s">
        <v>33</v>
      </c>
      <c r="C9" s="5">
        <f t="shared" si="1"/>
        <v>161051.00000000009</v>
      </c>
      <c r="D9" s="5">
        <f t="shared" si="0"/>
        <v>115956.72000000006</v>
      </c>
      <c r="E9" s="3">
        <f t="shared" si="2"/>
        <v>0.27999999999999997</v>
      </c>
      <c r="G9" t="s">
        <v>33</v>
      </c>
      <c r="H9" s="8">
        <v>161051.00000000009</v>
      </c>
      <c r="I9" s="1">
        <v>0.27999999999999997</v>
      </c>
    </row>
    <row r="10" spans="1:9" x14ac:dyDescent="0.3">
      <c r="A10">
        <v>2023</v>
      </c>
      <c r="B10" t="s">
        <v>34</v>
      </c>
      <c r="C10" s="5">
        <f t="shared" si="1"/>
        <v>177156.10000000012</v>
      </c>
      <c r="D10" s="5">
        <f t="shared" si="0"/>
        <v>129323.95300000008</v>
      </c>
      <c r="E10" s="3">
        <f t="shared" si="2"/>
        <v>0.26999999999999996</v>
      </c>
      <c r="G10" t="s">
        <v>34</v>
      </c>
      <c r="H10" s="8">
        <v>177156.10000000012</v>
      </c>
      <c r="I10" s="1">
        <v>0.26999999999999996</v>
      </c>
    </row>
    <row r="11" spans="1:9" x14ac:dyDescent="0.3">
      <c r="A11">
        <v>2023</v>
      </c>
      <c r="B11" t="s">
        <v>35</v>
      </c>
      <c r="C11" s="5">
        <f t="shared" si="1"/>
        <v>194871.71000000014</v>
      </c>
      <c r="D11" s="5">
        <f t="shared" si="0"/>
        <v>144205.06540000011</v>
      </c>
      <c r="E11" s="3">
        <f t="shared" si="2"/>
        <v>0.25999999999999995</v>
      </c>
      <c r="G11" t="s">
        <v>35</v>
      </c>
      <c r="H11" s="8">
        <v>194871.71000000014</v>
      </c>
      <c r="I11" s="1">
        <v>0.25999999999999995</v>
      </c>
    </row>
    <row r="12" spans="1:9" x14ac:dyDescent="0.3">
      <c r="A12">
        <v>2023</v>
      </c>
      <c r="B12" t="s">
        <v>36</v>
      </c>
      <c r="C12" s="5">
        <f t="shared" si="1"/>
        <v>214358.88100000017</v>
      </c>
      <c r="D12" s="5">
        <f t="shared" si="0"/>
        <v>158625.57194000011</v>
      </c>
      <c r="E12" s="3">
        <v>0.26</v>
      </c>
      <c r="G12" t="s">
        <v>36</v>
      </c>
      <c r="H12" s="8">
        <v>214358.88100000017</v>
      </c>
      <c r="I12" s="1">
        <v>0.26</v>
      </c>
    </row>
    <row r="13" spans="1:9" x14ac:dyDescent="0.3">
      <c r="A13">
        <v>2023</v>
      </c>
      <c r="B13" t="s">
        <v>37</v>
      </c>
      <c r="C13" s="5">
        <f t="shared" si="1"/>
        <v>235794.76910000021</v>
      </c>
      <c r="D13" s="5">
        <f t="shared" si="0"/>
        <v>172130.18144300015</v>
      </c>
      <c r="E13" s="3">
        <v>0.27</v>
      </c>
      <c r="G13" t="s">
        <v>37</v>
      </c>
      <c r="H13" s="8">
        <v>235794.76910000021</v>
      </c>
      <c r="I13" s="1">
        <v>0.27</v>
      </c>
    </row>
    <row r="14" spans="1:9" x14ac:dyDescent="0.3">
      <c r="A14">
        <v>2023</v>
      </c>
      <c r="B14" t="s">
        <v>38</v>
      </c>
      <c r="C14" s="5">
        <f t="shared" si="1"/>
        <v>259374.24601000026</v>
      </c>
      <c r="D14" s="5">
        <f t="shared" si="0"/>
        <v>189343.19958730019</v>
      </c>
      <c r="E14" s="3">
        <v>0.27</v>
      </c>
      <c r="G14" t="s">
        <v>38</v>
      </c>
      <c r="H14" s="8">
        <v>259374.24601000026</v>
      </c>
      <c r="I14" s="1">
        <v>0.27</v>
      </c>
    </row>
    <row r="15" spans="1:9" x14ac:dyDescent="0.3">
      <c r="A15">
        <v>2023</v>
      </c>
      <c r="B15" t="s">
        <v>39</v>
      </c>
      <c r="C15" s="5">
        <f t="shared" ref="C15" si="3">C14*1.1</f>
        <v>285311.67061100033</v>
      </c>
      <c r="D15" s="5">
        <f t="shared" si="0"/>
        <v>211130.63625214025</v>
      </c>
      <c r="E15" s="3">
        <f t="shared" ref="E15" si="4">E14-0.01</f>
        <v>0.26</v>
      </c>
      <c r="G15" t="s">
        <v>39</v>
      </c>
      <c r="H15" s="8">
        <v>285311.67061100033</v>
      </c>
      <c r="I15" s="1">
        <v>0.26</v>
      </c>
    </row>
    <row r="16" spans="1:9" x14ac:dyDescent="0.3">
      <c r="C16" s="9">
        <f>SUM(C4:C15)-SUM(D4:D15)</f>
        <v>618471.94909856026</v>
      </c>
      <c r="D16" s="5">
        <f>SUM(C4:C15)</f>
        <v>2138428.3767210012</v>
      </c>
      <c r="E16">
        <f>C16/D16</f>
        <v>0.28921798636384805</v>
      </c>
      <c r="G16" t="s">
        <v>40</v>
      </c>
      <c r="H16" s="8">
        <v>2138428.3767210012</v>
      </c>
      <c r="I16" s="1">
        <v>3.63</v>
      </c>
    </row>
    <row r="17" spans="1:9" x14ac:dyDescent="0.3">
      <c r="A17" s="7" t="s">
        <v>42</v>
      </c>
      <c r="B17" t="s">
        <v>1</v>
      </c>
      <c r="C17" t="s">
        <v>45</v>
      </c>
      <c r="D17" t="s">
        <v>44</v>
      </c>
    </row>
    <row r="18" spans="1:9" x14ac:dyDescent="0.3">
      <c r="A18" t="s">
        <v>28</v>
      </c>
      <c r="B18" s="8">
        <v>100000</v>
      </c>
      <c r="C18" s="1">
        <v>0.4</v>
      </c>
      <c r="D18" s="6">
        <v>60000</v>
      </c>
      <c r="G18" s="7" t="s">
        <v>42</v>
      </c>
      <c r="H18" t="s">
        <v>1</v>
      </c>
      <c r="I18" t="s">
        <v>48</v>
      </c>
    </row>
    <row r="19" spans="1:9" x14ac:dyDescent="0.3">
      <c r="A19" t="s">
        <v>29</v>
      </c>
      <c r="B19" s="8">
        <v>110000.00000000001</v>
      </c>
      <c r="C19" s="1">
        <v>0.39</v>
      </c>
      <c r="D19" s="6">
        <v>67100.000000000015</v>
      </c>
      <c r="G19" t="s">
        <v>28</v>
      </c>
      <c r="H19" s="8">
        <v>100000</v>
      </c>
      <c r="I19" s="8">
        <v>60000</v>
      </c>
    </row>
    <row r="20" spans="1:9" x14ac:dyDescent="0.3">
      <c r="A20" t="s">
        <v>30</v>
      </c>
      <c r="B20" s="8">
        <v>121000.00000000003</v>
      </c>
      <c r="C20" s="1">
        <v>0.38</v>
      </c>
      <c r="D20" s="6">
        <v>75020.000000000015</v>
      </c>
      <c r="G20" t="s">
        <v>29</v>
      </c>
      <c r="H20" s="8">
        <v>110000.00000000001</v>
      </c>
      <c r="I20" s="6">
        <v>67100.000000000015</v>
      </c>
    </row>
    <row r="21" spans="1:9" x14ac:dyDescent="0.3">
      <c r="A21" t="s">
        <v>31</v>
      </c>
      <c r="B21" s="8">
        <v>133100.00000000003</v>
      </c>
      <c r="C21" s="1">
        <v>0.3</v>
      </c>
      <c r="D21" s="6">
        <v>93170.000000000015</v>
      </c>
      <c r="G21" t="s">
        <v>30</v>
      </c>
      <c r="H21" s="8">
        <v>121000.00000000003</v>
      </c>
      <c r="I21" s="6">
        <v>75020.000000000015</v>
      </c>
    </row>
    <row r="22" spans="1:9" x14ac:dyDescent="0.3">
      <c r="A22" t="s">
        <v>32</v>
      </c>
      <c r="B22" s="8">
        <v>146410.00000000006</v>
      </c>
      <c r="C22" s="1">
        <v>0.28999999999999998</v>
      </c>
      <c r="D22" s="6">
        <v>103951.10000000003</v>
      </c>
      <c r="G22" t="s">
        <v>31</v>
      </c>
      <c r="H22" s="8">
        <v>133100.00000000003</v>
      </c>
      <c r="I22" s="6">
        <v>93170.000000000015</v>
      </c>
    </row>
    <row r="23" spans="1:9" x14ac:dyDescent="0.3">
      <c r="A23" t="s">
        <v>33</v>
      </c>
      <c r="B23" s="8">
        <v>161051.00000000009</v>
      </c>
      <c r="C23" s="1">
        <v>0.27999999999999997</v>
      </c>
      <c r="D23" s="6">
        <v>115956.72000000006</v>
      </c>
      <c r="G23" t="s">
        <v>32</v>
      </c>
      <c r="H23" s="8">
        <v>146410.00000000006</v>
      </c>
      <c r="I23" s="6">
        <v>103951.10000000003</v>
      </c>
    </row>
    <row r="24" spans="1:9" x14ac:dyDescent="0.3">
      <c r="A24" t="s">
        <v>34</v>
      </c>
      <c r="B24" s="8">
        <v>177156.10000000012</v>
      </c>
      <c r="C24" s="1">
        <v>0.26999999999999996</v>
      </c>
      <c r="D24" s="6">
        <v>129323.95300000008</v>
      </c>
      <c r="G24" t="s">
        <v>33</v>
      </c>
      <c r="H24" s="8">
        <v>161051.00000000009</v>
      </c>
      <c r="I24" s="6">
        <v>115956.72000000006</v>
      </c>
    </row>
    <row r="25" spans="1:9" x14ac:dyDescent="0.3">
      <c r="A25" t="s">
        <v>35</v>
      </c>
      <c r="B25" s="8">
        <v>194871.71000000014</v>
      </c>
      <c r="C25" s="1">
        <v>0.25999999999999995</v>
      </c>
      <c r="D25" s="6">
        <v>144205.06540000011</v>
      </c>
      <c r="G25" t="s">
        <v>34</v>
      </c>
      <c r="H25" s="8">
        <v>177156.10000000012</v>
      </c>
      <c r="I25" s="6">
        <v>129323.95300000008</v>
      </c>
    </row>
    <row r="26" spans="1:9" x14ac:dyDescent="0.3">
      <c r="A26" t="s">
        <v>36</v>
      </c>
      <c r="B26" s="8">
        <v>214358.88100000017</v>
      </c>
      <c r="C26" s="1">
        <v>0.26</v>
      </c>
      <c r="D26" s="6">
        <v>158625.57194000011</v>
      </c>
      <c r="G26" t="s">
        <v>35</v>
      </c>
      <c r="H26" s="8">
        <v>194871.71000000014</v>
      </c>
      <c r="I26" s="6">
        <v>144205.06540000011</v>
      </c>
    </row>
    <row r="27" spans="1:9" x14ac:dyDescent="0.3">
      <c r="A27" t="s">
        <v>37</v>
      </c>
      <c r="B27" s="8">
        <v>235794.76910000021</v>
      </c>
      <c r="C27" s="1">
        <v>0.27</v>
      </c>
      <c r="D27" s="6">
        <v>172130.18144300015</v>
      </c>
      <c r="G27" t="s">
        <v>36</v>
      </c>
      <c r="H27" s="8">
        <v>214358.88100000017</v>
      </c>
      <c r="I27" s="6">
        <v>158625.57194000011</v>
      </c>
    </row>
    <row r="28" spans="1:9" x14ac:dyDescent="0.3">
      <c r="A28" t="s">
        <v>38</v>
      </c>
      <c r="B28" s="8">
        <v>259374.24601000026</v>
      </c>
      <c r="C28" s="1">
        <v>0.27</v>
      </c>
      <c r="D28" s="6">
        <v>189343.19958730019</v>
      </c>
      <c r="G28" t="s">
        <v>37</v>
      </c>
      <c r="H28" s="8">
        <v>235794.76910000021</v>
      </c>
      <c r="I28" s="6">
        <v>172130.18144300015</v>
      </c>
    </row>
    <row r="29" spans="1:9" x14ac:dyDescent="0.3">
      <c r="A29" t="s">
        <v>39</v>
      </c>
      <c r="B29" s="8">
        <v>285311.67061100033</v>
      </c>
      <c r="C29" s="1">
        <v>0.26</v>
      </c>
      <c r="D29" s="6">
        <v>211130.63625214025</v>
      </c>
      <c r="G29" t="s">
        <v>38</v>
      </c>
      <c r="H29" s="8">
        <v>259374.24601000026</v>
      </c>
      <c r="I29" s="6">
        <v>189343.19958730019</v>
      </c>
    </row>
    <row r="30" spans="1:9" x14ac:dyDescent="0.3">
      <c r="A30" t="s">
        <v>40</v>
      </c>
      <c r="B30" s="8">
        <v>2138428.3767210012</v>
      </c>
      <c r="C30" s="1">
        <v>3.63</v>
      </c>
      <c r="D30" s="6">
        <v>1519956.427622441</v>
      </c>
      <c r="G30" t="s">
        <v>39</v>
      </c>
      <c r="H30" s="8">
        <v>285311.67061100033</v>
      </c>
      <c r="I30" s="6">
        <v>211130.63625214025</v>
      </c>
    </row>
    <row r="31" spans="1:9" x14ac:dyDescent="0.3">
      <c r="G31" t="s">
        <v>40</v>
      </c>
      <c r="H31" s="8">
        <v>2138428.3767210012</v>
      </c>
      <c r="I31" s="6">
        <v>1519956.427622441</v>
      </c>
    </row>
    <row r="34" spans="1:4" x14ac:dyDescent="0.3">
      <c r="A34" t="s">
        <v>27</v>
      </c>
      <c r="B34" t="s">
        <v>2</v>
      </c>
      <c r="C34" t="s">
        <v>41</v>
      </c>
      <c r="D34" t="s">
        <v>3</v>
      </c>
    </row>
    <row r="35" spans="1:4" x14ac:dyDescent="0.3">
      <c r="A35">
        <v>2019</v>
      </c>
      <c r="B35" s="9">
        <f>B36*0.7</f>
        <v>1037351.6055473576</v>
      </c>
      <c r="C35" s="5">
        <f t="shared" ref="C35:C39" si="5">B35*(1-D35)</f>
        <v>726146.12388315029</v>
      </c>
      <c r="D35">
        <v>0.3</v>
      </c>
    </row>
    <row r="36" spans="1:4" x14ac:dyDescent="0.3">
      <c r="A36">
        <v>2020</v>
      </c>
      <c r="B36" s="9">
        <f>B37*1.1</f>
        <v>1481930.8650676538</v>
      </c>
      <c r="C36" s="5">
        <f t="shared" si="5"/>
        <v>1037351.6055473576</v>
      </c>
      <c r="D36">
        <v>0.3</v>
      </c>
    </row>
    <row r="37" spans="1:4" x14ac:dyDescent="0.3">
      <c r="A37">
        <v>2021</v>
      </c>
      <c r="B37" s="9">
        <f>B38*0.7</f>
        <v>1347209.8773342306</v>
      </c>
      <c r="C37" s="5">
        <f t="shared" si="5"/>
        <v>916102.71658727666</v>
      </c>
      <c r="D37">
        <v>0.32</v>
      </c>
    </row>
    <row r="38" spans="1:4" x14ac:dyDescent="0.3">
      <c r="A38">
        <v>2022</v>
      </c>
      <c r="B38" s="9">
        <f>B39*0.9</f>
        <v>1924585.5390489011</v>
      </c>
      <c r="C38" s="5">
        <f t="shared" si="5"/>
        <v>1385701.5881152088</v>
      </c>
      <c r="D38">
        <v>0.28000000000000003</v>
      </c>
    </row>
    <row r="39" spans="1:4" x14ac:dyDescent="0.3">
      <c r="A39">
        <v>2023</v>
      </c>
      <c r="B39" s="5">
        <f>SUM(C4:C15)</f>
        <v>2138428.3767210012</v>
      </c>
      <c r="C39" s="5">
        <f t="shared" si="5"/>
        <v>1518284.1474719108</v>
      </c>
      <c r="D39">
        <v>0.28999999999999998</v>
      </c>
    </row>
    <row r="40" spans="1:4" x14ac:dyDescent="0.3">
      <c r="A40">
        <v>2024</v>
      </c>
    </row>
    <row r="41" spans="1:4" x14ac:dyDescent="0.3">
      <c r="A41">
        <v>2025</v>
      </c>
    </row>
    <row r="42" spans="1:4" x14ac:dyDescent="0.3">
      <c r="A42">
        <v>2026</v>
      </c>
    </row>
    <row r="44" spans="1:4" x14ac:dyDescent="0.3">
      <c r="A44" t="s">
        <v>27</v>
      </c>
      <c r="B44" t="s">
        <v>55</v>
      </c>
      <c r="C44" t="s">
        <v>56</v>
      </c>
      <c r="D44" t="s">
        <v>57</v>
      </c>
    </row>
    <row r="45" spans="1:4" x14ac:dyDescent="0.3">
      <c r="A45">
        <v>2019</v>
      </c>
      <c r="B45">
        <v>414940.64221894305</v>
      </c>
      <c r="C45">
        <v>311205.48166420724</v>
      </c>
      <c r="D45">
        <v>311205.48166420724</v>
      </c>
    </row>
    <row r="46" spans="1:4" x14ac:dyDescent="0.3">
      <c r="A46">
        <v>2020</v>
      </c>
      <c r="B46">
        <v>444579.25952029612</v>
      </c>
      <c r="C46">
        <v>474217.87682164914</v>
      </c>
      <c r="D46">
        <v>563133.72872570844</v>
      </c>
    </row>
    <row r="47" spans="1:4" x14ac:dyDescent="0.3">
      <c r="A47">
        <v>2021</v>
      </c>
      <c r="B47">
        <v>471523.45706698066</v>
      </c>
      <c r="C47">
        <v>417635.06197361147</v>
      </c>
      <c r="D47">
        <v>458051.35829363845</v>
      </c>
    </row>
    <row r="48" spans="1:4" x14ac:dyDescent="0.3">
      <c r="A48">
        <v>2022</v>
      </c>
      <c r="B48">
        <v>866063.49257200549</v>
      </c>
      <c r="C48">
        <v>288687.83085733518</v>
      </c>
      <c r="D48">
        <v>769834.21561956045</v>
      </c>
    </row>
    <row r="49" spans="1:4" x14ac:dyDescent="0.3">
      <c r="A49">
        <v>2023</v>
      </c>
      <c r="B49">
        <v>1069214.1883605006</v>
      </c>
      <c r="C49">
        <v>235227.12143931011</v>
      </c>
      <c r="D49">
        <v>833987.06692119048</v>
      </c>
    </row>
    <row r="50" spans="1:4" x14ac:dyDescent="0.3">
      <c r="A50">
        <v>2024</v>
      </c>
      <c r="B50">
        <v>842635.83802054753</v>
      </c>
      <c r="C50">
        <v>893704.67668845924</v>
      </c>
      <c r="D50">
        <v>817101.41868659155</v>
      </c>
    </row>
    <row r="51" spans="1:4" x14ac:dyDescent="0.3">
      <c r="A51">
        <v>2025</v>
      </c>
      <c r="B51">
        <v>938337.5878880918</v>
      </c>
      <c r="C51">
        <v>684732.83440482384</v>
      </c>
      <c r="D51">
        <v>912977.11253976496</v>
      </c>
    </row>
    <row r="52" spans="1:4" x14ac:dyDescent="0.3">
      <c r="A52">
        <v>2026</v>
      </c>
      <c r="B52">
        <v>1105437.6874486303</v>
      </c>
      <c r="C52">
        <v>1013317.8801612445</v>
      </c>
      <c r="D52">
        <v>951904.67530298722</v>
      </c>
    </row>
  </sheetData>
  <mergeCells count="1">
    <mergeCell ref="A1:I2"/>
  </mergeCells>
  <phoneticPr fontId="4" type="noConversion"/>
  <pageMargins left="0.7" right="0.7" top="0.75" bottom="0.75" header="0.3" footer="0.3"/>
  <ignoredErrors>
    <ignoredError sqref="B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Analysis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S G</dc:creator>
  <cp:lastModifiedBy>Meghana S G</cp:lastModifiedBy>
  <dcterms:created xsi:type="dcterms:W3CDTF">2024-01-21T09:53:25Z</dcterms:created>
  <dcterms:modified xsi:type="dcterms:W3CDTF">2024-01-21T11:59:18Z</dcterms:modified>
</cp:coreProperties>
</file>