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defaultThemeVersion="166925"/>
  <mc:AlternateContent xmlns:mc="http://schemas.openxmlformats.org/markup-compatibility/2006">
    <mc:Choice Requires="x15">
      <x15ac:absPath xmlns:x15ac="http://schemas.microsoft.com/office/spreadsheetml/2010/11/ac" url="D:\UB\Summer'20\statistics\"/>
    </mc:Choice>
  </mc:AlternateContent>
  <xr:revisionPtr revIDLastSave="0" documentId="13_ncr:1_{B923DCB5-1B20-4D15-84FE-CAC72561DD12}" xr6:coauthVersionLast="36" xr6:coauthVersionMax="36" xr10:uidLastSave="{00000000-0000-0000-0000-000000000000}"/>
  <bookViews>
    <workbookView xWindow="0" yWindow="0" windowWidth="9024" windowHeight="7056" tabRatio="798" xr2:uid="{EB6BF84A-3D10-4704-8D57-25E430C4B919}"/>
  </bookViews>
  <sheets>
    <sheet name="Mean based simulation" sheetId="1" r:id="rId1"/>
    <sheet name="Proportion based simulation" sheetId="2" r:id="rId2"/>
    <sheet name="Hypothesis Testing Steps" sheetId="3" r:id="rId3"/>
    <sheet name="HT Types" sheetId="4" r:id="rId4"/>
    <sheet name="HT-Proportion" sheetId="5" r:id="rId5"/>
    <sheet name="HT - Mean" sheetId="6" r:id="rId6"/>
    <sheet name="HT-mean2" sheetId="8" r:id="rId7"/>
    <sheet name="Errors - Type 1 and 2" sheetId="7" r:id="rId8"/>
    <sheet name="T-Test" sheetId="9" r:id="rId9"/>
    <sheet name="ComparingPopulationsProportion" sheetId="10" r:id="rId10"/>
    <sheet name="ComparingPopulationsMeans" sheetId="11" r:id="rId11"/>
    <sheet name="Chi square test" sheetId="12" r:id="rId12"/>
    <sheet name="ANOVA" sheetId="13" r:id="rId13"/>
    <sheet name="ANOVA 2" sheetId="14" r:id="rId14"/>
    <sheet name="ANOVA 2 (2)" sheetId="15" r:id="rId1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12" l="1"/>
  <c r="D17" i="12" s="1"/>
  <c r="J24" i="13"/>
  <c r="J26" i="13" s="1"/>
  <c r="C14" i="13"/>
  <c r="O7" i="14"/>
  <c r="B37" i="15"/>
  <c r="B35" i="15"/>
  <c r="B33" i="15"/>
  <c r="C33" i="15"/>
  <c r="D33" i="15"/>
  <c r="B34" i="15"/>
  <c r="C34" i="15"/>
  <c r="D34" i="15"/>
  <c r="C32" i="15"/>
  <c r="D32" i="15"/>
  <c r="B32" i="15"/>
  <c r="C26" i="14"/>
  <c r="D26" i="14"/>
  <c r="B26" i="14"/>
  <c r="B27" i="14" s="1"/>
  <c r="J25" i="14" s="1"/>
  <c r="C28" i="15"/>
  <c r="D28" i="15"/>
  <c r="B28" i="15"/>
  <c r="K25" i="15"/>
  <c r="B20" i="15"/>
  <c r="D16" i="15"/>
  <c r="C16" i="15"/>
  <c r="C22" i="15" s="1"/>
  <c r="B16" i="15"/>
  <c r="B22" i="15" s="1"/>
  <c r="B17" i="15"/>
  <c r="J28" i="15"/>
  <c r="J26" i="14"/>
  <c r="K23" i="14"/>
  <c r="B23" i="14"/>
  <c r="B22" i="14"/>
  <c r="B19" i="14"/>
  <c r="C19" i="14"/>
  <c r="D19" i="14"/>
  <c r="B20" i="14"/>
  <c r="C20" i="14"/>
  <c r="D20" i="14"/>
  <c r="B21" i="14"/>
  <c r="C21" i="14"/>
  <c r="D21" i="14"/>
  <c r="C22" i="14"/>
  <c r="D22" i="14"/>
  <c r="C18" i="14"/>
  <c r="D18" i="14"/>
  <c r="B18" i="14"/>
  <c r="B15" i="14"/>
  <c r="C14" i="14"/>
  <c r="D14" i="14"/>
  <c r="B14" i="14"/>
  <c r="J23" i="13"/>
  <c r="K21" i="13"/>
  <c r="C27" i="13"/>
  <c r="D26" i="13"/>
  <c r="E26" i="13"/>
  <c r="F26" i="13"/>
  <c r="C26" i="13"/>
  <c r="C24" i="13"/>
  <c r="C21" i="13"/>
  <c r="D21" i="13"/>
  <c r="E21" i="13"/>
  <c r="F21" i="13"/>
  <c r="C22" i="13"/>
  <c r="D22" i="13"/>
  <c r="E22" i="13"/>
  <c r="F22" i="13"/>
  <c r="C23" i="13"/>
  <c r="D23" i="13"/>
  <c r="E23" i="13"/>
  <c r="F23" i="13"/>
  <c r="D20" i="13"/>
  <c r="E20" i="13"/>
  <c r="F20" i="13"/>
  <c r="C20" i="13"/>
  <c r="C18" i="13"/>
  <c r="F15" i="13"/>
  <c r="F16" i="13"/>
  <c r="F17" i="13"/>
  <c r="E15" i="13"/>
  <c r="E16" i="13"/>
  <c r="E17" i="13"/>
  <c r="D15" i="13"/>
  <c r="D16" i="13"/>
  <c r="D17" i="13"/>
  <c r="D14" i="13"/>
  <c r="E14" i="13"/>
  <c r="F14" i="13"/>
  <c r="C15" i="13"/>
  <c r="C16" i="13"/>
  <c r="C17" i="13"/>
  <c r="C12" i="13"/>
  <c r="D11" i="13"/>
  <c r="E11" i="13"/>
  <c r="F11" i="13"/>
  <c r="C11" i="13"/>
  <c r="E14" i="12"/>
  <c r="M18" i="12"/>
  <c r="D14" i="12"/>
  <c r="E13" i="12"/>
  <c r="F13" i="12"/>
  <c r="G13" i="12"/>
  <c r="D13" i="12"/>
  <c r="C23" i="11"/>
  <c r="E11" i="11"/>
  <c r="E12" i="11" s="1"/>
  <c r="E7" i="11"/>
  <c r="E5" i="11"/>
  <c r="E4" i="11"/>
  <c r="C28" i="10"/>
  <c r="C26" i="10"/>
  <c r="C25" i="10"/>
  <c r="C23" i="10"/>
  <c r="E5" i="10"/>
  <c r="E4" i="10"/>
  <c r="D7" i="10"/>
  <c r="E7" i="10" s="1"/>
  <c r="C7" i="10"/>
  <c r="H10" i="9"/>
  <c r="C13" i="9"/>
  <c r="C15" i="9" s="1"/>
  <c r="D11" i="9"/>
  <c r="D13" i="9" s="1"/>
  <c r="D15" i="9" s="1"/>
  <c r="C11" i="9"/>
  <c r="C10" i="8"/>
  <c r="J28" i="14" l="1"/>
  <c r="D20" i="15"/>
  <c r="D22" i="15"/>
  <c r="B21" i="15"/>
  <c r="C20" i="15"/>
  <c r="D21" i="15"/>
  <c r="C21" i="15"/>
  <c r="E13" i="11"/>
  <c r="C25" i="11"/>
  <c r="C26" i="11" s="1"/>
  <c r="C28" i="11" s="1"/>
  <c r="E11" i="10"/>
  <c r="E12" i="10" s="1"/>
  <c r="B25" i="15" l="1"/>
  <c r="B29" i="15"/>
  <c r="E13" i="10"/>
  <c r="J27" i="15" l="1"/>
  <c r="J30" i="15" s="1"/>
  <c r="C12" i="8" l="1"/>
  <c r="C21" i="5"/>
  <c r="C22" i="5" s="1"/>
  <c r="C27" i="5" s="1"/>
  <c r="C9" i="8"/>
  <c r="C8" i="8"/>
  <c r="C12" i="6"/>
  <c r="C13" i="6" s="1"/>
  <c r="C20" i="5"/>
  <c r="C19" i="5"/>
  <c r="B12" i="3"/>
  <c r="B10" i="3"/>
  <c r="C12" i="3" s="1"/>
  <c r="B9" i="3"/>
  <c r="M14" i="2"/>
  <c r="L14" i="2"/>
  <c r="L11" i="2"/>
  <c r="B10" i="1"/>
  <c r="B7" i="1"/>
  <c r="C11" i="2"/>
  <c r="B11" i="2"/>
  <c r="B9" i="2"/>
  <c r="C14" i="6" l="1"/>
  <c r="C17" i="6" s="1"/>
  <c r="B11" i="1"/>
  <c r="C10" i="1"/>
  <c r="C11" i="1"/>
  <c r="L15" i="2" l="1"/>
  <c r="B12" i="1"/>
</calcChain>
</file>

<file path=xl/sharedStrings.xml><?xml version="1.0" encoding="utf-8"?>
<sst xmlns="http://schemas.openxmlformats.org/spreadsheetml/2006/main" count="305" uniqueCount="187">
  <si>
    <t>Sample A</t>
  </si>
  <si>
    <t>Sample B</t>
  </si>
  <si>
    <t>#</t>
  </si>
  <si>
    <t>Mean</t>
  </si>
  <si>
    <t>SD</t>
  </si>
  <si>
    <t>SE</t>
  </si>
  <si>
    <t xml:space="preserve">p value </t>
  </si>
  <si>
    <t>1 SD</t>
  </si>
  <si>
    <t>Null Hypothesis</t>
  </si>
  <si>
    <t>Sample B is not part of Sample A</t>
  </si>
  <si>
    <t>Result</t>
  </si>
  <si>
    <t xml:space="preserve">SAME </t>
  </si>
  <si>
    <t>Sample B is part of Sample A</t>
  </si>
  <si>
    <t>DIFFERENT</t>
  </si>
  <si>
    <t>Sample B and A are from same distribution</t>
  </si>
  <si>
    <t>Both are from different distribution</t>
  </si>
  <si>
    <t>Sample B has something going on</t>
  </si>
  <si>
    <t>2 SD</t>
  </si>
  <si>
    <t>Meaning</t>
  </si>
  <si>
    <t>Upper bound</t>
  </si>
  <si>
    <t>lower bound</t>
  </si>
  <si>
    <t>If the sample size is small, the test result will be biased but if the sample size is large(as in our question), the results will not be biased</t>
  </si>
  <si>
    <t>Candidate A</t>
  </si>
  <si>
    <t>Candidate B</t>
  </si>
  <si>
    <t>Proportion</t>
  </si>
  <si>
    <t>2SD</t>
  </si>
  <si>
    <t xml:space="preserve">n </t>
  </si>
  <si>
    <t>Sampling error</t>
  </si>
  <si>
    <t>Diff - Standard error and Sampling error</t>
  </si>
  <si>
    <t>Let's conduct an experiment</t>
  </si>
  <si>
    <t>Proportion of votes</t>
  </si>
  <si>
    <t xml:space="preserve">In an election, we work for candidate A and wish to find out the chances that Candidate A will win the election. </t>
  </si>
  <si>
    <t>Let's find out 95%confidence interval for population proportions</t>
  </si>
  <si>
    <t>Mean Based simulation</t>
  </si>
  <si>
    <t>n</t>
  </si>
  <si>
    <t>Men</t>
  </si>
  <si>
    <t>Women</t>
  </si>
  <si>
    <t>Town Population</t>
  </si>
  <si>
    <t>Step 1 a</t>
  </si>
  <si>
    <t>Develop Hypothesis</t>
  </si>
  <si>
    <t>H0 = Null Hypothesis (Status quo)</t>
  </si>
  <si>
    <t>Jury numbers happened by chance.
Shows odds of women being picked are 50%
p &lt;= 0.50</t>
  </si>
  <si>
    <t>H1 = Alternate Hypothesis</t>
  </si>
  <si>
    <t>Jury numbers are not by chance
Women are chosen more
p &gt; 0.50</t>
  </si>
  <si>
    <t>Step 1 b</t>
  </si>
  <si>
    <t>State Significance level</t>
  </si>
  <si>
    <t>If 36 or more women ending up on a jury have less than a 5% chance of occuring at random, then we will reject our null hypothesis.</t>
  </si>
  <si>
    <t>Step 2</t>
  </si>
  <si>
    <t>Identify Test Statistic</t>
  </si>
  <si>
    <t>Binomial probability
p = 0.50</t>
  </si>
  <si>
    <t>Determine p value</t>
  </si>
  <si>
    <t>Step 3</t>
  </si>
  <si>
    <t>p-value &gt; significance</t>
  </si>
  <si>
    <t>p-value &lt; significance</t>
  </si>
  <si>
    <t>Reject Null Hypothesis</t>
  </si>
  <si>
    <t>Step 4</t>
  </si>
  <si>
    <t>Compare p-value and significance level</t>
  </si>
  <si>
    <t>Looking for probability that the number of women chosen for the jury-panel would be 36 or more
p value = 0.13%</t>
  </si>
  <si>
    <t>Do not reject Null Hypothesis</t>
  </si>
  <si>
    <t>Example : One tailed Test</t>
  </si>
  <si>
    <t>Example : Two Tailed Test</t>
  </si>
  <si>
    <t>Example : One tailed test</t>
  </si>
  <si>
    <t>H0</t>
  </si>
  <si>
    <t>p &lt;= 0.50</t>
  </si>
  <si>
    <t>p &gt; 0.50</t>
  </si>
  <si>
    <t>Ha</t>
  </si>
  <si>
    <t>Candidate Loses</t>
  </si>
  <si>
    <t>Candidate Wins</t>
  </si>
  <si>
    <t>Significance Level</t>
  </si>
  <si>
    <t>One-tailed test : Rejection if the proportion lies in the shaded area</t>
  </si>
  <si>
    <t>Step 1</t>
  </si>
  <si>
    <t>Z-score</t>
  </si>
  <si>
    <t>p-value</t>
  </si>
  <si>
    <t>z-score value</t>
  </si>
  <si>
    <t>RESULT</t>
  </si>
  <si>
    <t>Total bags</t>
  </si>
  <si>
    <t>Avg wt</t>
  </si>
  <si>
    <t>Population stats</t>
  </si>
  <si>
    <t>Sample Stats</t>
  </si>
  <si>
    <t>Hypothesis</t>
  </si>
  <si>
    <t xml:space="preserve">Significance </t>
  </si>
  <si>
    <t>Mean &gt;= 20.15 lbs</t>
  </si>
  <si>
    <t>Mean &lt; 20.15</t>
  </si>
  <si>
    <t>Standard Error</t>
  </si>
  <si>
    <t>z-score</t>
  </si>
  <si>
    <t xml:space="preserve">p-value </t>
  </si>
  <si>
    <t>Calculations</t>
  </si>
  <si>
    <t>Population</t>
  </si>
  <si>
    <t>Sample</t>
  </si>
  <si>
    <t>mean</t>
  </si>
  <si>
    <t>mean = 4440</t>
  </si>
  <si>
    <t>Hypothesis mean</t>
  </si>
  <si>
    <t>mean !=4440</t>
  </si>
  <si>
    <t>Significance</t>
  </si>
  <si>
    <t>Population mean</t>
  </si>
  <si>
    <t>Level of significance(alpha)</t>
  </si>
  <si>
    <t>Sample mean</t>
  </si>
  <si>
    <t>Estimated St Dev</t>
  </si>
  <si>
    <t>Sample Size(n)</t>
  </si>
  <si>
    <t>Number of tails</t>
  </si>
  <si>
    <t>t-stat</t>
  </si>
  <si>
    <t>p-value(TDIST)</t>
  </si>
  <si>
    <t>Scenario 1</t>
  </si>
  <si>
    <t>Decision</t>
  </si>
  <si>
    <t>Test</t>
  </si>
  <si>
    <t>Control</t>
  </si>
  <si>
    <t>Diff</t>
  </si>
  <si>
    <t>Sample Size</t>
  </si>
  <si>
    <t>Upper Confidence Interval</t>
  </si>
  <si>
    <t>Lower Confidence Interval</t>
  </si>
  <si>
    <t>Drug company samples subjects into 2 groups and give the test group the new drug and the control group the old drug</t>
  </si>
  <si>
    <t># of heart attacks</t>
  </si>
  <si>
    <t>What is the true difference in population proportion when they take the new drug vs old drug?</t>
  </si>
  <si>
    <t>Thus we are 95% confident that the new drug reduces the chances of heart attack by somewhere between 0.3% and 1.88%</t>
  </si>
  <si>
    <t>What's the probability that our results happened by chance?</t>
  </si>
  <si>
    <t>Total</t>
  </si>
  <si>
    <t>Hypothesis Test</t>
  </si>
  <si>
    <t>The diff in proportion for both group is zero : Test_p - Control-p = 0</t>
  </si>
  <si>
    <t>Test_p - Control_p != 0</t>
  </si>
  <si>
    <t>Develop Hypothesis and Significance level</t>
  </si>
  <si>
    <t>Z-statistic</t>
  </si>
  <si>
    <t>Score</t>
  </si>
  <si>
    <t>Find p-value</t>
  </si>
  <si>
    <t>Did the Students who studied using online video perform better than students who studied using text?</t>
  </si>
  <si>
    <t>Test (Digital group)</t>
  </si>
  <si>
    <t>Avg correct answers (m)</t>
  </si>
  <si>
    <t>Control (Text)</t>
  </si>
  <si>
    <t>Thus we are 95% confident that the digital channel increases the scores for students by somewhere between 1.19 questions and 3.09 questions</t>
  </si>
  <si>
    <t>The diff in means of 2 groups  = 0 : Test_m - control_m = 0</t>
  </si>
  <si>
    <t>Test_m - Control_m != 0</t>
  </si>
  <si>
    <t>Goodness of fit test is used to perform hypothesis tests to compare two or more populations</t>
  </si>
  <si>
    <t>One often uses chi-square test when data is divided into categories i.e when there is more than one independent variable</t>
  </si>
  <si>
    <t xml:space="preserve">Winter </t>
  </si>
  <si>
    <t>Spring</t>
  </si>
  <si>
    <t>Summer</t>
  </si>
  <si>
    <t>Fall</t>
  </si>
  <si>
    <t>Expected %</t>
  </si>
  <si>
    <t>Expected Births</t>
  </si>
  <si>
    <t>Actual births</t>
  </si>
  <si>
    <t>Actual %</t>
  </si>
  <si>
    <t>In an effort to see if the hospital birthrate follows the stated seasonal distribution, the birth total for last year were collected from a hospital for 200 births. Does the observed frequency for last year provide sufficient evidence to support the seasonal birth rate quoted by the hospital administration. To do this we will perform Goodness of fit test hypothesis test</t>
  </si>
  <si>
    <t>Hospital's stated distribution is accurate</t>
  </si>
  <si>
    <t>The hospital;s stated hypothesis is not accurate</t>
  </si>
  <si>
    <t>Step 1 : Develop Hypothesis and significance level</t>
  </si>
  <si>
    <t>Step 2 : Calculate Chi square statistic</t>
  </si>
  <si>
    <t>alpha</t>
  </si>
  <si>
    <t>(obs-exp)^2/exp</t>
  </si>
  <si>
    <t>chi-square</t>
  </si>
  <si>
    <t>Step 3 : Determine Degree of freedom</t>
  </si>
  <si>
    <t>dof</t>
  </si>
  <si>
    <t>no of categories - 1</t>
  </si>
  <si>
    <t>Significance Value</t>
  </si>
  <si>
    <t>df</t>
  </si>
  <si>
    <t>ANOVA is a procedure used to determine if a variation between reported output is a result of some particular factor or if the variation is simply a result of randomness</t>
  </si>
  <si>
    <t>Suppose there are 4 mobile companies and we have 4 customer ratings for each</t>
  </si>
  <si>
    <t>Air Mobile</t>
  </si>
  <si>
    <t>Binge Tech</t>
  </si>
  <si>
    <t>ComMobile</t>
  </si>
  <si>
    <t>Data Roam</t>
  </si>
  <si>
    <t>Grand Mean</t>
  </si>
  <si>
    <t>Total sum of squares</t>
  </si>
  <si>
    <t>Sum of squares within</t>
  </si>
  <si>
    <t>Sum of squares between</t>
  </si>
  <si>
    <t xml:space="preserve">H0 </t>
  </si>
  <si>
    <t>The population mean for all service providers is equal</t>
  </si>
  <si>
    <t>not equal</t>
  </si>
  <si>
    <t xml:space="preserve">significance level </t>
  </si>
  <si>
    <t>Calculate test statistic -&gt; F-statistic</t>
  </si>
  <si>
    <t>df for SSB</t>
  </si>
  <si>
    <t>df for SSW</t>
  </si>
  <si>
    <t>F-stat</t>
  </si>
  <si>
    <t>m : no of levels</t>
  </si>
  <si>
    <t>n : total no of observations</t>
  </si>
  <si>
    <t>Grand mean</t>
  </si>
  <si>
    <t>SSW</t>
  </si>
  <si>
    <t>sum of square between</t>
  </si>
  <si>
    <t>SSB</t>
  </si>
  <si>
    <t>The mean price per acre is same for each year</t>
  </si>
  <si>
    <t>F-stat value</t>
  </si>
  <si>
    <t>Compact cars</t>
  </si>
  <si>
    <t>Midsize cars</t>
  </si>
  <si>
    <t>Full-size cars</t>
  </si>
  <si>
    <t>TSS</t>
  </si>
  <si>
    <t>SSB = TSS - SSW</t>
  </si>
  <si>
    <t>Sum of squares within (SSW)</t>
  </si>
  <si>
    <t>sum of squares between (SSB)</t>
  </si>
  <si>
    <t>Total sum of squares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</si>
</sst>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5"/>
        <bgColor indexed="64"/>
      </patternFill>
    </fill>
    <fill>
      <patternFill patternType="solid">
        <fgColor theme="0"/>
        <bgColor indexed="64"/>
      </patternFill>
    </fill>
    <fill>
      <patternFill patternType="solid">
        <fgColor rgb="FF00B05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0" fillId="0" borderId="0" xfId="0" applyAlignment="1">
      <alignment wrapText="1"/>
    </xf>
    <xf numFmtId="0" fontId="0" fillId="0" borderId="1" xfId="0" applyBorder="1"/>
    <xf numFmtId="0" fontId="0" fillId="2" borderId="1" xfId="0" applyFill="1" applyBorder="1" applyAlignment="1">
      <alignment wrapText="1"/>
    </xf>
    <xf numFmtId="0" fontId="0" fillId="2" borderId="1" xfId="0" applyFill="1" applyBorder="1"/>
    <xf numFmtId="3" fontId="0" fillId="0" borderId="1" xfId="0" applyNumberFormat="1" applyBorder="1"/>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3" fontId="0" fillId="0" borderId="0" xfId="0" applyNumberFormat="1"/>
    <xf numFmtId="0" fontId="0" fillId="0" borderId="0" xfId="0" applyBorder="1"/>
    <xf numFmtId="0" fontId="0" fillId="0" borderId="1" xfId="0" applyBorder="1" applyAlignment="1">
      <alignment horizontal="center" vertical="center"/>
    </xf>
    <xf numFmtId="0" fontId="0" fillId="0" borderId="1" xfId="0" applyBorder="1" applyAlignment="1">
      <alignment wrapText="1"/>
    </xf>
    <xf numFmtId="0" fontId="1" fillId="0" borderId="1" xfId="0" applyFont="1" applyBorder="1"/>
    <xf numFmtId="0" fontId="0" fillId="3" borderId="0" xfId="0" applyFill="1"/>
    <xf numFmtId="0" fontId="0" fillId="4" borderId="0" xfId="0" applyFill="1"/>
    <xf numFmtId="0" fontId="1" fillId="0" borderId="1" xfId="0" applyFont="1" applyFill="1" applyBorder="1"/>
    <xf numFmtId="0" fontId="0" fillId="3" borderId="0" xfId="0" applyFill="1" applyAlignment="1">
      <alignment horizontal="center"/>
    </xf>
    <xf numFmtId="0" fontId="0" fillId="0" borderId="0" xfId="0" applyAlignment="1">
      <alignment horizontal="center" wrapText="1"/>
    </xf>
    <xf numFmtId="0" fontId="0" fillId="4" borderId="0" xfId="0" applyFill="1" applyAlignment="1">
      <alignment horizontal="center" wrapText="1"/>
    </xf>
    <xf numFmtId="9" fontId="0" fillId="0" borderId="0" xfId="0" applyNumberFormat="1"/>
    <xf numFmtId="0" fontId="0" fillId="4" borderId="0" xfId="0" applyFill="1" applyAlignment="1">
      <alignment wrapText="1"/>
    </xf>
    <xf numFmtId="0" fontId="1" fillId="4" borderId="1" xfId="0" applyFont="1" applyFill="1" applyBorder="1"/>
    <xf numFmtId="0" fontId="0" fillId="6" borderId="0" xfId="0" applyFill="1"/>
    <xf numFmtId="0" fontId="0" fillId="7" borderId="0" xfId="0" applyFill="1"/>
    <xf numFmtId="0" fontId="0" fillId="3" borderId="1" xfId="0" applyFill="1" applyBorder="1"/>
    <xf numFmtId="0" fontId="1" fillId="0" borderId="0" xfId="0" applyFont="1"/>
    <xf numFmtId="0" fontId="0" fillId="8" borderId="0" xfId="0" applyFont="1" applyFill="1" applyAlignment="1">
      <alignment horizontal="center"/>
    </xf>
    <xf numFmtId="0" fontId="0" fillId="8" borderId="0" xfId="0" applyFont="1" applyFill="1"/>
    <xf numFmtId="0" fontId="1" fillId="9" borderId="1" xfId="0" applyFont="1" applyFill="1" applyBorder="1"/>
    <xf numFmtId="9" fontId="1" fillId="9" borderId="1" xfId="0" applyNumberFormat="1" applyFont="1" applyFill="1" applyBorder="1"/>
    <xf numFmtId="10" fontId="1" fillId="9" borderId="1" xfId="0" applyNumberFormat="1" applyFont="1" applyFill="1" applyBorder="1"/>
    <xf numFmtId="0" fontId="0" fillId="9" borderId="1" xfId="0" applyFill="1" applyBorder="1"/>
    <xf numFmtId="0" fontId="1" fillId="0" borderId="1" xfId="0" applyFont="1" applyBorder="1" applyAlignment="1">
      <alignment horizontal="center"/>
    </xf>
    <xf numFmtId="0" fontId="0" fillId="9" borderId="1" xfId="0" applyFill="1" applyBorder="1" applyAlignment="1"/>
    <xf numFmtId="0" fontId="1" fillId="9" borderId="1" xfId="0" applyFont="1" applyFill="1" applyBorder="1" applyAlignment="1"/>
    <xf numFmtId="0" fontId="1" fillId="5" borderId="1" xfId="0" applyFont="1" applyFill="1" applyBorder="1"/>
    <xf numFmtId="0" fontId="1" fillId="5"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18</xdr:row>
      <xdr:rowOff>0</xdr:rowOff>
    </xdr:from>
    <xdr:to>
      <xdr:col>9</xdr:col>
      <xdr:colOff>1013</xdr:colOff>
      <xdr:row>28</xdr:row>
      <xdr:rowOff>104533</xdr:rowOff>
    </xdr:to>
    <xdr:pic>
      <xdr:nvPicPr>
        <xdr:cNvPr id="2" name="Picture 1">
          <a:extLst>
            <a:ext uri="{FF2B5EF4-FFF2-40B4-BE49-F238E27FC236}">
              <a16:creationId xmlns:a16="http://schemas.microsoft.com/office/drawing/2014/main" id="{0FCDEE93-F948-473E-B6AC-1A275DA055BD}"/>
            </a:ext>
          </a:extLst>
        </xdr:cNvPr>
        <xdr:cNvPicPr>
          <a:picLocks noChangeAspect="1"/>
        </xdr:cNvPicPr>
      </xdr:nvPicPr>
      <xdr:blipFill>
        <a:blip xmlns:r="http://schemas.openxmlformats.org/officeDocument/2006/relationships" r:embed="rId1"/>
        <a:stretch>
          <a:fillRect/>
        </a:stretch>
      </xdr:blipFill>
      <xdr:spPr>
        <a:xfrm>
          <a:off x="2438400" y="3474720"/>
          <a:ext cx="7133333" cy="193333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8</xdr:col>
      <xdr:colOff>38100</xdr:colOff>
      <xdr:row>17</xdr:row>
      <xdr:rowOff>106681</xdr:rowOff>
    </xdr:from>
    <xdr:to>
      <xdr:col>9</xdr:col>
      <xdr:colOff>358140</xdr:colOff>
      <xdr:row>22</xdr:row>
      <xdr:rowOff>144780</xdr:rowOff>
    </xdr:to>
    <xdr:pic>
      <xdr:nvPicPr>
        <xdr:cNvPr id="2" name="Picture 1">
          <a:extLst>
            <a:ext uri="{FF2B5EF4-FFF2-40B4-BE49-F238E27FC236}">
              <a16:creationId xmlns:a16="http://schemas.microsoft.com/office/drawing/2014/main" id="{A7315D95-AEE8-4DF0-9544-AAFCC363BBD1}"/>
            </a:ext>
          </a:extLst>
        </xdr:cNvPr>
        <xdr:cNvPicPr>
          <a:picLocks noChangeAspect="1"/>
        </xdr:cNvPicPr>
      </xdr:nvPicPr>
      <xdr:blipFill>
        <a:blip xmlns:r="http://schemas.openxmlformats.org/officeDocument/2006/relationships" r:embed="rId1"/>
        <a:stretch>
          <a:fillRect/>
        </a:stretch>
      </xdr:blipFill>
      <xdr:spPr>
        <a:xfrm>
          <a:off x="5715000" y="2849881"/>
          <a:ext cx="2026920" cy="952499"/>
        </a:xfrm>
        <a:prstGeom prst="rect">
          <a:avLst/>
        </a:prstGeom>
      </xdr:spPr>
    </xdr:pic>
    <xdr:clientData/>
  </xdr:twoCellAnchor>
  <xdr:twoCellAnchor editAs="oneCell">
    <xdr:from>
      <xdr:col>0</xdr:col>
      <xdr:colOff>1158239</xdr:colOff>
      <xdr:row>0</xdr:row>
      <xdr:rowOff>1</xdr:rowOff>
    </xdr:from>
    <xdr:to>
      <xdr:col>8</xdr:col>
      <xdr:colOff>563880</xdr:colOff>
      <xdr:row>9</xdr:row>
      <xdr:rowOff>15240</xdr:rowOff>
    </xdr:to>
    <xdr:pic>
      <xdr:nvPicPr>
        <xdr:cNvPr id="4" name="Picture 3">
          <a:extLst>
            <a:ext uri="{FF2B5EF4-FFF2-40B4-BE49-F238E27FC236}">
              <a16:creationId xmlns:a16="http://schemas.microsoft.com/office/drawing/2014/main" id="{418C7865-200E-4B58-97DD-9062549C0B85}"/>
            </a:ext>
          </a:extLst>
        </xdr:cNvPr>
        <xdr:cNvPicPr>
          <a:picLocks noChangeAspect="1"/>
        </xdr:cNvPicPr>
      </xdr:nvPicPr>
      <xdr:blipFill>
        <a:blip xmlns:r="http://schemas.openxmlformats.org/officeDocument/2006/relationships" r:embed="rId2"/>
        <a:stretch>
          <a:fillRect/>
        </a:stretch>
      </xdr:blipFill>
      <xdr:spPr>
        <a:xfrm>
          <a:off x="1158239" y="1"/>
          <a:ext cx="5554981" cy="16611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502920</xdr:colOff>
      <xdr:row>3</xdr:row>
      <xdr:rowOff>53341</xdr:rowOff>
    </xdr:from>
    <xdr:to>
      <xdr:col>12</xdr:col>
      <xdr:colOff>419100</xdr:colOff>
      <xdr:row>12</xdr:row>
      <xdr:rowOff>176861</xdr:rowOff>
    </xdr:to>
    <xdr:pic>
      <xdr:nvPicPr>
        <xdr:cNvPr id="2" name="Picture 1">
          <a:extLst>
            <a:ext uri="{FF2B5EF4-FFF2-40B4-BE49-F238E27FC236}">
              <a16:creationId xmlns:a16="http://schemas.microsoft.com/office/drawing/2014/main" id="{30704407-6A2D-430F-8F25-DD9432A786A6}"/>
            </a:ext>
          </a:extLst>
        </xdr:cNvPr>
        <xdr:cNvPicPr>
          <a:picLocks noChangeAspect="1"/>
        </xdr:cNvPicPr>
      </xdr:nvPicPr>
      <xdr:blipFill>
        <a:blip xmlns:r="http://schemas.openxmlformats.org/officeDocument/2006/relationships" r:embed="rId1"/>
        <a:stretch>
          <a:fillRect/>
        </a:stretch>
      </xdr:blipFill>
      <xdr:spPr>
        <a:xfrm>
          <a:off x="1112520" y="601981"/>
          <a:ext cx="6621780" cy="1769440"/>
        </a:xfrm>
        <a:prstGeom prst="rect">
          <a:avLst/>
        </a:prstGeom>
      </xdr:spPr>
    </xdr:pic>
    <xdr:clientData/>
  </xdr:twoCellAnchor>
  <xdr:twoCellAnchor editAs="oneCell">
    <xdr:from>
      <xdr:col>2</xdr:col>
      <xdr:colOff>7620</xdr:colOff>
      <xdr:row>16</xdr:row>
      <xdr:rowOff>38100</xdr:rowOff>
    </xdr:from>
    <xdr:to>
      <xdr:col>10</xdr:col>
      <xdr:colOff>388620</xdr:colOff>
      <xdr:row>28</xdr:row>
      <xdr:rowOff>72456</xdr:rowOff>
    </xdr:to>
    <xdr:pic>
      <xdr:nvPicPr>
        <xdr:cNvPr id="4" name="Picture 3">
          <a:extLst>
            <a:ext uri="{FF2B5EF4-FFF2-40B4-BE49-F238E27FC236}">
              <a16:creationId xmlns:a16="http://schemas.microsoft.com/office/drawing/2014/main" id="{F8CDC500-8707-40D6-AAFD-932B15124C8D}"/>
            </a:ext>
          </a:extLst>
        </xdr:cNvPr>
        <xdr:cNvPicPr>
          <a:picLocks noChangeAspect="1"/>
        </xdr:cNvPicPr>
      </xdr:nvPicPr>
      <xdr:blipFill>
        <a:blip xmlns:r="http://schemas.openxmlformats.org/officeDocument/2006/relationships" r:embed="rId2"/>
        <a:stretch>
          <a:fillRect/>
        </a:stretch>
      </xdr:blipFill>
      <xdr:spPr>
        <a:xfrm>
          <a:off x="1226820" y="2964180"/>
          <a:ext cx="5257800" cy="2228916"/>
        </a:xfrm>
        <a:prstGeom prst="rect">
          <a:avLst/>
        </a:prstGeom>
      </xdr:spPr>
    </xdr:pic>
    <xdr:clientData/>
  </xdr:twoCellAnchor>
  <xdr:twoCellAnchor editAs="oneCell">
    <xdr:from>
      <xdr:col>14</xdr:col>
      <xdr:colOff>15241</xdr:colOff>
      <xdr:row>3</xdr:row>
      <xdr:rowOff>60961</xdr:rowOff>
    </xdr:from>
    <xdr:to>
      <xdr:col>22</xdr:col>
      <xdr:colOff>151023</xdr:colOff>
      <xdr:row>12</xdr:row>
      <xdr:rowOff>38101</xdr:rowOff>
    </xdr:to>
    <xdr:pic>
      <xdr:nvPicPr>
        <xdr:cNvPr id="5" name="Picture 4">
          <a:extLst>
            <a:ext uri="{FF2B5EF4-FFF2-40B4-BE49-F238E27FC236}">
              <a16:creationId xmlns:a16="http://schemas.microsoft.com/office/drawing/2014/main" id="{62C42841-5597-43DE-ACC3-95DFBD8099D3}"/>
            </a:ext>
          </a:extLst>
        </xdr:cNvPr>
        <xdr:cNvPicPr>
          <a:picLocks noChangeAspect="1"/>
        </xdr:cNvPicPr>
      </xdr:nvPicPr>
      <xdr:blipFill>
        <a:blip xmlns:r="http://schemas.openxmlformats.org/officeDocument/2006/relationships" r:embed="rId3"/>
        <a:stretch>
          <a:fillRect/>
        </a:stretch>
      </xdr:blipFill>
      <xdr:spPr>
        <a:xfrm>
          <a:off x="8549641" y="609601"/>
          <a:ext cx="5012582" cy="16230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190500</xdr:colOff>
      <xdr:row>2</xdr:row>
      <xdr:rowOff>175260</xdr:rowOff>
    </xdr:from>
    <xdr:to>
      <xdr:col>17</xdr:col>
      <xdr:colOff>494576</xdr:colOff>
      <xdr:row>23</xdr:row>
      <xdr:rowOff>258589</xdr:rowOff>
    </xdr:to>
    <xdr:pic>
      <xdr:nvPicPr>
        <xdr:cNvPr id="2" name="Picture 1">
          <a:extLst>
            <a:ext uri="{FF2B5EF4-FFF2-40B4-BE49-F238E27FC236}">
              <a16:creationId xmlns:a16="http://schemas.microsoft.com/office/drawing/2014/main" id="{A5FC02E2-21E0-4955-89CD-0D532885D04E}"/>
            </a:ext>
          </a:extLst>
        </xdr:cNvPr>
        <xdr:cNvPicPr>
          <a:picLocks noChangeAspect="1"/>
        </xdr:cNvPicPr>
      </xdr:nvPicPr>
      <xdr:blipFill>
        <a:blip xmlns:r="http://schemas.openxmlformats.org/officeDocument/2006/relationships" r:embed="rId1"/>
        <a:stretch>
          <a:fillRect/>
        </a:stretch>
      </xdr:blipFill>
      <xdr:spPr>
        <a:xfrm>
          <a:off x="6492240" y="541020"/>
          <a:ext cx="5790476" cy="3923809"/>
        </a:xfrm>
        <a:prstGeom prst="rect">
          <a:avLst/>
        </a:prstGeom>
      </xdr:spPr>
    </xdr:pic>
    <xdr:clientData/>
  </xdr:twoCellAnchor>
  <xdr:twoCellAnchor editAs="oneCell">
    <xdr:from>
      <xdr:col>1</xdr:col>
      <xdr:colOff>45720</xdr:colOff>
      <xdr:row>5</xdr:row>
      <xdr:rowOff>60961</xdr:rowOff>
    </xdr:from>
    <xdr:to>
      <xdr:col>4</xdr:col>
      <xdr:colOff>104905</xdr:colOff>
      <xdr:row>15</xdr:row>
      <xdr:rowOff>30481</xdr:rowOff>
    </xdr:to>
    <xdr:pic>
      <xdr:nvPicPr>
        <xdr:cNvPr id="3" name="Picture 2">
          <a:extLst>
            <a:ext uri="{FF2B5EF4-FFF2-40B4-BE49-F238E27FC236}">
              <a16:creationId xmlns:a16="http://schemas.microsoft.com/office/drawing/2014/main" id="{A3E2FEFA-8AC7-45CF-A97B-077935325145}"/>
            </a:ext>
          </a:extLst>
        </xdr:cNvPr>
        <xdr:cNvPicPr>
          <a:picLocks noChangeAspect="1"/>
        </xdr:cNvPicPr>
      </xdr:nvPicPr>
      <xdr:blipFill>
        <a:blip xmlns:r="http://schemas.openxmlformats.org/officeDocument/2006/relationships" r:embed="rId2"/>
        <a:stretch>
          <a:fillRect/>
        </a:stretch>
      </xdr:blipFill>
      <xdr:spPr>
        <a:xfrm>
          <a:off x="655320" y="975361"/>
          <a:ext cx="3312925" cy="17983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7</xdr:col>
      <xdr:colOff>332952</xdr:colOff>
      <xdr:row>12</xdr:row>
      <xdr:rowOff>135032</xdr:rowOff>
    </xdr:to>
    <xdr:pic>
      <xdr:nvPicPr>
        <xdr:cNvPr id="4" name="Picture 3">
          <a:extLst>
            <a:ext uri="{FF2B5EF4-FFF2-40B4-BE49-F238E27FC236}">
              <a16:creationId xmlns:a16="http://schemas.microsoft.com/office/drawing/2014/main" id="{6DBEA913-9BA7-4887-B10F-138E5AC9369E}"/>
            </a:ext>
          </a:extLst>
        </xdr:cNvPr>
        <xdr:cNvPicPr>
          <a:picLocks noChangeAspect="1"/>
        </xdr:cNvPicPr>
      </xdr:nvPicPr>
      <xdr:blipFill>
        <a:blip xmlns:r="http://schemas.openxmlformats.org/officeDocument/2006/relationships" r:embed="rId1"/>
        <a:stretch>
          <a:fillRect/>
        </a:stretch>
      </xdr:blipFill>
      <xdr:spPr>
        <a:xfrm>
          <a:off x="1219200" y="548640"/>
          <a:ext cx="3380952" cy="178095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876301</xdr:colOff>
      <xdr:row>7</xdr:row>
      <xdr:rowOff>95251</xdr:rowOff>
    </xdr:from>
    <xdr:to>
      <xdr:col>2</xdr:col>
      <xdr:colOff>2802255</xdr:colOff>
      <xdr:row>10</xdr:row>
      <xdr:rowOff>134516</xdr:rowOff>
    </xdr:to>
    <xdr:pic>
      <xdr:nvPicPr>
        <xdr:cNvPr id="2" name="Picture 1">
          <a:extLst>
            <a:ext uri="{FF2B5EF4-FFF2-40B4-BE49-F238E27FC236}">
              <a16:creationId xmlns:a16="http://schemas.microsoft.com/office/drawing/2014/main" id="{06267A30-0932-4D94-8ACA-FF5B66C6E2BE}"/>
            </a:ext>
          </a:extLst>
        </xdr:cNvPr>
        <xdr:cNvPicPr>
          <a:picLocks noChangeAspect="1"/>
        </xdr:cNvPicPr>
      </xdr:nvPicPr>
      <xdr:blipFill>
        <a:blip xmlns:r="http://schemas.openxmlformats.org/officeDocument/2006/relationships" r:embed="rId1"/>
        <a:stretch>
          <a:fillRect/>
        </a:stretch>
      </xdr:blipFill>
      <xdr:spPr>
        <a:xfrm>
          <a:off x="3857626" y="1362076"/>
          <a:ext cx="1935479" cy="5821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542926</xdr:colOff>
      <xdr:row>7</xdr:row>
      <xdr:rowOff>28576</xdr:rowOff>
    </xdr:from>
    <xdr:to>
      <xdr:col>2</xdr:col>
      <xdr:colOff>2417446</xdr:colOff>
      <xdr:row>10</xdr:row>
      <xdr:rowOff>53341</xdr:rowOff>
    </xdr:to>
    <xdr:pic>
      <xdr:nvPicPr>
        <xdr:cNvPr id="4" name="Picture 3">
          <a:extLst>
            <a:ext uri="{FF2B5EF4-FFF2-40B4-BE49-F238E27FC236}">
              <a16:creationId xmlns:a16="http://schemas.microsoft.com/office/drawing/2014/main" id="{BC2B7B5F-FD2C-4BB1-AE48-36EF97AC0B6F}"/>
            </a:ext>
          </a:extLst>
        </xdr:cNvPr>
        <xdr:cNvPicPr>
          <a:picLocks noChangeAspect="1"/>
        </xdr:cNvPicPr>
      </xdr:nvPicPr>
      <xdr:blipFill>
        <a:blip xmlns:r="http://schemas.openxmlformats.org/officeDocument/2006/relationships" r:embed="rId1"/>
        <a:stretch>
          <a:fillRect/>
        </a:stretch>
      </xdr:blipFill>
      <xdr:spPr>
        <a:xfrm>
          <a:off x="3752851" y="1295401"/>
          <a:ext cx="1882140" cy="5676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601980</xdr:colOff>
      <xdr:row>10</xdr:row>
      <xdr:rowOff>0</xdr:rowOff>
    </xdr:from>
    <xdr:to>
      <xdr:col>12</xdr:col>
      <xdr:colOff>2362201</xdr:colOff>
      <xdr:row>14</xdr:row>
      <xdr:rowOff>106680</xdr:rowOff>
    </xdr:to>
    <xdr:pic>
      <xdr:nvPicPr>
        <xdr:cNvPr id="2" name="Picture 1">
          <a:extLst>
            <a:ext uri="{FF2B5EF4-FFF2-40B4-BE49-F238E27FC236}">
              <a16:creationId xmlns:a16="http://schemas.microsoft.com/office/drawing/2014/main" id="{7F7B2E7C-83D7-44C2-9059-5512A4AB1883}"/>
            </a:ext>
          </a:extLst>
        </xdr:cNvPr>
        <xdr:cNvPicPr>
          <a:picLocks noChangeAspect="1"/>
        </xdr:cNvPicPr>
      </xdr:nvPicPr>
      <xdr:blipFill>
        <a:blip xmlns:r="http://schemas.openxmlformats.org/officeDocument/2006/relationships" r:embed="rId1"/>
        <a:stretch>
          <a:fillRect/>
        </a:stretch>
      </xdr:blipFill>
      <xdr:spPr>
        <a:xfrm>
          <a:off x="7147560" y="1828800"/>
          <a:ext cx="3017521" cy="8382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38100</xdr:colOff>
      <xdr:row>13</xdr:row>
      <xdr:rowOff>106681</xdr:rowOff>
    </xdr:from>
    <xdr:to>
      <xdr:col>9</xdr:col>
      <xdr:colOff>510540</xdr:colOff>
      <xdr:row>18</xdr:row>
      <xdr:rowOff>144780</xdr:rowOff>
    </xdr:to>
    <xdr:pic>
      <xdr:nvPicPr>
        <xdr:cNvPr id="2" name="Picture 1">
          <a:extLst>
            <a:ext uri="{FF2B5EF4-FFF2-40B4-BE49-F238E27FC236}">
              <a16:creationId xmlns:a16="http://schemas.microsoft.com/office/drawing/2014/main" id="{80823486-9A64-4425-AFE1-30090046A88D}"/>
            </a:ext>
          </a:extLst>
        </xdr:cNvPr>
        <xdr:cNvPicPr>
          <a:picLocks noChangeAspect="1"/>
        </xdr:cNvPicPr>
      </xdr:nvPicPr>
      <xdr:blipFill>
        <a:blip xmlns:r="http://schemas.openxmlformats.org/officeDocument/2006/relationships" r:embed="rId1"/>
        <a:stretch>
          <a:fillRect/>
        </a:stretch>
      </xdr:blipFill>
      <xdr:spPr>
        <a:xfrm>
          <a:off x="7071360" y="2484121"/>
          <a:ext cx="2026920" cy="952499"/>
        </a:xfrm>
        <a:prstGeom prst="rect">
          <a:avLst/>
        </a:prstGeom>
      </xdr:spPr>
    </xdr:pic>
    <xdr:clientData/>
  </xdr:twoCellAnchor>
  <xdr:twoCellAnchor editAs="oneCell">
    <xdr:from>
      <xdr:col>12</xdr:col>
      <xdr:colOff>0</xdr:colOff>
      <xdr:row>10</xdr:row>
      <xdr:rowOff>1</xdr:rowOff>
    </xdr:from>
    <xdr:to>
      <xdr:col>16</xdr:col>
      <xdr:colOff>294229</xdr:colOff>
      <xdr:row>15</xdr:row>
      <xdr:rowOff>91441</xdr:rowOff>
    </xdr:to>
    <xdr:pic>
      <xdr:nvPicPr>
        <xdr:cNvPr id="3" name="Picture 2">
          <a:extLst>
            <a:ext uri="{FF2B5EF4-FFF2-40B4-BE49-F238E27FC236}">
              <a16:creationId xmlns:a16="http://schemas.microsoft.com/office/drawing/2014/main" id="{FCA12B75-E068-4E1C-AEEF-C1D20A7E326A}"/>
            </a:ext>
          </a:extLst>
        </xdr:cNvPr>
        <xdr:cNvPicPr>
          <a:picLocks noChangeAspect="1"/>
        </xdr:cNvPicPr>
      </xdr:nvPicPr>
      <xdr:blipFill>
        <a:blip xmlns:r="http://schemas.openxmlformats.org/officeDocument/2006/relationships" r:embed="rId2"/>
        <a:stretch>
          <a:fillRect/>
        </a:stretch>
      </xdr:blipFill>
      <xdr:spPr>
        <a:xfrm>
          <a:off x="10073640" y="1828801"/>
          <a:ext cx="2732629" cy="10058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38100</xdr:colOff>
      <xdr:row>15</xdr:row>
      <xdr:rowOff>106681</xdr:rowOff>
    </xdr:from>
    <xdr:to>
      <xdr:col>9</xdr:col>
      <xdr:colOff>358140</xdr:colOff>
      <xdr:row>20</xdr:row>
      <xdr:rowOff>144780</xdr:rowOff>
    </xdr:to>
    <xdr:pic>
      <xdr:nvPicPr>
        <xdr:cNvPr id="2" name="Picture 1">
          <a:extLst>
            <a:ext uri="{FF2B5EF4-FFF2-40B4-BE49-F238E27FC236}">
              <a16:creationId xmlns:a16="http://schemas.microsoft.com/office/drawing/2014/main" id="{C7723258-C461-475C-BEB9-DDCEB3A0B6CA}"/>
            </a:ext>
          </a:extLst>
        </xdr:cNvPr>
        <xdr:cNvPicPr>
          <a:picLocks noChangeAspect="1"/>
        </xdr:cNvPicPr>
      </xdr:nvPicPr>
      <xdr:blipFill>
        <a:blip xmlns:r="http://schemas.openxmlformats.org/officeDocument/2006/relationships" r:embed="rId1"/>
        <a:stretch>
          <a:fillRect/>
        </a:stretch>
      </xdr:blipFill>
      <xdr:spPr>
        <a:xfrm>
          <a:off x="7071360" y="2484121"/>
          <a:ext cx="2026920" cy="952499"/>
        </a:xfrm>
        <a:prstGeom prst="rect">
          <a:avLst/>
        </a:prstGeom>
      </xdr:spPr>
    </xdr:pic>
    <xdr:clientData/>
  </xdr:twoCellAnchor>
  <xdr:twoCellAnchor editAs="oneCell">
    <xdr:from>
      <xdr:col>1</xdr:col>
      <xdr:colOff>1</xdr:colOff>
      <xdr:row>0</xdr:row>
      <xdr:rowOff>0</xdr:rowOff>
    </xdr:from>
    <xdr:to>
      <xdr:col>8</xdr:col>
      <xdr:colOff>358141</xdr:colOff>
      <xdr:row>6</xdr:row>
      <xdr:rowOff>140226</xdr:rowOff>
    </xdr:to>
    <xdr:pic>
      <xdr:nvPicPr>
        <xdr:cNvPr id="3" name="Picture 2">
          <a:extLst>
            <a:ext uri="{FF2B5EF4-FFF2-40B4-BE49-F238E27FC236}">
              <a16:creationId xmlns:a16="http://schemas.microsoft.com/office/drawing/2014/main" id="{E21271A9-A2A8-4211-9C4E-10C8B231A81F}"/>
            </a:ext>
          </a:extLst>
        </xdr:cNvPr>
        <xdr:cNvPicPr>
          <a:picLocks noChangeAspect="1"/>
        </xdr:cNvPicPr>
      </xdr:nvPicPr>
      <xdr:blipFill>
        <a:blip xmlns:r="http://schemas.openxmlformats.org/officeDocument/2006/relationships" r:embed="rId2"/>
        <a:stretch>
          <a:fillRect/>
        </a:stretch>
      </xdr:blipFill>
      <xdr:spPr>
        <a:xfrm>
          <a:off x="1158241" y="0"/>
          <a:ext cx="4876800" cy="123750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CD2FB-0375-4CA0-9472-B81FF86C39A2}">
  <dimension ref="A3:J30"/>
  <sheetViews>
    <sheetView tabSelected="1" topLeftCell="A4" workbookViewId="0">
      <selection activeCell="D17" sqref="D17"/>
    </sheetView>
  </sheetViews>
  <sheetFormatPr defaultRowHeight="14.4" x14ac:dyDescent="0.3"/>
  <cols>
    <col min="2" max="2" width="14.5546875" customWidth="1"/>
    <col min="7" max="7" width="37.33203125" customWidth="1"/>
    <col min="8" max="8" width="19.88671875" customWidth="1"/>
    <col min="9" max="9" width="29" customWidth="1"/>
    <col min="10" max="10" width="23.33203125" customWidth="1"/>
  </cols>
  <sheetData>
    <row r="3" spans="1:10" x14ac:dyDescent="0.3">
      <c r="A3" s="2"/>
      <c r="B3" s="4" t="s">
        <v>0</v>
      </c>
      <c r="C3" s="4"/>
      <c r="D3" s="4" t="s">
        <v>1</v>
      </c>
      <c r="G3" t="s">
        <v>8</v>
      </c>
      <c r="H3" t="s">
        <v>9</v>
      </c>
    </row>
    <row r="4" spans="1:10" x14ac:dyDescent="0.3">
      <c r="A4" s="2" t="s">
        <v>2</v>
      </c>
      <c r="B4" s="5">
        <v>200000</v>
      </c>
      <c r="C4" s="2"/>
      <c r="D4" s="5">
        <v>2000</v>
      </c>
    </row>
    <row r="5" spans="1:10" x14ac:dyDescent="0.3">
      <c r="A5" s="2" t="s">
        <v>3</v>
      </c>
      <c r="B5" s="2">
        <v>100</v>
      </c>
      <c r="C5" s="2"/>
      <c r="D5" s="2">
        <v>100.4</v>
      </c>
    </row>
    <row r="6" spans="1:10" x14ac:dyDescent="0.3">
      <c r="A6" s="2" t="s">
        <v>4</v>
      </c>
      <c r="B6" s="2">
        <v>4</v>
      </c>
      <c r="C6" s="2"/>
      <c r="D6" s="2">
        <v>6</v>
      </c>
    </row>
    <row r="7" spans="1:10" x14ac:dyDescent="0.3">
      <c r="A7" s="2" t="s">
        <v>5</v>
      </c>
      <c r="B7" s="2">
        <f>B6/SQRT(D4)</f>
        <v>8.9442719099991588E-2</v>
      </c>
      <c r="C7" s="2"/>
      <c r="D7" s="2"/>
    </row>
    <row r="8" spans="1:10" x14ac:dyDescent="0.3">
      <c r="A8" s="2" t="s">
        <v>6</v>
      </c>
      <c r="B8" s="2">
        <v>0.05</v>
      </c>
      <c r="C8" s="2"/>
      <c r="D8" s="2"/>
    </row>
    <row r="9" spans="1:10" x14ac:dyDescent="0.3">
      <c r="A9" s="2"/>
      <c r="B9" s="2" t="s">
        <v>19</v>
      </c>
      <c r="C9" s="2" t="s">
        <v>20</v>
      </c>
      <c r="D9" s="2"/>
    </row>
    <row r="10" spans="1:10" x14ac:dyDescent="0.3">
      <c r="A10" s="2" t="s">
        <v>7</v>
      </c>
      <c r="B10" s="2">
        <f>B5+2*B7</f>
        <v>100.17888543819998</v>
      </c>
      <c r="C10" s="2">
        <f>B5-2*B7</f>
        <v>99.821114561800016</v>
      </c>
      <c r="D10" s="2"/>
    </row>
    <row r="11" spans="1:10" x14ac:dyDescent="0.3">
      <c r="A11" s="2" t="s">
        <v>17</v>
      </c>
      <c r="B11" s="2">
        <f>B5+(4*B7)</f>
        <v>100.35777087639997</v>
      </c>
      <c r="C11" s="2">
        <f>B5-4*B7</f>
        <v>99.642229123600032</v>
      </c>
      <c r="D11" s="2"/>
      <c r="G11" s="2" t="s">
        <v>10</v>
      </c>
      <c r="H11" s="2" t="s">
        <v>18</v>
      </c>
      <c r="I11" s="2"/>
      <c r="J11" s="2"/>
    </row>
    <row r="12" spans="1:10" ht="28.8" x14ac:dyDescent="0.3">
      <c r="A12" s="2" t="s">
        <v>10</v>
      </c>
      <c r="B12" s="2" t="str">
        <f>IF(OR(D5&lt;C11,D5&gt;B11),"DIFFERENT","SAME")</f>
        <v>DIFFERENT</v>
      </c>
      <c r="C12" s="2"/>
      <c r="D12" s="2"/>
      <c r="G12" s="3" t="s">
        <v>11</v>
      </c>
      <c r="H12" s="3" t="s">
        <v>12</v>
      </c>
      <c r="I12" s="3" t="s">
        <v>14</v>
      </c>
      <c r="J12" s="4"/>
    </row>
    <row r="13" spans="1:10" ht="28.8" x14ac:dyDescent="0.3">
      <c r="G13" s="3" t="s">
        <v>13</v>
      </c>
      <c r="H13" s="3" t="s">
        <v>9</v>
      </c>
      <c r="I13" s="3" t="s">
        <v>15</v>
      </c>
      <c r="J13" s="3" t="s">
        <v>16</v>
      </c>
    </row>
    <row r="30" spans="7:7" ht="53.4" customHeight="1" x14ac:dyDescent="0.3">
      <c r="G30" s="1" t="s">
        <v>21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E31B2-FCA7-4E7B-B14B-05D0CE58F009}">
  <dimension ref="A1:E28"/>
  <sheetViews>
    <sheetView workbookViewId="0">
      <selection activeCell="D24" sqref="D24"/>
    </sheetView>
  </sheetViews>
  <sheetFormatPr defaultRowHeight="14.4" x14ac:dyDescent="0.3"/>
  <cols>
    <col min="1" max="1" width="12.21875" customWidth="1"/>
    <col min="2" max="2" width="34.5546875" customWidth="1"/>
    <col min="3" max="3" width="48.6640625" customWidth="1"/>
    <col min="4" max="4" width="28.109375" customWidth="1"/>
    <col min="5" max="5" width="19.109375" customWidth="1"/>
  </cols>
  <sheetData>
    <row r="1" spans="2:5" x14ac:dyDescent="0.3">
      <c r="B1" s="17" t="s">
        <v>110</v>
      </c>
      <c r="C1" s="17"/>
      <c r="D1" s="17"/>
      <c r="E1" s="17"/>
    </row>
    <row r="2" spans="2:5" x14ac:dyDescent="0.3">
      <c r="B2" s="17" t="s">
        <v>112</v>
      </c>
      <c r="C2" s="17"/>
      <c r="D2" s="17"/>
      <c r="E2" s="17"/>
    </row>
    <row r="3" spans="2:5" x14ac:dyDescent="0.3">
      <c r="C3" s="24" t="s">
        <v>104</v>
      </c>
      <c r="D3" s="24" t="s">
        <v>105</v>
      </c>
      <c r="E3" t="s">
        <v>115</v>
      </c>
    </row>
    <row r="4" spans="2:5" x14ac:dyDescent="0.3">
      <c r="B4" t="s">
        <v>107</v>
      </c>
      <c r="C4">
        <v>2219</v>
      </c>
      <c r="D4">
        <v>2035</v>
      </c>
      <c r="E4">
        <f>C4+D4</f>
        <v>4254</v>
      </c>
    </row>
    <row r="5" spans="2:5" x14ac:dyDescent="0.3">
      <c r="B5" t="s">
        <v>111</v>
      </c>
      <c r="C5">
        <v>26</v>
      </c>
      <c r="D5">
        <v>46</v>
      </c>
      <c r="E5">
        <f>C5+D5</f>
        <v>72</v>
      </c>
    </row>
    <row r="6" spans="2:5" x14ac:dyDescent="0.3">
      <c r="E6" t="s">
        <v>106</v>
      </c>
    </row>
    <row r="7" spans="2:5" x14ac:dyDescent="0.3">
      <c r="B7" t="s">
        <v>24</v>
      </c>
      <c r="C7">
        <f>C5/C4</f>
        <v>1.1716989634970707E-2</v>
      </c>
      <c r="D7">
        <f>D5/D4</f>
        <v>2.2604422604422605E-2</v>
      </c>
      <c r="E7">
        <f>ABS(C7-D7)</f>
        <v>1.0887432969451898E-2</v>
      </c>
    </row>
    <row r="11" spans="2:5" x14ac:dyDescent="0.3">
      <c r="B11" t="s">
        <v>83</v>
      </c>
      <c r="E11">
        <f>SQRT(((C7*(1-C7))/C4)+((D7*(1-D7))/D4))</f>
        <v>4.0093853583056558E-3</v>
      </c>
    </row>
    <row r="12" spans="2:5" x14ac:dyDescent="0.3">
      <c r="B12" t="s">
        <v>108</v>
      </c>
      <c r="E12">
        <f>E7+(1.96*E11)</f>
        <v>1.8745828271730984E-2</v>
      </c>
    </row>
    <row r="13" spans="2:5" x14ac:dyDescent="0.3">
      <c r="B13" t="s">
        <v>109</v>
      </c>
      <c r="E13">
        <f>E7-(1.96*E11)</f>
        <v>3.0290376671728118E-3</v>
      </c>
    </row>
    <row r="15" spans="2:5" x14ac:dyDescent="0.3">
      <c r="B15" s="19" t="s">
        <v>113</v>
      </c>
      <c r="C15" s="19"/>
      <c r="D15" s="19"/>
      <c r="E15" s="19"/>
    </row>
    <row r="16" spans="2:5" ht="14.4" customHeight="1" x14ac:dyDescent="0.3"/>
    <row r="17" spans="1:5" x14ac:dyDescent="0.3">
      <c r="B17" s="17" t="s">
        <v>114</v>
      </c>
      <c r="C17" s="17"/>
      <c r="D17" s="17"/>
      <c r="E17" s="17"/>
    </row>
    <row r="18" spans="1:5" x14ac:dyDescent="0.3">
      <c r="B18" s="24" t="s">
        <v>116</v>
      </c>
    </row>
    <row r="19" spans="1:5" ht="28.8" x14ac:dyDescent="0.3">
      <c r="A19" s="19" t="s">
        <v>119</v>
      </c>
      <c r="B19" t="s">
        <v>62</v>
      </c>
      <c r="C19" s="1" t="s">
        <v>117</v>
      </c>
    </row>
    <row r="20" spans="1:5" x14ac:dyDescent="0.3">
      <c r="A20" s="19"/>
      <c r="B20" t="s">
        <v>65</v>
      </c>
      <c r="C20" t="s">
        <v>118</v>
      </c>
    </row>
    <row r="21" spans="1:5" x14ac:dyDescent="0.3">
      <c r="A21" s="19"/>
      <c r="B21" t="s">
        <v>68</v>
      </c>
      <c r="C21" s="20">
        <v>0.05</v>
      </c>
    </row>
    <row r="23" spans="1:5" ht="28.8" x14ac:dyDescent="0.3">
      <c r="A23" s="21" t="s">
        <v>48</v>
      </c>
      <c r="B23" t="s">
        <v>120</v>
      </c>
      <c r="C23">
        <f>E7/E11</f>
        <v>2.715486788242492</v>
      </c>
    </row>
    <row r="25" spans="1:5" x14ac:dyDescent="0.3">
      <c r="A25" s="19" t="s">
        <v>122</v>
      </c>
      <c r="B25" t="s">
        <v>121</v>
      </c>
      <c r="C25">
        <f>NORMSDIST(C23)</f>
        <v>0.99669107915678656</v>
      </c>
    </row>
    <row r="26" spans="1:5" x14ac:dyDescent="0.3">
      <c r="A26" s="19"/>
      <c r="B26" t="s">
        <v>72</v>
      </c>
      <c r="C26">
        <f>1-C25</f>
        <v>3.3089208432134365E-3</v>
      </c>
    </row>
    <row r="28" spans="1:5" ht="57.6" x14ac:dyDescent="0.3">
      <c r="A28" s="21" t="s">
        <v>56</v>
      </c>
      <c r="B28" s="23" t="s">
        <v>74</v>
      </c>
      <c r="C28" s="23" t="str">
        <f>IF(C26&lt;C21,"reject null", "do not reject null")</f>
        <v>reject null</v>
      </c>
    </row>
  </sheetData>
  <mergeCells count="6">
    <mergeCell ref="A25:A26"/>
    <mergeCell ref="B1:E1"/>
    <mergeCell ref="B15:E15"/>
    <mergeCell ref="B2:E2"/>
    <mergeCell ref="B17:E17"/>
    <mergeCell ref="A19:A2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C1138-A433-439D-8C47-6926874B8D9D}">
  <dimension ref="A1:E28"/>
  <sheetViews>
    <sheetView topLeftCell="B1" workbookViewId="0">
      <selection activeCell="F11" sqref="F11:G11"/>
    </sheetView>
  </sheetViews>
  <sheetFormatPr defaultRowHeight="14.4" x14ac:dyDescent="0.3"/>
  <cols>
    <col min="1" max="1" width="12.21875" customWidth="1"/>
    <col min="2" max="2" width="34.5546875" customWidth="1"/>
    <col min="3" max="3" width="48.6640625" customWidth="1"/>
    <col min="4" max="4" width="28.109375" customWidth="1"/>
    <col min="5" max="5" width="19.109375" customWidth="1"/>
  </cols>
  <sheetData>
    <row r="1" spans="2:5" x14ac:dyDescent="0.3">
      <c r="B1" s="17" t="s">
        <v>123</v>
      </c>
      <c r="C1" s="17"/>
      <c r="D1" s="17"/>
      <c r="E1" s="17"/>
    </row>
    <row r="2" spans="2:5" x14ac:dyDescent="0.3">
      <c r="B2" s="17"/>
      <c r="C2" s="17"/>
      <c r="D2" s="17"/>
      <c r="E2" s="17"/>
    </row>
    <row r="3" spans="2:5" x14ac:dyDescent="0.3">
      <c r="C3" s="24" t="s">
        <v>124</v>
      </c>
      <c r="D3" s="24" t="s">
        <v>126</v>
      </c>
      <c r="E3" t="s">
        <v>115</v>
      </c>
    </row>
    <row r="4" spans="2:5" x14ac:dyDescent="0.3">
      <c r="B4" t="s">
        <v>107</v>
      </c>
      <c r="C4">
        <v>120</v>
      </c>
      <c r="D4">
        <v>80</v>
      </c>
      <c r="E4">
        <f>C4+D4</f>
        <v>200</v>
      </c>
    </row>
    <row r="5" spans="2:5" x14ac:dyDescent="0.3">
      <c r="E5">
        <f>C7+D7</f>
        <v>30.299999999999997</v>
      </c>
    </row>
    <row r="6" spans="2:5" x14ac:dyDescent="0.3">
      <c r="B6" t="s">
        <v>4</v>
      </c>
      <c r="C6">
        <v>2.5</v>
      </c>
      <c r="D6">
        <v>3.6</v>
      </c>
      <c r="E6" t="s">
        <v>106</v>
      </c>
    </row>
    <row r="7" spans="2:5" x14ac:dyDescent="0.3">
      <c r="B7" t="s">
        <v>125</v>
      </c>
      <c r="C7">
        <v>16.2</v>
      </c>
      <c r="D7">
        <v>14.1</v>
      </c>
      <c r="E7">
        <f>C7-D7</f>
        <v>2.0999999999999996</v>
      </c>
    </row>
    <row r="11" spans="2:5" x14ac:dyDescent="0.3">
      <c r="B11" t="s">
        <v>83</v>
      </c>
      <c r="E11">
        <f>SQRT((C6^2/C4)+(D6^2/D4))</f>
        <v>0.4626914018364004</v>
      </c>
    </row>
    <row r="12" spans="2:5" x14ac:dyDescent="0.3">
      <c r="B12" t="s">
        <v>108</v>
      </c>
      <c r="E12">
        <f>E7+(1.96*E11)</f>
        <v>3.0068751475993443</v>
      </c>
    </row>
    <row r="13" spans="2:5" x14ac:dyDescent="0.3">
      <c r="B13" t="s">
        <v>109</v>
      </c>
      <c r="E13">
        <f>E7-(1.96*E11)</f>
        <v>1.193124852400655</v>
      </c>
    </row>
    <row r="15" spans="2:5" x14ac:dyDescent="0.3">
      <c r="B15" s="19" t="s">
        <v>127</v>
      </c>
      <c r="C15" s="19"/>
      <c r="D15" s="19"/>
      <c r="E15" s="19"/>
    </row>
    <row r="16" spans="2:5" ht="14.4" customHeight="1" x14ac:dyDescent="0.3"/>
    <row r="17" spans="1:5" x14ac:dyDescent="0.3">
      <c r="B17" s="17" t="s">
        <v>114</v>
      </c>
      <c r="C17" s="17"/>
      <c r="D17" s="17"/>
      <c r="E17" s="17"/>
    </row>
    <row r="18" spans="1:5" x14ac:dyDescent="0.3">
      <c r="B18" s="24" t="s">
        <v>116</v>
      </c>
    </row>
    <row r="19" spans="1:5" ht="28.8" x14ac:dyDescent="0.3">
      <c r="A19" s="19" t="s">
        <v>119</v>
      </c>
      <c r="B19" t="s">
        <v>62</v>
      </c>
      <c r="C19" s="1" t="s">
        <v>128</v>
      </c>
    </row>
    <row r="20" spans="1:5" x14ac:dyDescent="0.3">
      <c r="A20" s="19"/>
      <c r="B20" t="s">
        <v>65</v>
      </c>
      <c r="C20" t="s">
        <v>129</v>
      </c>
    </row>
    <row r="21" spans="1:5" x14ac:dyDescent="0.3">
      <c r="A21" s="19"/>
      <c r="B21" t="s">
        <v>68</v>
      </c>
      <c r="C21" s="20">
        <v>0.01</v>
      </c>
    </row>
    <row r="23" spans="1:5" ht="28.8" x14ac:dyDescent="0.3">
      <c r="A23" s="21" t="s">
        <v>48</v>
      </c>
      <c r="B23" t="s">
        <v>120</v>
      </c>
      <c r="C23">
        <f>E7/E11</f>
        <v>4.5386622523461613</v>
      </c>
    </row>
    <row r="25" spans="1:5" x14ac:dyDescent="0.3">
      <c r="A25" s="19" t="s">
        <v>122</v>
      </c>
      <c r="B25" t="s">
        <v>121</v>
      </c>
      <c r="C25">
        <f>NORMSDIST(C23)</f>
        <v>0.99999716938864947</v>
      </c>
    </row>
    <row r="26" spans="1:5" x14ac:dyDescent="0.3">
      <c r="A26" s="19"/>
      <c r="B26" t="s">
        <v>72</v>
      </c>
      <c r="C26">
        <f>1-C25</f>
        <v>2.8306113505349728E-6</v>
      </c>
    </row>
    <row r="28" spans="1:5" ht="57.6" x14ac:dyDescent="0.3">
      <c r="A28" s="21" t="s">
        <v>56</v>
      </c>
      <c r="B28" s="23" t="s">
        <v>74</v>
      </c>
      <c r="C28" s="23" t="str">
        <f>IF(C26&lt;C21,"reject null", "do not reject null")</f>
        <v>reject null</v>
      </c>
    </row>
  </sheetData>
  <mergeCells count="6">
    <mergeCell ref="B1:E1"/>
    <mergeCell ref="B2:E2"/>
    <mergeCell ref="B15:E15"/>
    <mergeCell ref="B17:E17"/>
    <mergeCell ref="A19:A21"/>
    <mergeCell ref="A25:A2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4C8F0-CBC6-4DC4-A87C-8175889ADCA7}">
  <dimension ref="C1:S18"/>
  <sheetViews>
    <sheetView topLeftCell="B1" workbookViewId="0">
      <selection activeCell="D19" sqref="D19"/>
    </sheetView>
  </sheetViews>
  <sheetFormatPr defaultRowHeight="14.4" x14ac:dyDescent="0.3"/>
  <cols>
    <col min="3" max="3" width="15.44140625" customWidth="1"/>
    <col min="12" max="12" width="9.44140625" customWidth="1"/>
    <col min="13" max="13" width="39.5546875" customWidth="1"/>
  </cols>
  <sheetData>
    <row r="1" spans="3:19" x14ac:dyDescent="0.3">
      <c r="C1" s="27" t="s">
        <v>130</v>
      </c>
      <c r="D1" s="27"/>
      <c r="E1" s="27"/>
      <c r="F1" s="27"/>
      <c r="G1" s="27"/>
      <c r="H1" s="27"/>
      <c r="I1" s="27"/>
      <c r="J1" s="27"/>
      <c r="K1" s="27"/>
      <c r="L1" s="27"/>
      <c r="M1" s="27"/>
      <c r="N1" s="27"/>
      <c r="O1" s="27"/>
      <c r="P1" s="27"/>
      <c r="Q1" s="27"/>
      <c r="R1" s="27"/>
      <c r="S1" s="27"/>
    </row>
    <row r="2" spans="3:19" x14ac:dyDescent="0.3">
      <c r="C2" s="28"/>
      <c r="D2" s="27" t="s">
        <v>131</v>
      </c>
      <c r="E2" s="27"/>
      <c r="F2" s="27"/>
      <c r="G2" s="27"/>
      <c r="H2" s="27"/>
      <c r="I2" s="27"/>
      <c r="J2" s="27"/>
      <c r="K2" s="27"/>
      <c r="L2" s="27"/>
      <c r="M2" s="27"/>
      <c r="N2" s="27"/>
      <c r="O2" s="27"/>
      <c r="P2" s="27"/>
      <c r="Q2" s="27"/>
      <c r="R2" s="27"/>
      <c r="S2" s="28"/>
    </row>
    <row r="4" spans="3:19" x14ac:dyDescent="0.3">
      <c r="C4" s="18" t="s">
        <v>140</v>
      </c>
      <c r="D4" s="18"/>
      <c r="E4" s="18"/>
      <c r="F4" s="18"/>
      <c r="G4" s="18"/>
      <c r="H4" s="18"/>
      <c r="I4" s="18"/>
      <c r="J4" s="18"/>
      <c r="K4" s="18"/>
      <c r="L4" s="18"/>
      <c r="M4" s="18"/>
      <c r="N4" s="18"/>
      <c r="O4" s="18"/>
      <c r="P4" s="18"/>
      <c r="Q4" s="18"/>
      <c r="R4" s="18"/>
    </row>
    <row r="5" spans="3:19" x14ac:dyDescent="0.3">
      <c r="C5" s="18"/>
      <c r="D5" s="18"/>
      <c r="E5" s="18"/>
      <c r="F5" s="18"/>
      <c r="G5" s="18"/>
      <c r="H5" s="18"/>
      <c r="I5" s="18"/>
      <c r="J5" s="18"/>
      <c r="K5" s="18"/>
      <c r="L5" s="18"/>
      <c r="M5" s="18"/>
      <c r="N5" s="18"/>
      <c r="O5" s="18"/>
      <c r="P5" s="18"/>
      <c r="Q5" s="18"/>
      <c r="R5" s="18"/>
    </row>
    <row r="6" spans="3:19" x14ac:dyDescent="0.3">
      <c r="C6" s="29"/>
      <c r="D6" s="29" t="s">
        <v>132</v>
      </c>
      <c r="E6" s="29" t="s">
        <v>133</v>
      </c>
      <c r="F6" s="29" t="s">
        <v>134</v>
      </c>
      <c r="G6" s="29" t="s">
        <v>135</v>
      </c>
      <c r="L6" s="8" t="s">
        <v>143</v>
      </c>
      <c r="M6" s="8"/>
    </row>
    <row r="7" spans="3:19" x14ac:dyDescent="0.3">
      <c r="C7" s="29" t="s">
        <v>136</v>
      </c>
      <c r="D7" s="30">
        <v>0.15</v>
      </c>
      <c r="E7" s="30">
        <v>0.25</v>
      </c>
      <c r="F7" s="30">
        <v>0.3</v>
      </c>
      <c r="G7" s="30">
        <v>0.3</v>
      </c>
      <c r="L7" s="25" t="s">
        <v>62</v>
      </c>
      <c r="M7" s="25" t="s">
        <v>141</v>
      </c>
    </row>
    <row r="8" spans="3:19" x14ac:dyDescent="0.3">
      <c r="C8" s="29" t="s">
        <v>137</v>
      </c>
      <c r="D8" s="29">
        <v>30</v>
      </c>
      <c r="E8" s="29">
        <v>50</v>
      </c>
      <c r="F8" s="29">
        <v>60</v>
      </c>
      <c r="G8" s="29">
        <v>60</v>
      </c>
      <c r="L8" s="25" t="s">
        <v>65</v>
      </c>
      <c r="M8" s="25" t="s">
        <v>142</v>
      </c>
    </row>
    <row r="9" spans="3:19" x14ac:dyDescent="0.3">
      <c r="C9" s="29"/>
      <c r="D9" s="29"/>
      <c r="E9" s="29"/>
      <c r="F9" s="29"/>
      <c r="G9" s="29"/>
      <c r="L9" t="s">
        <v>145</v>
      </c>
      <c r="M9">
        <v>0.05</v>
      </c>
    </row>
    <row r="10" spans="3:19" x14ac:dyDescent="0.3">
      <c r="C10" s="29" t="s">
        <v>138</v>
      </c>
      <c r="D10" s="29">
        <v>45</v>
      </c>
      <c r="E10" s="29">
        <v>48</v>
      </c>
      <c r="F10" s="29">
        <v>55</v>
      </c>
      <c r="G10" s="29">
        <v>52</v>
      </c>
      <c r="L10" s="8" t="s">
        <v>144</v>
      </c>
      <c r="M10" s="8"/>
    </row>
    <row r="11" spans="3:19" x14ac:dyDescent="0.3">
      <c r="C11" s="29" t="s">
        <v>139</v>
      </c>
      <c r="D11" s="31">
        <v>0.22500000000000001</v>
      </c>
      <c r="E11" s="31">
        <v>0.24</v>
      </c>
      <c r="F11" s="31">
        <v>0.27500000000000002</v>
      </c>
      <c r="G11" s="31">
        <v>0.26</v>
      </c>
    </row>
    <row r="12" spans="3:19" x14ac:dyDescent="0.3">
      <c r="C12" s="29" t="s">
        <v>152</v>
      </c>
      <c r="D12" s="29">
        <v>3</v>
      </c>
      <c r="E12" s="32"/>
      <c r="F12" s="32"/>
      <c r="G12" s="32"/>
    </row>
    <row r="13" spans="3:19" x14ac:dyDescent="0.3">
      <c r="C13" s="29" t="s">
        <v>146</v>
      </c>
      <c r="D13" s="32">
        <f>(D10-D8)^2/D8</f>
        <v>7.5</v>
      </c>
      <c r="E13" s="32">
        <f t="shared" ref="E13:G13" si="0">(E10-E8)^2/E8</f>
        <v>0.08</v>
      </c>
      <c r="F13" s="32">
        <f t="shared" si="0"/>
        <v>0.41666666666666669</v>
      </c>
      <c r="G13" s="32">
        <f t="shared" si="0"/>
        <v>1.0666666666666667</v>
      </c>
    </row>
    <row r="14" spans="3:19" x14ac:dyDescent="0.3">
      <c r="C14" s="29" t="s">
        <v>147</v>
      </c>
      <c r="D14" s="32">
        <f>SUM(D13:G13)</f>
        <v>9.0633333333333344</v>
      </c>
      <c r="E14" s="32">
        <f>CHITEST(D10:G10,D8:G8)</f>
        <v>2.8460579400641013E-2</v>
      </c>
      <c r="F14" s="32"/>
      <c r="G14" s="32"/>
    </row>
    <row r="15" spans="3:19" x14ac:dyDescent="0.3">
      <c r="C15" s="29" t="s">
        <v>151</v>
      </c>
      <c r="D15" s="32">
        <v>0.05</v>
      </c>
      <c r="E15" s="32"/>
      <c r="F15" s="32"/>
      <c r="G15" s="32"/>
    </row>
    <row r="16" spans="3:19" x14ac:dyDescent="0.3">
      <c r="C16" s="29" t="s">
        <v>72</v>
      </c>
      <c r="D16" s="32">
        <f>_xlfn.CHISQ.DIST.RT(D14,D12)</f>
        <v>2.8460579400641013E-2</v>
      </c>
      <c r="E16" s="32"/>
      <c r="F16" s="32"/>
      <c r="G16" s="32"/>
      <c r="L16" s="8" t="s">
        <v>148</v>
      </c>
      <c r="M16" s="8"/>
    </row>
    <row r="17" spans="3:13" x14ac:dyDescent="0.3">
      <c r="C17" s="29" t="s">
        <v>74</v>
      </c>
      <c r="D17" s="32" t="str">
        <f>IF(D16&lt;M9,"reject null","do not reject null")</f>
        <v>reject null</v>
      </c>
      <c r="E17" s="32"/>
      <c r="F17" s="32"/>
      <c r="G17" s="32"/>
      <c r="L17" t="s">
        <v>149</v>
      </c>
      <c r="M17" t="s">
        <v>150</v>
      </c>
    </row>
    <row r="18" spans="3:13" x14ac:dyDescent="0.3">
      <c r="M18">
        <f>4-1</f>
        <v>3</v>
      </c>
    </row>
  </sheetData>
  <mergeCells count="6">
    <mergeCell ref="C1:S1"/>
    <mergeCell ref="D2:R2"/>
    <mergeCell ref="C4:R5"/>
    <mergeCell ref="L6:M6"/>
    <mergeCell ref="L10:M10"/>
    <mergeCell ref="L16:M16"/>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542CE-0D22-4DB2-BA04-994870B56E84}">
  <dimension ref="A2:V29"/>
  <sheetViews>
    <sheetView workbookViewId="0">
      <selection activeCell="I25" sqref="I25"/>
    </sheetView>
  </sheetViews>
  <sheetFormatPr defaultRowHeight="14.4" x14ac:dyDescent="0.3"/>
  <cols>
    <col min="2" max="2" width="31.88671875" customWidth="1"/>
    <col min="3" max="3" width="10.109375" customWidth="1"/>
    <col min="4" max="5" width="11.77734375" customWidth="1"/>
    <col min="6" max="6" width="10.33203125" customWidth="1"/>
    <col min="9" max="9" width="22.6640625" customWidth="1"/>
    <col min="10" max="10" width="17.6640625" customWidth="1"/>
    <col min="13" max="14" width="8.88671875" customWidth="1"/>
  </cols>
  <sheetData>
    <row r="2" spans="1:22" x14ac:dyDescent="0.3">
      <c r="A2" s="17" t="s">
        <v>153</v>
      </c>
      <c r="B2" s="17"/>
      <c r="C2" s="17"/>
      <c r="D2" s="17"/>
      <c r="E2" s="17"/>
      <c r="F2" s="17"/>
      <c r="G2" s="17"/>
      <c r="H2" s="17"/>
      <c r="I2" s="17"/>
      <c r="J2" s="17"/>
      <c r="K2" s="17"/>
      <c r="L2" s="17"/>
      <c r="M2" s="17"/>
      <c r="N2" s="17"/>
      <c r="O2" s="17"/>
      <c r="P2" s="17"/>
      <c r="Q2" s="17"/>
      <c r="R2" s="17"/>
      <c r="S2" s="17"/>
      <c r="T2" s="17"/>
      <c r="U2" s="17"/>
      <c r="V2" s="17"/>
    </row>
    <row r="4" spans="1:22" x14ac:dyDescent="0.3">
      <c r="B4" s="17" t="s">
        <v>154</v>
      </c>
      <c r="C4" s="17"/>
      <c r="D4" s="17"/>
      <c r="E4" s="17"/>
      <c r="F4" s="17"/>
      <c r="G4" s="17"/>
      <c r="H4" s="17"/>
      <c r="I4" s="17"/>
      <c r="J4" s="17"/>
      <c r="K4" s="17"/>
      <c r="L4" s="17"/>
      <c r="M4" s="17"/>
      <c r="N4" s="17"/>
      <c r="O4" s="17"/>
      <c r="P4" s="17"/>
      <c r="Q4" s="17"/>
    </row>
    <row r="6" spans="1:22" x14ac:dyDescent="0.3">
      <c r="B6" s="2"/>
      <c r="C6" s="29" t="s">
        <v>155</v>
      </c>
      <c r="D6" s="29" t="s">
        <v>156</v>
      </c>
      <c r="E6" s="29" t="s">
        <v>157</v>
      </c>
      <c r="F6" s="29" t="s">
        <v>158</v>
      </c>
      <c r="I6" s="7" t="s">
        <v>116</v>
      </c>
      <c r="J6" s="7"/>
      <c r="K6" s="7"/>
      <c r="L6" s="7"/>
      <c r="M6" s="7"/>
      <c r="N6" s="7"/>
    </row>
    <row r="7" spans="1:22" x14ac:dyDescent="0.3">
      <c r="B7" s="2"/>
      <c r="C7" s="2">
        <v>5</v>
      </c>
      <c r="D7" s="2">
        <v>8</v>
      </c>
      <c r="E7" s="2">
        <v>5</v>
      </c>
      <c r="F7" s="2">
        <v>4</v>
      </c>
    </row>
    <row r="8" spans="1:22" x14ac:dyDescent="0.3">
      <c r="B8" s="2"/>
      <c r="C8" s="2">
        <v>3</v>
      </c>
      <c r="D8" s="2">
        <v>3</v>
      </c>
      <c r="E8" s="2">
        <v>6</v>
      </c>
      <c r="F8" s="2">
        <v>6</v>
      </c>
      <c r="I8" t="s">
        <v>163</v>
      </c>
      <c r="J8" t="s">
        <v>164</v>
      </c>
    </row>
    <row r="9" spans="1:22" x14ac:dyDescent="0.3">
      <c r="B9" s="2"/>
      <c r="C9" s="2">
        <v>5</v>
      </c>
      <c r="D9" s="2">
        <v>4</v>
      </c>
      <c r="E9" s="2">
        <v>5</v>
      </c>
      <c r="F9" s="2">
        <v>8</v>
      </c>
      <c r="I9" t="s">
        <v>65</v>
      </c>
      <c r="J9" t="s">
        <v>165</v>
      </c>
    </row>
    <row r="10" spans="1:22" x14ac:dyDescent="0.3">
      <c r="B10" s="2"/>
      <c r="C10" s="2">
        <v>3</v>
      </c>
      <c r="D10" s="2">
        <v>5</v>
      </c>
      <c r="E10" s="2">
        <v>8</v>
      </c>
      <c r="F10" s="2">
        <v>2</v>
      </c>
    </row>
    <row r="11" spans="1:22" x14ac:dyDescent="0.3">
      <c r="B11" s="29" t="s">
        <v>3</v>
      </c>
      <c r="C11" s="32">
        <f>AVERAGE(C7:C10)</f>
        <v>4</v>
      </c>
      <c r="D11" s="32">
        <f t="shared" ref="D11:F11" si="0">AVERAGE(D7:D10)</f>
        <v>5</v>
      </c>
      <c r="E11" s="32">
        <f t="shared" si="0"/>
        <v>6</v>
      </c>
      <c r="F11" s="32">
        <f t="shared" si="0"/>
        <v>5</v>
      </c>
      <c r="I11" t="s">
        <v>166</v>
      </c>
      <c r="J11">
        <v>0.05</v>
      </c>
    </row>
    <row r="12" spans="1:22" x14ac:dyDescent="0.3">
      <c r="B12" s="35" t="s">
        <v>159</v>
      </c>
      <c r="C12" s="34">
        <f>AVERAGE(C7:F11)</f>
        <v>5</v>
      </c>
      <c r="D12" s="34"/>
      <c r="E12" s="34"/>
      <c r="F12" s="34"/>
    </row>
    <row r="13" spans="1:22" x14ac:dyDescent="0.3">
      <c r="B13" s="2"/>
      <c r="C13" s="33" t="s">
        <v>160</v>
      </c>
      <c r="D13" s="33"/>
      <c r="E13" s="33"/>
      <c r="F13" s="33"/>
      <c r="I13" t="s">
        <v>167</v>
      </c>
    </row>
    <row r="14" spans="1:22" x14ac:dyDescent="0.3">
      <c r="B14" s="2"/>
      <c r="C14" s="2">
        <f>(C7-$C$12)^2</f>
        <v>0</v>
      </c>
      <c r="D14" s="2">
        <f t="shared" ref="D14:F14" si="1">(D7-$C$12)^2</f>
        <v>9</v>
      </c>
      <c r="E14" s="2">
        <f t="shared" si="1"/>
        <v>0</v>
      </c>
      <c r="F14" s="2">
        <f t="shared" si="1"/>
        <v>1</v>
      </c>
    </row>
    <row r="15" spans="1:22" x14ac:dyDescent="0.3">
      <c r="B15" s="2"/>
      <c r="C15" s="2">
        <f>(C8-$C$12)^2</f>
        <v>4</v>
      </c>
      <c r="D15" s="2">
        <f t="shared" ref="D15:F15" si="2">(D8-$C$12)^2</f>
        <v>4</v>
      </c>
      <c r="E15" s="2">
        <f t="shared" si="2"/>
        <v>1</v>
      </c>
      <c r="F15" s="2">
        <f t="shared" si="2"/>
        <v>1</v>
      </c>
    </row>
    <row r="16" spans="1:22" x14ac:dyDescent="0.3">
      <c r="B16" s="2"/>
      <c r="C16" s="2">
        <f>(C9-$C$12)^2</f>
        <v>0</v>
      </c>
      <c r="D16" s="2">
        <f t="shared" ref="D16:F16" si="3">(D9-$C$12)^2</f>
        <v>1</v>
      </c>
      <c r="E16" s="2">
        <f t="shared" si="3"/>
        <v>0</v>
      </c>
      <c r="F16" s="2">
        <f t="shared" si="3"/>
        <v>9</v>
      </c>
    </row>
    <row r="17" spans="2:11" x14ac:dyDescent="0.3">
      <c r="B17" s="2"/>
      <c r="C17" s="2">
        <f>(C10-$C$12)^2</f>
        <v>4</v>
      </c>
      <c r="D17" s="2">
        <f t="shared" ref="D17:F17" si="4">(D10-$C$12)^2</f>
        <v>0</v>
      </c>
      <c r="E17" s="2">
        <f t="shared" si="4"/>
        <v>9</v>
      </c>
      <c r="F17" s="2">
        <f t="shared" si="4"/>
        <v>9</v>
      </c>
    </row>
    <row r="18" spans="2:11" x14ac:dyDescent="0.3">
      <c r="B18" s="29" t="s">
        <v>186</v>
      </c>
      <c r="C18" s="32">
        <f>SUM(C14:F17)</f>
        <v>52</v>
      </c>
      <c r="D18" s="2"/>
      <c r="E18" s="2"/>
      <c r="F18" s="2"/>
    </row>
    <row r="19" spans="2:11" x14ac:dyDescent="0.3">
      <c r="B19" s="2"/>
      <c r="C19" s="33" t="s">
        <v>161</v>
      </c>
      <c r="D19" s="33"/>
      <c r="E19" s="33"/>
      <c r="F19" s="33"/>
    </row>
    <row r="20" spans="2:11" x14ac:dyDescent="0.3">
      <c r="B20" s="2"/>
      <c r="C20" s="2">
        <f>(C7-C$11)^2</f>
        <v>1</v>
      </c>
      <c r="D20" s="2">
        <f t="shared" ref="D20:F20" si="5">(D7-D$11)^2</f>
        <v>9</v>
      </c>
      <c r="E20" s="2">
        <f t="shared" si="5"/>
        <v>1</v>
      </c>
      <c r="F20" s="2">
        <f t="shared" si="5"/>
        <v>1</v>
      </c>
      <c r="I20" t="s">
        <v>171</v>
      </c>
      <c r="J20" t="s">
        <v>168</v>
      </c>
      <c r="K20">
        <v>4</v>
      </c>
    </row>
    <row r="21" spans="2:11" x14ac:dyDescent="0.3">
      <c r="B21" s="2"/>
      <c r="C21" s="2">
        <f t="shared" ref="C21:F21" si="6">(C8-C$11)^2</f>
        <v>1</v>
      </c>
      <c r="D21" s="2">
        <f t="shared" si="6"/>
        <v>4</v>
      </c>
      <c r="E21" s="2">
        <f t="shared" si="6"/>
        <v>0</v>
      </c>
      <c r="F21" s="2">
        <f t="shared" si="6"/>
        <v>1</v>
      </c>
      <c r="I21" t="s">
        <v>172</v>
      </c>
      <c r="J21" t="s">
        <v>169</v>
      </c>
      <c r="K21">
        <f>16</f>
        <v>16</v>
      </c>
    </row>
    <row r="22" spans="2:11" x14ac:dyDescent="0.3">
      <c r="B22" s="2"/>
      <c r="C22" s="2">
        <f t="shared" ref="C22:F22" si="7">(C9-C$11)^2</f>
        <v>1</v>
      </c>
      <c r="D22" s="2">
        <f t="shared" si="7"/>
        <v>1</v>
      </c>
      <c r="E22" s="2">
        <f t="shared" si="7"/>
        <v>1</v>
      </c>
      <c r="F22" s="2">
        <f t="shared" si="7"/>
        <v>9</v>
      </c>
    </row>
    <row r="23" spans="2:11" x14ac:dyDescent="0.3">
      <c r="B23" s="2"/>
      <c r="C23" s="2">
        <f t="shared" ref="C23:F23" si="8">(C10-C$11)^2</f>
        <v>1</v>
      </c>
      <c r="D23" s="2">
        <f t="shared" si="8"/>
        <v>0</v>
      </c>
      <c r="E23" s="2">
        <f t="shared" si="8"/>
        <v>4</v>
      </c>
      <c r="F23" s="2">
        <f t="shared" si="8"/>
        <v>9</v>
      </c>
      <c r="I23" t="s">
        <v>170</v>
      </c>
      <c r="J23">
        <f>(C27/(K20-1))/(C24/(K21-K20))</f>
        <v>0.72727272727272729</v>
      </c>
    </row>
    <row r="24" spans="2:11" x14ac:dyDescent="0.3">
      <c r="B24" s="29" t="s">
        <v>184</v>
      </c>
      <c r="C24" s="32">
        <f>SUM(C20:F23)</f>
        <v>44</v>
      </c>
      <c r="D24" s="2"/>
      <c r="E24" s="2"/>
      <c r="F24" s="2"/>
      <c r="I24" t="s">
        <v>72</v>
      </c>
      <c r="J24">
        <f>_xlfn.F.INV.RT(J11,K20-1,K21-K20)</f>
        <v>3.4902948194976045</v>
      </c>
    </row>
    <row r="25" spans="2:11" x14ac:dyDescent="0.3">
      <c r="B25" s="36"/>
      <c r="C25" s="37" t="s">
        <v>162</v>
      </c>
      <c r="D25" s="37"/>
      <c r="E25" s="37"/>
      <c r="F25" s="37"/>
    </row>
    <row r="26" spans="2:11" x14ac:dyDescent="0.3">
      <c r="B26" s="2"/>
      <c r="C26" s="2">
        <f>(C11-$C$12)^2*4</f>
        <v>4</v>
      </c>
      <c r="D26" s="2">
        <f t="shared" ref="D26:F26" si="9">(D11-$C$12)^2*4</f>
        <v>0</v>
      </c>
      <c r="E26" s="2">
        <f t="shared" si="9"/>
        <v>4</v>
      </c>
      <c r="F26" s="2">
        <f t="shared" si="9"/>
        <v>0</v>
      </c>
      <c r="I26" s="14" t="s">
        <v>74</v>
      </c>
      <c r="J26" s="14" t="str">
        <f>IF(J23&lt;J24,"null not rejected","rejected")</f>
        <v>null not rejected</v>
      </c>
    </row>
    <row r="27" spans="2:11" x14ac:dyDescent="0.3">
      <c r="B27" s="29" t="s">
        <v>185</v>
      </c>
      <c r="C27" s="29">
        <f>SUM(C26:F26)</f>
        <v>8</v>
      </c>
      <c r="D27" s="2"/>
      <c r="E27" s="2"/>
      <c r="F27" s="2"/>
    </row>
    <row r="28" spans="2:11" x14ac:dyDescent="0.3">
      <c r="B28" s="2"/>
      <c r="C28" s="2"/>
      <c r="D28" s="2"/>
      <c r="E28" s="2"/>
      <c r="F28" s="2"/>
    </row>
    <row r="29" spans="2:11" x14ac:dyDescent="0.3">
      <c r="B29" t="s">
        <v>183</v>
      </c>
    </row>
  </sheetData>
  <mergeCells count="6">
    <mergeCell ref="C25:F25"/>
    <mergeCell ref="I6:N6"/>
    <mergeCell ref="A2:V2"/>
    <mergeCell ref="B4:Q4"/>
    <mergeCell ref="C13:F13"/>
    <mergeCell ref="C19:F19"/>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AFF79-F25E-472D-9AF2-DF45DEDE051D}">
  <dimension ref="A7:O28"/>
  <sheetViews>
    <sheetView workbookViewId="0">
      <selection activeCell="O8" sqref="O8"/>
    </sheetView>
  </sheetViews>
  <sheetFormatPr defaultRowHeight="14.4" x14ac:dyDescent="0.3"/>
  <cols>
    <col min="1" max="1" width="16.88671875" customWidth="1"/>
    <col min="2" max="2" width="10" bestFit="1" customWidth="1"/>
    <col min="4" max="4" width="11.44140625" customWidth="1"/>
    <col min="9" max="9" width="24.88671875" customWidth="1"/>
    <col min="10" max="10" width="16.21875" customWidth="1"/>
  </cols>
  <sheetData>
    <row r="7" spans="1:15" x14ac:dyDescent="0.3">
      <c r="O7">
        <f>SQRT(0.917)</f>
        <v>0.95760116958992902</v>
      </c>
    </row>
    <row r="8" spans="1:15" x14ac:dyDescent="0.3">
      <c r="B8" s="26">
        <v>1996</v>
      </c>
      <c r="C8" s="26">
        <v>1997</v>
      </c>
      <c r="D8" s="26">
        <v>1998</v>
      </c>
      <c r="I8" s="7" t="s">
        <v>116</v>
      </c>
      <c r="J8" s="7"/>
      <c r="K8" s="7"/>
      <c r="L8" s="7"/>
      <c r="M8" s="7"/>
      <c r="N8" s="7"/>
    </row>
    <row r="9" spans="1:15" x14ac:dyDescent="0.3">
      <c r="B9">
        <v>30000</v>
      </c>
      <c r="C9">
        <v>30000</v>
      </c>
      <c r="D9">
        <v>40000</v>
      </c>
    </row>
    <row r="10" spans="1:15" x14ac:dyDescent="0.3">
      <c r="B10">
        <v>34000</v>
      </c>
      <c r="C10">
        <v>35000</v>
      </c>
      <c r="D10">
        <v>41000</v>
      </c>
      <c r="I10" t="s">
        <v>163</v>
      </c>
      <c r="J10" t="s">
        <v>177</v>
      </c>
    </row>
    <row r="11" spans="1:15" x14ac:dyDescent="0.3">
      <c r="B11">
        <v>36000</v>
      </c>
      <c r="C11">
        <v>37000</v>
      </c>
      <c r="D11">
        <v>43000</v>
      </c>
      <c r="I11" t="s">
        <v>65</v>
      </c>
      <c r="J11" t="s">
        <v>165</v>
      </c>
    </row>
    <row r="12" spans="1:15" x14ac:dyDescent="0.3">
      <c r="B12">
        <v>38000</v>
      </c>
      <c r="C12">
        <v>38000</v>
      </c>
      <c r="D12">
        <v>44000</v>
      </c>
    </row>
    <row r="13" spans="1:15" x14ac:dyDescent="0.3">
      <c r="B13">
        <v>40000</v>
      </c>
      <c r="C13">
        <v>40000</v>
      </c>
      <c r="D13">
        <v>50000</v>
      </c>
      <c r="I13" t="s">
        <v>166</v>
      </c>
      <c r="J13">
        <v>0.01</v>
      </c>
    </row>
    <row r="14" spans="1:15" x14ac:dyDescent="0.3">
      <c r="A14" t="s">
        <v>89</v>
      </c>
      <c r="B14">
        <f>AVERAGE(B9:B13)</f>
        <v>35600</v>
      </c>
      <c r="C14">
        <f t="shared" ref="C14:D14" si="0">AVERAGE(C9:C13)</f>
        <v>36000</v>
      </c>
      <c r="D14">
        <f t="shared" si="0"/>
        <v>43600</v>
      </c>
    </row>
    <row r="15" spans="1:15" x14ac:dyDescent="0.3">
      <c r="A15" t="s">
        <v>173</v>
      </c>
      <c r="B15">
        <f>AVERAGE(B9:D13)</f>
        <v>38400</v>
      </c>
      <c r="I15" t="s">
        <v>167</v>
      </c>
    </row>
    <row r="17" spans="1:11" x14ac:dyDescent="0.3">
      <c r="B17" s="7" t="s">
        <v>161</v>
      </c>
      <c r="C17" s="7"/>
      <c r="D17" s="7"/>
    </row>
    <row r="18" spans="1:11" x14ac:dyDescent="0.3">
      <c r="B18">
        <f>(B9-B$14)^2</f>
        <v>31360000</v>
      </c>
      <c r="C18">
        <f t="shared" ref="C18:D18" si="1">(C9-C$14)^2</f>
        <v>36000000</v>
      </c>
      <c r="D18">
        <f t="shared" si="1"/>
        <v>12960000</v>
      </c>
    </row>
    <row r="19" spans="1:11" x14ac:dyDescent="0.3">
      <c r="B19">
        <f t="shared" ref="B19:D19" si="2">(B10-B$14)^2</f>
        <v>2560000</v>
      </c>
      <c r="C19">
        <f t="shared" si="2"/>
        <v>1000000</v>
      </c>
      <c r="D19">
        <f t="shared" si="2"/>
        <v>6760000</v>
      </c>
    </row>
    <row r="20" spans="1:11" x14ac:dyDescent="0.3">
      <c r="B20">
        <f t="shared" ref="B20:D20" si="3">(B11-B$14)^2</f>
        <v>160000</v>
      </c>
      <c r="C20">
        <f t="shared" si="3"/>
        <v>1000000</v>
      </c>
      <c r="D20">
        <f t="shared" si="3"/>
        <v>360000</v>
      </c>
    </row>
    <row r="21" spans="1:11" x14ac:dyDescent="0.3">
      <c r="B21">
        <f t="shared" ref="B21:D21" si="4">(B12-B$14)^2</f>
        <v>5760000</v>
      </c>
      <c r="C21">
        <f t="shared" si="4"/>
        <v>4000000</v>
      </c>
      <c r="D21">
        <f t="shared" si="4"/>
        <v>160000</v>
      </c>
    </row>
    <row r="22" spans="1:11" x14ac:dyDescent="0.3">
      <c r="B22">
        <f>(B13-B$14)^2</f>
        <v>19360000</v>
      </c>
      <c r="C22">
        <f>(C13-C$14)^2</f>
        <v>16000000</v>
      </c>
      <c r="D22">
        <f>(D13-D$14)^2</f>
        <v>40960000</v>
      </c>
      <c r="I22" t="s">
        <v>171</v>
      </c>
      <c r="J22" t="s">
        <v>168</v>
      </c>
      <c r="K22">
        <v>3</v>
      </c>
    </row>
    <row r="23" spans="1:11" x14ac:dyDescent="0.3">
      <c r="A23" t="s">
        <v>174</v>
      </c>
      <c r="B23">
        <f>SUM(B18:D22)</f>
        <v>178400000</v>
      </c>
      <c r="I23" t="s">
        <v>172</v>
      </c>
      <c r="J23" t="s">
        <v>169</v>
      </c>
      <c r="K23">
        <f>15</f>
        <v>15</v>
      </c>
    </row>
    <row r="25" spans="1:11" x14ac:dyDescent="0.3">
      <c r="B25" s="7" t="s">
        <v>175</v>
      </c>
      <c r="C25" s="7"/>
      <c r="D25" s="7"/>
      <c r="I25" t="s">
        <v>72</v>
      </c>
      <c r="J25">
        <f>(B27/(K22-1))/(B23/(K23-K22))</f>
        <v>4.100448430493274</v>
      </c>
    </row>
    <row r="26" spans="1:11" x14ac:dyDescent="0.3">
      <c r="B26">
        <f>(B14-$B$15)^2*3</f>
        <v>23520000</v>
      </c>
      <c r="C26">
        <f t="shared" ref="C26:D26" si="5">(C14-$B$15)^2*3</f>
        <v>17280000</v>
      </c>
      <c r="D26">
        <f t="shared" si="5"/>
        <v>81120000</v>
      </c>
      <c r="I26" t="s">
        <v>178</v>
      </c>
      <c r="J26">
        <f>_xlfn.F.INV.RT(J13,K22-1,K23-K22)</f>
        <v>6.9266081401913002</v>
      </c>
    </row>
    <row r="27" spans="1:11" x14ac:dyDescent="0.3">
      <c r="A27" t="s">
        <v>176</v>
      </c>
      <c r="B27">
        <f>SUM(B26:D26)</f>
        <v>121920000</v>
      </c>
    </row>
    <row r="28" spans="1:11" x14ac:dyDescent="0.3">
      <c r="I28" s="14" t="s">
        <v>74</v>
      </c>
      <c r="J28" s="14" t="str">
        <f>IF(J25&lt;J26,"null not rejected","rejected")</f>
        <v>null not rejected</v>
      </c>
    </row>
  </sheetData>
  <mergeCells count="3">
    <mergeCell ref="B17:D17"/>
    <mergeCell ref="B25:D25"/>
    <mergeCell ref="I8:N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171FB-11D9-4401-8550-160F5BC2CA71}">
  <dimension ref="A10:N37"/>
  <sheetViews>
    <sheetView topLeftCell="A8" workbookViewId="0">
      <selection activeCell="B38" sqref="B38"/>
    </sheetView>
  </sheetViews>
  <sheetFormatPr defaultRowHeight="14.4" x14ac:dyDescent="0.3"/>
  <cols>
    <col min="1" max="1" width="16.88671875" customWidth="1"/>
    <col min="2" max="2" width="12" customWidth="1"/>
    <col min="3" max="3" width="13.77734375" customWidth="1"/>
    <col min="4" max="4" width="11.44140625" customWidth="1"/>
    <col min="9" max="9" width="24.88671875" customWidth="1"/>
    <col min="10" max="10" width="16.21875" customWidth="1"/>
  </cols>
  <sheetData>
    <row r="10" spans="1:14" x14ac:dyDescent="0.3">
      <c r="B10" s="26" t="s">
        <v>179</v>
      </c>
      <c r="C10" s="26" t="s">
        <v>180</v>
      </c>
      <c r="D10" s="26" t="s">
        <v>181</v>
      </c>
      <c r="I10" s="7" t="s">
        <v>116</v>
      </c>
      <c r="J10" s="7"/>
      <c r="K10" s="7"/>
      <c r="L10" s="7"/>
      <c r="M10" s="7"/>
      <c r="N10" s="7"/>
    </row>
    <row r="11" spans="1:14" x14ac:dyDescent="0.3">
      <c r="B11">
        <v>643</v>
      </c>
      <c r="C11">
        <v>469</v>
      </c>
      <c r="D11">
        <v>484</v>
      </c>
    </row>
    <row r="12" spans="1:14" x14ac:dyDescent="0.3">
      <c r="B12">
        <v>655</v>
      </c>
      <c r="C12">
        <v>427</v>
      </c>
      <c r="D12">
        <v>456</v>
      </c>
      <c r="I12" t="s">
        <v>163</v>
      </c>
      <c r="J12" t="s">
        <v>177</v>
      </c>
    </row>
    <row r="13" spans="1:14" x14ac:dyDescent="0.3">
      <c r="B13">
        <v>702</v>
      </c>
      <c r="C13">
        <v>525</v>
      </c>
      <c r="D13">
        <v>402</v>
      </c>
      <c r="I13" t="s">
        <v>65</v>
      </c>
      <c r="J13" t="s">
        <v>165</v>
      </c>
    </row>
    <row r="15" spans="1:14" x14ac:dyDescent="0.3">
      <c r="I15" t="s">
        <v>166</v>
      </c>
      <c r="J15">
        <v>0.05</v>
      </c>
    </row>
    <row r="16" spans="1:14" x14ac:dyDescent="0.3">
      <c r="A16" t="s">
        <v>89</v>
      </c>
      <c r="B16">
        <f>AVERAGE(B11:B13)</f>
        <v>666.66666666666663</v>
      </c>
      <c r="C16">
        <f>AVERAGE(C11:C13)</f>
        <v>473.66666666666669</v>
      </c>
      <c r="D16">
        <f>AVERAGE(D11:D13)</f>
        <v>447.33333333333331</v>
      </c>
    </row>
    <row r="17" spans="1:11" x14ac:dyDescent="0.3">
      <c r="A17" t="s">
        <v>173</v>
      </c>
      <c r="B17">
        <f>AVERAGE(B11:D13)</f>
        <v>529.22222222222217</v>
      </c>
      <c r="I17" t="s">
        <v>167</v>
      </c>
    </row>
    <row r="19" spans="1:11" x14ac:dyDescent="0.3">
      <c r="B19" s="7" t="s">
        <v>161</v>
      </c>
      <c r="C19" s="7"/>
      <c r="D19" s="7"/>
    </row>
    <row r="20" spans="1:11" x14ac:dyDescent="0.3">
      <c r="B20">
        <f>(B11-B$16)^2</f>
        <v>560.11111111110927</v>
      </c>
      <c r="C20">
        <f t="shared" ref="C20:D20" si="0">(C11-C$16)^2</f>
        <v>21.777777777777956</v>
      </c>
      <c r="D20">
        <f t="shared" si="0"/>
        <v>1344.4444444444459</v>
      </c>
    </row>
    <row r="21" spans="1:11" x14ac:dyDescent="0.3">
      <c r="B21">
        <f>(B12-B$16)^2</f>
        <v>136.11111111111023</v>
      </c>
      <c r="C21">
        <f>(C12-C$16)^2</f>
        <v>2177.7777777777796</v>
      </c>
      <c r="D21">
        <f>(D12-D$16)^2</f>
        <v>75.111111111111441</v>
      </c>
    </row>
    <row r="22" spans="1:11" x14ac:dyDescent="0.3">
      <c r="B22">
        <f>(B13-B$16)^2</f>
        <v>1248.4444444444471</v>
      </c>
      <c r="C22">
        <f>(C13-C$16)^2</f>
        <v>2635.111111111109</v>
      </c>
      <c r="D22">
        <f>(D13-D$16)^2</f>
        <v>2055.1111111111095</v>
      </c>
    </row>
    <row r="24" spans="1:11" x14ac:dyDescent="0.3">
      <c r="I24" t="s">
        <v>171</v>
      </c>
      <c r="J24" t="s">
        <v>168</v>
      </c>
      <c r="K24">
        <v>3</v>
      </c>
    </row>
    <row r="25" spans="1:11" x14ac:dyDescent="0.3">
      <c r="A25" t="s">
        <v>174</v>
      </c>
      <c r="B25">
        <f>SUM(B20:D22)</f>
        <v>10254</v>
      </c>
      <c r="I25" t="s">
        <v>172</v>
      </c>
      <c r="J25" t="s">
        <v>169</v>
      </c>
      <c r="K25">
        <f>9</f>
        <v>9</v>
      </c>
    </row>
    <row r="27" spans="1:11" x14ac:dyDescent="0.3">
      <c r="B27" s="7" t="s">
        <v>175</v>
      </c>
      <c r="C27" s="7"/>
      <c r="D27" s="7"/>
      <c r="I27" t="s">
        <v>178</v>
      </c>
      <c r="J27">
        <f>(B29/(K24-1))/(B25/(K25-K24))</f>
        <v>25.175411221637077</v>
      </c>
    </row>
    <row r="28" spans="1:11" x14ac:dyDescent="0.3">
      <c r="B28">
        <f>(B16-$B$17)^2*3</f>
        <v>56672.925925925942</v>
      </c>
      <c r="C28">
        <f t="shared" ref="C28:D28" si="1">(C16-$B$17)^2*3</f>
        <v>9259.2592592592373</v>
      </c>
      <c r="D28">
        <f t="shared" si="1"/>
        <v>20117.370370370358</v>
      </c>
      <c r="I28" t="s">
        <v>72</v>
      </c>
      <c r="J28">
        <f>_xlfn.F.INV.RT(J15,K24-1,K25-K24)</f>
        <v>5.1432528497847176</v>
      </c>
    </row>
    <row r="29" spans="1:11" x14ac:dyDescent="0.3">
      <c r="A29" t="s">
        <v>176</v>
      </c>
      <c r="B29">
        <f>SUM(B28:D28)</f>
        <v>86049.555555555533</v>
      </c>
    </row>
    <row r="30" spans="1:11" x14ac:dyDescent="0.3">
      <c r="I30" s="14" t="s">
        <v>74</v>
      </c>
      <c r="J30" s="14" t="str">
        <f>IF(J27&lt;J28,"null not rejected","rejected")</f>
        <v>rejected</v>
      </c>
    </row>
    <row r="31" spans="1:11" x14ac:dyDescent="0.3">
      <c r="B31" s="7" t="s">
        <v>160</v>
      </c>
      <c r="C31" s="7"/>
      <c r="D31" s="7"/>
    </row>
    <row r="32" spans="1:11" x14ac:dyDescent="0.3">
      <c r="B32">
        <f>(B11-$B$17)^2</f>
        <v>12945.382716049395</v>
      </c>
      <c r="C32">
        <f t="shared" ref="C32:D32" si="2">(C11-$B$17)^2</f>
        <v>3626.71604938271</v>
      </c>
      <c r="D32">
        <f t="shared" si="2"/>
        <v>2045.0493827160449</v>
      </c>
    </row>
    <row r="33" spans="1:4" x14ac:dyDescent="0.3">
      <c r="B33">
        <f t="shared" ref="B33:D33" si="3">(B12-$B$17)^2</f>
        <v>15820.049382716063</v>
      </c>
      <c r="C33">
        <f t="shared" si="3"/>
        <v>10449.382716049373</v>
      </c>
      <c r="D33">
        <f t="shared" si="3"/>
        <v>5361.493827160486</v>
      </c>
    </row>
    <row r="34" spans="1:4" x14ac:dyDescent="0.3">
      <c r="B34">
        <f t="shared" ref="B34:D34" si="4">(B13-$B$17)^2</f>
        <v>29852.160493827178</v>
      </c>
      <c r="C34">
        <f t="shared" si="4"/>
        <v>17.827160493826735</v>
      </c>
      <c r="D34">
        <f t="shared" si="4"/>
        <v>16185.493827160481</v>
      </c>
    </row>
    <row r="35" spans="1:4" x14ac:dyDescent="0.3">
      <c r="A35" t="s">
        <v>182</v>
      </c>
      <c r="B35">
        <f>SUM(B32:D34)</f>
        <v>96303.555555555547</v>
      </c>
    </row>
    <row r="37" spans="1:4" x14ac:dyDescent="0.3">
      <c r="A37" t="s">
        <v>176</v>
      </c>
      <c r="B37">
        <f>B35-B25</f>
        <v>86049.555555555547</v>
      </c>
    </row>
  </sheetData>
  <mergeCells count="4">
    <mergeCell ref="I10:N10"/>
    <mergeCell ref="B19:D19"/>
    <mergeCell ref="B27:D27"/>
    <mergeCell ref="B31:D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A9BBE-6EC6-420E-AAD0-ED5392A5B2D8}">
  <dimension ref="A2:O21"/>
  <sheetViews>
    <sheetView workbookViewId="0">
      <selection activeCell="B20" sqref="B20"/>
    </sheetView>
  </sheetViews>
  <sheetFormatPr defaultRowHeight="14.4" x14ac:dyDescent="0.3"/>
  <cols>
    <col min="1" max="1" width="21.6640625" customWidth="1"/>
    <col min="2" max="2" width="16.21875" customWidth="1"/>
    <col min="3" max="3" width="19.5546875" customWidth="1"/>
    <col min="12" max="12" width="15.5546875" customWidth="1"/>
    <col min="13" max="13" width="11.88671875" customWidth="1"/>
  </cols>
  <sheetData>
    <row r="2" spans="1:15" x14ac:dyDescent="0.3">
      <c r="A2" s="8" t="s">
        <v>31</v>
      </c>
      <c r="B2" s="8"/>
      <c r="C2" s="8"/>
      <c r="D2" s="8"/>
      <c r="E2" s="8"/>
      <c r="F2" s="8"/>
      <c r="G2" s="8"/>
      <c r="H2" s="8"/>
      <c r="I2" s="8"/>
      <c r="J2" s="8"/>
      <c r="K2" s="8"/>
    </row>
    <row r="3" spans="1:15" x14ac:dyDescent="0.3">
      <c r="A3" s="6"/>
      <c r="B3" s="6"/>
      <c r="C3" s="6"/>
      <c r="D3" s="6"/>
      <c r="E3" s="6"/>
      <c r="F3" s="6"/>
      <c r="G3" s="6"/>
      <c r="H3" s="6"/>
      <c r="I3" s="6"/>
      <c r="J3" s="6"/>
      <c r="K3" s="6"/>
    </row>
    <row r="4" spans="1:15" x14ac:dyDescent="0.3">
      <c r="A4" s="8" t="s">
        <v>29</v>
      </c>
      <c r="B4" s="8"/>
      <c r="C4" s="8"/>
      <c r="D4" s="6"/>
      <c r="E4" s="6"/>
      <c r="F4" s="6"/>
      <c r="G4" s="6"/>
      <c r="H4" s="6"/>
      <c r="I4" s="6"/>
      <c r="J4" s="6"/>
      <c r="K4" s="6"/>
    </row>
    <row r="5" spans="1:15" x14ac:dyDescent="0.3">
      <c r="A5" s="8" t="s">
        <v>32</v>
      </c>
      <c r="B5" s="8"/>
      <c r="C5" s="8"/>
      <c r="D5" s="8"/>
      <c r="E5" s="8"/>
      <c r="F5" s="8"/>
      <c r="G5" s="6"/>
      <c r="H5" s="6"/>
      <c r="I5" s="6"/>
      <c r="J5" s="6"/>
      <c r="K5" s="7" t="s">
        <v>33</v>
      </c>
      <c r="L5" s="7"/>
      <c r="M5" s="7"/>
      <c r="N5" s="7"/>
      <c r="O5" s="7"/>
    </row>
    <row r="6" spans="1:15" x14ac:dyDescent="0.3">
      <c r="A6" t="s">
        <v>26</v>
      </c>
      <c r="B6">
        <v>1000</v>
      </c>
    </row>
    <row r="7" spans="1:15" x14ac:dyDescent="0.3">
      <c r="B7" t="s">
        <v>22</v>
      </c>
      <c r="C7" t="s">
        <v>23</v>
      </c>
      <c r="K7" s="2"/>
      <c r="L7" s="4" t="s">
        <v>0</v>
      </c>
      <c r="M7" s="4"/>
      <c r="N7" s="4"/>
    </row>
    <row r="8" spans="1:15" x14ac:dyDescent="0.3">
      <c r="A8" t="s">
        <v>30</v>
      </c>
      <c r="B8">
        <v>0.5</v>
      </c>
      <c r="C8">
        <v>0.5</v>
      </c>
      <c r="K8" s="2" t="s">
        <v>2</v>
      </c>
      <c r="L8" s="5">
        <v>9</v>
      </c>
      <c r="M8" s="2"/>
      <c r="N8" s="5"/>
    </row>
    <row r="9" spans="1:15" x14ac:dyDescent="0.3">
      <c r="A9" t="s">
        <v>27</v>
      </c>
      <c r="B9">
        <f>B8/SQRT(B6)</f>
        <v>1.5811388300841896E-2</v>
      </c>
      <c r="K9" s="2" t="s">
        <v>3</v>
      </c>
      <c r="L9" s="2">
        <v>8.9600000000000009</v>
      </c>
      <c r="M9" s="2"/>
      <c r="N9" s="2"/>
    </row>
    <row r="10" spans="1:15" x14ac:dyDescent="0.3">
      <c r="B10" t="s">
        <v>19</v>
      </c>
      <c r="C10" t="s">
        <v>20</v>
      </c>
      <c r="K10" s="2" t="s">
        <v>4</v>
      </c>
      <c r="L10" s="2">
        <v>1.36</v>
      </c>
      <c r="M10" s="2"/>
      <c r="N10" s="2"/>
    </row>
    <row r="11" spans="1:15" x14ac:dyDescent="0.3">
      <c r="A11" t="s">
        <v>25</v>
      </c>
      <c r="B11">
        <f>B8+(2*B9)</f>
        <v>0.53162277660168378</v>
      </c>
      <c r="C11">
        <f>B8-(2*B9)</f>
        <v>0.46837722339831622</v>
      </c>
      <c r="K11" s="2" t="s">
        <v>5</v>
      </c>
      <c r="L11" s="2">
        <f>L10/SQRT(L8)</f>
        <v>0.45333333333333337</v>
      </c>
      <c r="M11" s="2"/>
      <c r="N11" s="2"/>
    </row>
    <row r="12" spans="1:15" x14ac:dyDescent="0.3">
      <c r="K12" s="2" t="s">
        <v>6</v>
      </c>
      <c r="L12" s="2">
        <v>0.05</v>
      </c>
      <c r="M12" s="2"/>
      <c r="N12" s="2"/>
    </row>
    <row r="13" spans="1:15" x14ac:dyDescent="0.3">
      <c r="K13" s="2"/>
      <c r="L13" s="2" t="s">
        <v>19</v>
      </c>
      <c r="M13" s="2" t="s">
        <v>20</v>
      </c>
      <c r="N13" s="2"/>
    </row>
    <row r="14" spans="1:15" x14ac:dyDescent="0.3">
      <c r="K14" s="2" t="s">
        <v>17</v>
      </c>
      <c r="L14" s="2">
        <f>L9+(1.96*L11)</f>
        <v>9.848533333333334</v>
      </c>
      <c r="M14" s="2">
        <f>L9-(1.96*L11)</f>
        <v>8.0714666666666677</v>
      </c>
      <c r="N14" s="2"/>
    </row>
    <row r="15" spans="1:15" x14ac:dyDescent="0.3">
      <c r="K15" s="2" t="s">
        <v>10</v>
      </c>
      <c r="L15" s="2" t="str">
        <f>IF(OR(N9&lt;M14,N9&gt;L14),"DIFFERENT","SAME")</f>
        <v>DIFFERENT</v>
      </c>
      <c r="M15" s="2"/>
      <c r="N15" s="2"/>
    </row>
    <row r="16" spans="1:15" x14ac:dyDescent="0.3">
      <c r="N16" s="2"/>
    </row>
    <row r="21" spans="3:3" x14ac:dyDescent="0.3">
      <c r="C21" t="s">
        <v>28</v>
      </c>
    </row>
  </sheetData>
  <mergeCells count="4">
    <mergeCell ref="A2:K2"/>
    <mergeCell ref="A4:C4"/>
    <mergeCell ref="A5:F5"/>
    <mergeCell ref="K5:O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3D676-0EE0-4BE8-9044-442C569ED633}">
  <dimension ref="A3:K18"/>
  <sheetViews>
    <sheetView topLeftCell="B2" workbookViewId="0">
      <selection activeCell="G13" sqref="G13"/>
    </sheetView>
  </sheetViews>
  <sheetFormatPr defaultRowHeight="14.4" x14ac:dyDescent="0.3"/>
  <cols>
    <col min="10" max="11" width="36" customWidth="1"/>
  </cols>
  <sheetData>
    <row r="3" spans="1:11" x14ac:dyDescent="0.3">
      <c r="I3" s="22" t="s">
        <v>38</v>
      </c>
      <c r="J3" s="22" t="s">
        <v>39</v>
      </c>
      <c r="K3" s="2"/>
    </row>
    <row r="4" spans="1:11" ht="57.6" x14ac:dyDescent="0.3">
      <c r="B4" s="7" t="s">
        <v>37</v>
      </c>
      <c r="C4" s="7"/>
      <c r="D4" s="9">
        <v>35000</v>
      </c>
      <c r="I4" s="2"/>
      <c r="J4" s="11" t="s">
        <v>40</v>
      </c>
      <c r="K4" s="12" t="s">
        <v>41</v>
      </c>
    </row>
    <row r="5" spans="1:11" ht="43.2" x14ac:dyDescent="0.3">
      <c r="B5" t="s">
        <v>34</v>
      </c>
      <c r="C5">
        <v>50</v>
      </c>
      <c r="I5" s="2"/>
      <c r="J5" s="11" t="s">
        <v>42</v>
      </c>
      <c r="K5" s="12" t="s">
        <v>43</v>
      </c>
    </row>
    <row r="6" spans="1:11" x14ac:dyDescent="0.3">
      <c r="C6" t="s">
        <v>35</v>
      </c>
      <c r="D6" t="s">
        <v>36</v>
      </c>
      <c r="I6" s="2"/>
      <c r="J6" s="2"/>
      <c r="K6" s="2"/>
    </row>
    <row r="7" spans="1:11" x14ac:dyDescent="0.3">
      <c r="C7">
        <v>14</v>
      </c>
      <c r="D7">
        <v>36</v>
      </c>
      <c r="I7" s="22" t="s">
        <v>44</v>
      </c>
      <c r="J7" s="22" t="s">
        <v>45</v>
      </c>
      <c r="K7" s="2"/>
    </row>
    <row r="8" spans="1:11" ht="57.6" x14ac:dyDescent="0.3">
      <c r="B8" t="s">
        <v>36</v>
      </c>
      <c r="I8" s="2"/>
      <c r="J8" s="2">
        <v>0.05</v>
      </c>
      <c r="K8" s="12" t="s">
        <v>46</v>
      </c>
    </row>
    <row r="9" spans="1:11" x14ac:dyDescent="0.3">
      <c r="A9" t="s">
        <v>30</v>
      </c>
      <c r="B9">
        <f>36/50</f>
        <v>0.72</v>
      </c>
      <c r="I9" s="2"/>
      <c r="J9" s="2"/>
      <c r="K9" s="2"/>
    </row>
    <row r="10" spans="1:11" x14ac:dyDescent="0.3">
      <c r="A10" t="s">
        <v>27</v>
      </c>
      <c r="B10">
        <f>B9/SQRT(C5)</f>
        <v>0.10182337649086283</v>
      </c>
      <c r="I10" s="22" t="s">
        <v>47</v>
      </c>
      <c r="J10" s="22" t="s">
        <v>48</v>
      </c>
      <c r="K10" s="2"/>
    </row>
    <row r="11" spans="1:11" ht="28.8" x14ac:dyDescent="0.3">
      <c r="B11" t="s">
        <v>19</v>
      </c>
      <c r="C11" t="s">
        <v>20</v>
      </c>
      <c r="I11" s="2"/>
      <c r="J11" s="12" t="s">
        <v>49</v>
      </c>
      <c r="K11" s="2"/>
    </row>
    <row r="12" spans="1:11" x14ac:dyDescent="0.3">
      <c r="A12" t="s">
        <v>25</v>
      </c>
      <c r="B12">
        <f>B9+(2*B10)</f>
        <v>0.92364675298172561</v>
      </c>
      <c r="C12">
        <f>B9-(2*B10)</f>
        <v>0.51635324701827434</v>
      </c>
      <c r="I12" s="2"/>
      <c r="J12" s="2"/>
      <c r="K12" s="2"/>
    </row>
    <row r="13" spans="1:11" ht="57.6" x14ac:dyDescent="0.3">
      <c r="I13" s="22" t="s">
        <v>51</v>
      </c>
      <c r="J13" s="22" t="s">
        <v>50</v>
      </c>
      <c r="K13" s="12" t="s">
        <v>57</v>
      </c>
    </row>
    <row r="14" spans="1:11" x14ac:dyDescent="0.3">
      <c r="I14" s="22" t="s">
        <v>55</v>
      </c>
      <c r="J14" s="22" t="s">
        <v>56</v>
      </c>
      <c r="K14" s="2"/>
    </row>
    <row r="15" spans="1:11" x14ac:dyDescent="0.3">
      <c r="I15" s="2"/>
      <c r="J15" s="2" t="s">
        <v>52</v>
      </c>
      <c r="K15" s="2" t="s">
        <v>58</v>
      </c>
    </row>
    <row r="16" spans="1:11" x14ac:dyDescent="0.3">
      <c r="I16" s="2"/>
      <c r="J16" s="2" t="s">
        <v>53</v>
      </c>
      <c r="K16" s="2" t="s">
        <v>54</v>
      </c>
    </row>
    <row r="17" spans="9:11" x14ac:dyDescent="0.3">
      <c r="I17" s="2"/>
      <c r="J17" s="2"/>
      <c r="K17" s="2"/>
    </row>
    <row r="18" spans="9:11" x14ac:dyDescent="0.3">
      <c r="I18" s="2"/>
      <c r="J18" s="2"/>
      <c r="K18" s="2"/>
    </row>
  </sheetData>
  <mergeCells count="1">
    <mergeCell ref="B4:C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EB7F-FC7E-4BBD-8AB7-96F98D272654}">
  <dimension ref="C1:R16"/>
  <sheetViews>
    <sheetView workbookViewId="0">
      <selection activeCell="L29" sqref="L29"/>
    </sheetView>
  </sheetViews>
  <sheetFormatPr defaultRowHeight="14.4" x14ac:dyDescent="0.3"/>
  <sheetData>
    <row r="1" spans="3:18" x14ac:dyDescent="0.3">
      <c r="C1" s="7" t="s">
        <v>60</v>
      </c>
      <c r="D1" s="7"/>
      <c r="E1" s="7"/>
      <c r="F1" s="7"/>
    </row>
    <row r="2" spans="3:18" x14ac:dyDescent="0.3">
      <c r="C2" s="7"/>
      <c r="D2" s="7"/>
      <c r="E2" s="7"/>
      <c r="F2" s="7"/>
    </row>
    <row r="3" spans="3:18" x14ac:dyDescent="0.3">
      <c r="C3" s="7"/>
      <c r="D3" s="7"/>
      <c r="E3" s="7"/>
      <c r="F3" s="7"/>
      <c r="O3" s="7" t="s">
        <v>61</v>
      </c>
      <c r="P3" s="7"/>
      <c r="Q3" s="7"/>
      <c r="R3" s="7"/>
    </row>
    <row r="16" spans="3:18" x14ac:dyDescent="0.3">
      <c r="C16" s="7" t="s">
        <v>59</v>
      </c>
      <c r="D16" s="7"/>
      <c r="E16" s="7"/>
      <c r="F16" s="7"/>
    </row>
  </sheetData>
  <mergeCells count="3">
    <mergeCell ref="C1:F3"/>
    <mergeCell ref="C16:F16"/>
    <mergeCell ref="O3:R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43DAB-FA24-45B3-9136-C5ED9E50A21F}">
  <dimension ref="A2:O27"/>
  <sheetViews>
    <sheetView topLeftCell="A6" workbookViewId="0">
      <selection activeCell="C22" sqref="C22"/>
    </sheetView>
  </sheetViews>
  <sheetFormatPr defaultRowHeight="14.4" x14ac:dyDescent="0.3"/>
  <cols>
    <col min="2" max="2" width="16.5546875" customWidth="1"/>
    <col min="3" max="3" width="17.5546875" customWidth="1"/>
    <col min="4" max="4" width="13.33203125" customWidth="1"/>
  </cols>
  <sheetData>
    <row r="2" spans="1:15" x14ac:dyDescent="0.3">
      <c r="A2" t="s">
        <v>70</v>
      </c>
      <c r="B2" t="s">
        <v>39</v>
      </c>
      <c r="I2" s="7" t="s">
        <v>69</v>
      </c>
      <c r="J2" s="7"/>
      <c r="K2" s="7"/>
      <c r="L2" s="7"/>
      <c r="M2" s="7"/>
      <c r="N2" s="7"/>
      <c r="O2" s="7"/>
    </row>
    <row r="3" spans="1:15" x14ac:dyDescent="0.3">
      <c r="B3" t="s">
        <v>62</v>
      </c>
      <c r="C3" t="s">
        <v>63</v>
      </c>
      <c r="D3" t="s">
        <v>66</v>
      </c>
    </row>
    <row r="4" spans="1:15" x14ac:dyDescent="0.3">
      <c r="B4" t="s">
        <v>65</v>
      </c>
      <c r="C4" t="s">
        <v>64</v>
      </c>
      <c r="D4" t="s">
        <v>67</v>
      </c>
    </row>
    <row r="5" spans="1:15" x14ac:dyDescent="0.3">
      <c r="B5" s="14" t="s">
        <v>68</v>
      </c>
      <c r="C5" s="14">
        <v>0.05</v>
      </c>
    </row>
    <row r="16" spans="1:15" x14ac:dyDescent="0.3">
      <c r="B16" t="s">
        <v>26</v>
      </c>
      <c r="C16">
        <v>500</v>
      </c>
    </row>
    <row r="17" spans="2:4" x14ac:dyDescent="0.3">
      <c r="C17" t="s">
        <v>22</v>
      </c>
      <c r="D17" t="s">
        <v>23</v>
      </c>
    </row>
    <row r="18" spans="2:4" x14ac:dyDescent="0.3">
      <c r="B18" t="s">
        <v>30</v>
      </c>
      <c r="C18">
        <v>0.54</v>
      </c>
      <c r="D18">
        <v>0.5</v>
      </c>
    </row>
    <row r="19" spans="2:4" x14ac:dyDescent="0.3">
      <c r="B19" t="s">
        <v>27</v>
      </c>
      <c r="C19">
        <f>SQRT((C18*(1-C18))/(C16))</f>
        <v>2.2289010745208053E-2</v>
      </c>
    </row>
    <row r="20" spans="2:4" x14ac:dyDescent="0.3">
      <c r="B20" t="s">
        <v>71</v>
      </c>
      <c r="C20">
        <f>(C18-D18)/C19</f>
        <v>1.7946063401938865</v>
      </c>
    </row>
    <row r="21" spans="2:4" x14ac:dyDescent="0.3">
      <c r="B21" t="s">
        <v>73</v>
      </c>
      <c r="C21">
        <f>NORMSDIST(C20)</f>
        <v>0.96364177886012181</v>
      </c>
    </row>
    <row r="22" spans="2:4" x14ac:dyDescent="0.3">
      <c r="B22" s="14" t="s">
        <v>72</v>
      </c>
      <c r="C22" s="14">
        <f>1-C21</f>
        <v>3.6358221139878188E-2</v>
      </c>
    </row>
    <row r="24" spans="2:4" ht="28.8" x14ac:dyDescent="0.3">
      <c r="B24" s="12" t="s">
        <v>52</v>
      </c>
      <c r="C24" s="12" t="s">
        <v>58</v>
      </c>
    </row>
    <row r="25" spans="2:4" ht="28.8" x14ac:dyDescent="0.3">
      <c r="B25" s="3" t="s">
        <v>53</v>
      </c>
      <c r="C25" s="3" t="s">
        <v>54</v>
      </c>
    </row>
    <row r="27" spans="2:4" x14ac:dyDescent="0.3">
      <c r="B27" s="15" t="s">
        <v>74</v>
      </c>
      <c r="C27" s="15" t="str">
        <f>IF(C22&lt;C5,"REJECT","NOT REJECT")</f>
        <v>REJECT</v>
      </c>
    </row>
  </sheetData>
  <mergeCells count="1">
    <mergeCell ref="I2:O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55C7C-28AC-40BB-9E1F-69EDAEEF6982}">
  <dimension ref="B2:I17"/>
  <sheetViews>
    <sheetView workbookViewId="0">
      <selection activeCell="F16" sqref="F16"/>
    </sheetView>
  </sheetViews>
  <sheetFormatPr defaultRowHeight="14.4" x14ac:dyDescent="0.3"/>
  <cols>
    <col min="2" max="2" width="19" customWidth="1"/>
    <col min="8" max="8" width="10.77734375" customWidth="1"/>
  </cols>
  <sheetData>
    <row r="2" spans="2:9" x14ac:dyDescent="0.3">
      <c r="B2" s="13" t="s">
        <v>77</v>
      </c>
      <c r="C2" s="2"/>
      <c r="H2" t="s">
        <v>79</v>
      </c>
    </row>
    <row r="3" spans="2:9" x14ac:dyDescent="0.3">
      <c r="B3" s="2" t="s">
        <v>75</v>
      </c>
      <c r="C3" s="2">
        <v>1000</v>
      </c>
      <c r="H3" t="s">
        <v>62</v>
      </c>
      <c r="I3" t="s">
        <v>81</v>
      </c>
    </row>
    <row r="4" spans="2:9" x14ac:dyDescent="0.3">
      <c r="B4" s="2" t="s">
        <v>4</v>
      </c>
      <c r="C4" s="2">
        <v>0.26</v>
      </c>
      <c r="H4" t="s">
        <v>65</v>
      </c>
      <c r="I4" t="s">
        <v>82</v>
      </c>
    </row>
    <row r="5" spans="2:9" x14ac:dyDescent="0.3">
      <c r="B5" s="2" t="s">
        <v>3</v>
      </c>
      <c r="C5" s="2">
        <v>20.149999999999999</v>
      </c>
    </row>
    <row r="6" spans="2:9" x14ac:dyDescent="0.3">
      <c r="B6" s="10"/>
      <c r="C6" s="10"/>
    </row>
    <row r="7" spans="2:9" x14ac:dyDescent="0.3">
      <c r="B7" s="13" t="s">
        <v>78</v>
      </c>
      <c r="C7" s="2"/>
      <c r="H7" t="s">
        <v>80</v>
      </c>
      <c r="I7">
        <v>0.05</v>
      </c>
    </row>
    <row r="8" spans="2:9" x14ac:dyDescent="0.3">
      <c r="B8" s="2" t="s">
        <v>34</v>
      </c>
      <c r="C8" s="2">
        <v>100</v>
      </c>
    </row>
    <row r="9" spans="2:9" x14ac:dyDescent="0.3">
      <c r="B9" s="2" t="s">
        <v>76</v>
      </c>
      <c r="C9" s="2">
        <v>20.100000000000001</v>
      </c>
    </row>
    <row r="10" spans="2:9" x14ac:dyDescent="0.3">
      <c r="B10" s="10"/>
      <c r="C10" s="10"/>
    </row>
    <row r="11" spans="2:9" x14ac:dyDescent="0.3">
      <c r="B11" s="16" t="s">
        <v>86</v>
      </c>
      <c r="C11" s="2"/>
    </row>
    <row r="12" spans="2:9" x14ac:dyDescent="0.3">
      <c r="B12" s="2" t="s">
        <v>83</v>
      </c>
      <c r="C12" s="2">
        <f>C4/SQRT(C8)</f>
        <v>2.6000000000000002E-2</v>
      </c>
    </row>
    <row r="13" spans="2:9" x14ac:dyDescent="0.3">
      <c r="B13" s="2" t="s">
        <v>84</v>
      </c>
      <c r="C13" s="2">
        <f>(C9-C5)/C12</f>
        <v>-1.9230769230768137</v>
      </c>
    </row>
    <row r="14" spans="2:9" x14ac:dyDescent="0.3">
      <c r="B14" s="2" t="s">
        <v>85</v>
      </c>
      <c r="C14" s="2">
        <f>NORMSDIST(C13)</f>
        <v>2.7235195013745564E-2</v>
      </c>
    </row>
    <row r="17" spans="2:3" x14ac:dyDescent="0.3">
      <c r="B17" s="15" t="s">
        <v>74</v>
      </c>
      <c r="C17" s="15" t="str">
        <f>IF(C14&lt;I7,"REJECT","NOT REJECT")</f>
        <v>REJECT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A9DCD-6953-428D-AC09-ED00331198CB}">
  <dimension ref="B1:J12"/>
  <sheetViews>
    <sheetView workbookViewId="0">
      <selection activeCell="C15" sqref="C15"/>
    </sheetView>
  </sheetViews>
  <sheetFormatPr defaultRowHeight="14.4" x14ac:dyDescent="0.3"/>
  <cols>
    <col min="2" max="2" width="17.5546875" customWidth="1"/>
    <col min="3" max="3" width="12.77734375" customWidth="1"/>
    <col min="10" max="10" width="18" customWidth="1"/>
  </cols>
  <sheetData>
    <row r="1" spans="2:10" x14ac:dyDescent="0.3">
      <c r="I1" t="s">
        <v>79</v>
      </c>
    </row>
    <row r="2" spans="2:10" x14ac:dyDescent="0.3">
      <c r="C2" t="s">
        <v>87</v>
      </c>
      <c r="F2" t="s">
        <v>88</v>
      </c>
      <c r="I2" t="s">
        <v>62</v>
      </c>
      <c r="J2" t="s">
        <v>90</v>
      </c>
    </row>
    <row r="3" spans="2:10" x14ac:dyDescent="0.3">
      <c r="B3" t="s">
        <v>34</v>
      </c>
      <c r="F3">
        <v>22</v>
      </c>
      <c r="I3" t="s">
        <v>65</v>
      </c>
      <c r="J3" t="s">
        <v>92</v>
      </c>
    </row>
    <row r="4" spans="2:10" x14ac:dyDescent="0.3">
      <c r="B4" t="s">
        <v>89</v>
      </c>
      <c r="C4">
        <v>4450</v>
      </c>
      <c r="F4">
        <v>4300</v>
      </c>
    </row>
    <row r="5" spans="2:10" x14ac:dyDescent="0.3">
      <c r="B5" t="s">
        <v>4</v>
      </c>
      <c r="F5">
        <v>400</v>
      </c>
    </row>
    <row r="6" spans="2:10" x14ac:dyDescent="0.3">
      <c r="B6" t="s">
        <v>91</v>
      </c>
      <c r="C6">
        <v>4440</v>
      </c>
    </row>
    <row r="7" spans="2:10" x14ac:dyDescent="0.3">
      <c r="B7" t="s">
        <v>93</v>
      </c>
      <c r="C7">
        <v>0.05</v>
      </c>
    </row>
    <row r="8" spans="2:10" x14ac:dyDescent="0.3">
      <c r="B8" t="s">
        <v>5</v>
      </c>
      <c r="C8">
        <f>F5/SQRT(F3)</f>
        <v>85.28028654224417</v>
      </c>
    </row>
    <row r="9" spans="2:10" x14ac:dyDescent="0.3">
      <c r="B9" t="s">
        <v>71</v>
      </c>
      <c r="C9">
        <f>(F4-C6)/C8</f>
        <v>-1.6416455159382004</v>
      </c>
    </row>
    <row r="10" spans="2:10" x14ac:dyDescent="0.3">
      <c r="B10" t="s">
        <v>72</v>
      </c>
      <c r="C10">
        <f>NORMSDIST(C9)</f>
        <v>5.0331744532542438E-2</v>
      </c>
    </row>
    <row r="12" spans="2:10" x14ac:dyDescent="0.3">
      <c r="B12" s="14" t="s">
        <v>74</v>
      </c>
      <c r="C12" s="14" t="str">
        <f>IF(C10&lt;C7,"REJECT","NOT REJECT")</f>
        <v>NOT REJECT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547FD-E093-4DE1-9E3A-AC016F212E41}">
  <dimension ref="A1"/>
  <sheetViews>
    <sheetView workbookViewId="0">
      <selection activeCell="N18" sqref="N18"/>
    </sheetView>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E55F-1EE1-4C18-B59C-14CF40E755E5}">
  <dimension ref="B2:H15"/>
  <sheetViews>
    <sheetView workbookViewId="0">
      <selection activeCell="I24" sqref="I24"/>
    </sheetView>
  </sheetViews>
  <sheetFormatPr defaultRowHeight="14.4" x14ac:dyDescent="0.3"/>
  <cols>
    <col min="2" max="2" width="27.109375" customWidth="1"/>
    <col min="3" max="3" width="17.77734375" customWidth="1"/>
    <col min="4" max="4" width="19" customWidth="1"/>
  </cols>
  <sheetData>
    <row r="2" spans="2:8" x14ac:dyDescent="0.3">
      <c r="C2" t="s">
        <v>102</v>
      </c>
    </row>
    <row r="3" spans="2:8" x14ac:dyDescent="0.3">
      <c r="B3" t="s">
        <v>94</v>
      </c>
      <c r="C3">
        <v>12</v>
      </c>
      <c r="D3">
        <v>130</v>
      </c>
    </row>
    <row r="5" spans="2:8" x14ac:dyDescent="0.3">
      <c r="B5" t="s">
        <v>95</v>
      </c>
      <c r="C5">
        <v>0.05</v>
      </c>
      <c r="D5">
        <v>0.02</v>
      </c>
    </row>
    <row r="6" spans="2:8" x14ac:dyDescent="0.3">
      <c r="B6" t="s">
        <v>96</v>
      </c>
      <c r="C6">
        <v>7</v>
      </c>
      <c r="D6">
        <v>126</v>
      </c>
    </row>
    <row r="7" spans="2:8" x14ac:dyDescent="0.3">
      <c r="B7" t="s">
        <v>97</v>
      </c>
      <c r="C7">
        <v>20</v>
      </c>
      <c r="D7">
        <v>29.51</v>
      </c>
    </row>
    <row r="8" spans="2:8" x14ac:dyDescent="0.3">
      <c r="B8" t="s">
        <v>98</v>
      </c>
      <c r="C8">
        <v>40</v>
      </c>
      <c r="D8">
        <v>10</v>
      </c>
    </row>
    <row r="9" spans="2:8" x14ac:dyDescent="0.3">
      <c r="B9" t="s">
        <v>99</v>
      </c>
      <c r="C9">
        <v>1</v>
      </c>
      <c r="D9">
        <v>1</v>
      </c>
    </row>
    <row r="10" spans="2:8" x14ac:dyDescent="0.3">
      <c r="H10">
        <f>3.64/SQRT(10)</f>
        <v>1.1510690683012901</v>
      </c>
    </row>
    <row r="11" spans="2:8" x14ac:dyDescent="0.3">
      <c r="B11" t="s">
        <v>100</v>
      </c>
      <c r="C11">
        <f>ABS((C6-C3)/(C7/SQRT(C8)))</f>
        <v>1.5811388300841898</v>
      </c>
      <c r="D11">
        <f>ABS((D6-D3)/(D7/SQRT(D8)))</f>
        <v>0.42863811049385009</v>
      </c>
    </row>
    <row r="13" spans="2:8" x14ac:dyDescent="0.3">
      <c r="B13" t="s">
        <v>101</v>
      </c>
      <c r="C13">
        <f>TDIST(C11,C8-1,C9)</f>
        <v>6.0961753415515581E-2</v>
      </c>
      <c r="D13">
        <f>TDIST(D11,D8-1,D9)</f>
        <v>0.33913148239411439</v>
      </c>
    </row>
    <row r="15" spans="2:8" x14ac:dyDescent="0.3">
      <c r="B15" t="s">
        <v>103</v>
      </c>
      <c r="C15" t="str">
        <f>IF(C13&lt;C5,"reject null","do not reject null")</f>
        <v>do not reject null</v>
      </c>
      <c r="D15" t="str">
        <f>IF(D13&lt;D5,"reject null","do not reject null")</f>
        <v>do not reject null</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Mean based simulation</vt:lpstr>
      <vt:lpstr>Proportion based simulation</vt:lpstr>
      <vt:lpstr>Hypothesis Testing Steps</vt:lpstr>
      <vt:lpstr>HT Types</vt:lpstr>
      <vt:lpstr>HT-Proportion</vt:lpstr>
      <vt:lpstr>HT - Mean</vt:lpstr>
      <vt:lpstr>HT-mean2</vt:lpstr>
      <vt:lpstr>Errors - Type 1 and 2</vt:lpstr>
      <vt:lpstr>T-Test</vt:lpstr>
      <vt:lpstr>ComparingPopulationsProportion</vt:lpstr>
      <vt:lpstr>ComparingPopulationsMeans</vt:lpstr>
      <vt:lpstr>Chi square test</vt:lpstr>
      <vt:lpstr>ANOVA</vt:lpstr>
      <vt:lpstr>ANOVA 2</vt:lpstr>
      <vt:lpstr>ANOVA 2 (2)</vt:lpstr>
    </vt:vector>
  </TitlesOfParts>
  <Company>University at Buffalo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Nikku</dc:creator>
  <cp:lastModifiedBy>Nikku</cp:lastModifiedBy>
  <dcterms:created xsi:type="dcterms:W3CDTF">2020-06-02T22:06:44Z</dcterms:created>
  <dcterms:modified xsi:type="dcterms:W3CDTF">2020-06-06T02:50:10Z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09c4eddf-7f52-4f17-8074-9c302e0bfda2</vt:lpwstr>
  </property>
</Properties>
</file>